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34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38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39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37.xml" ContentType="application/vnd.openxmlformats-officedocument.spreadsheetml.worksheet+xml"/>
  <Override PartName="/xl/worksheets/sheet6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5.xml" ContentType="application/vnd.openxmlformats-officedocument.spreadsheetml.externalLink+xml"/>
  <Override PartName="/xl/comments2.xml" ContentType="application/vnd.openxmlformats-officedocument.spreadsheetml.comments+xml"/>
  <Override PartName="/xl/externalLinks/externalLink8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7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9.xml" ContentType="application/vnd.openxmlformats-officedocument.spreadsheetml.externalLink+xml"/>
  <Override PartName="/xl/comments1.xml" ContentType="application/vnd.openxmlformats-officedocument.spreadsheetml.comments+xml"/>
  <Override PartName="/xl/externalLinks/externalLink1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15" windowWidth="20250" windowHeight="8205" tabRatio="912"/>
  </bookViews>
  <sheets>
    <sheet name="2012 Totals" sheetId="52" r:id="rId1"/>
    <sheet name="FY2012-2011 Comparison" sheetId="53" r:id="rId2"/>
    <sheet name="Anne Arundel-12" sheetId="24" r:id="rId3"/>
    <sheet name="Atlantic General-12" sheetId="43" r:id="rId4"/>
    <sheet name="Baltimore Washington-12" sheetId="7" r:id="rId5"/>
    <sheet name="Bon Secours-12" sheetId="34" r:id="rId6"/>
    <sheet name="Calvert-12" sheetId="23" r:id="rId7"/>
    <sheet name="Carroll Hospital Center-12" sheetId="44" r:id="rId8"/>
    <sheet name="Chester River-12" sheetId="37" r:id="rId9"/>
    <sheet name="Civista-12" sheetId="25" r:id="rId10"/>
    <sheet name="Doctors Community-12" sheetId="2" r:id="rId11"/>
    <sheet name="Dorchester Hospital-12" sheetId="46" r:id="rId12"/>
    <sheet name="Fort Washington-12" sheetId="30" r:id="rId13"/>
    <sheet name="Frederick Memorial-12" sheetId="36" r:id="rId14"/>
    <sheet name="Garrett County-12" sheetId="47" r:id="rId15"/>
    <sheet name="GBMC-12" sheetId="39" r:id="rId16"/>
    <sheet name="Harford-12" sheetId="27" r:id="rId17"/>
    <sheet name="Holy Cross-12" sheetId="48" r:id="rId18"/>
    <sheet name="Howard County-12" sheetId="32" r:id="rId19"/>
    <sheet name="Johns Hopkins-12" sheetId="17" r:id="rId20"/>
    <sheet name="JH Bayview-12" sheetId="22" r:id="rId21"/>
    <sheet name="Kernan-12" sheetId="31" r:id="rId22"/>
    <sheet name="Laurel Regional-12" sheetId="38" r:id="rId23"/>
    <sheet name="Maryland General-12" sheetId="49" r:id="rId24"/>
    <sheet name="McCready-12" sheetId="1" r:id="rId25"/>
    <sheet name="Memorial Hospital of Easton-12" sheetId="45" r:id="rId26"/>
    <sheet name="Mercy-12" sheetId="5" r:id="rId27"/>
    <sheet name="Meritus-12" sheetId="42" r:id="rId28"/>
    <sheet name="MS Franklin Square-12" sheetId="10" r:id="rId29"/>
    <sheet name="MS Good Samaritan-12" sheetId="11" r:id="rId30"/>
    <sheet name="MS Harbor-12" sheetId="12" r:id="rId31"/>
    <sheet name="MS Montgomery-12" sheetId="13" r:id="rId32"/>
    <sheet name="MS St Mary's-12" sheetId="14" r:id="rId33"/>
    <sheet name="MS Union Memorial-12" sheetId="15" r:id="rId34"/>
    <sheet name="Northwest-12" sheetId="16" r:id="rId35"/>
    <sheet name="Peninsula Regional-12" sheetId="26" r:id="rId36"/>
    <sheet name="Prince George's-12" sheetId="50" r:id="rId37"/>
    <sheet name="Shady Grove-12" sheetId="40" r:id="rId38"/>
    <sheet name="Sinai-12" sheetId="20" r:id="rId39"/>
    <sheet name="Southern Maryland-12" sheetId="33" r:id="rId40"/>
    <sheet name="St Agnes-12" sheetId="35" r:id="rId41"/>
    <sheet name="St. Joseph-12" sheetId="29" r:id="rId42"/>
    <sheet name="Suburban-12" sheetId="21" r:id="rId43"/>
    <sheet name="Union Hospital-12" sheetId="6" r:id="rId44"/>
    <sheet name="University of Maryland-12" sheetId="8" r:id="rId45"/>
    <sheet name="Upper Chesapeake-12" sheetId="28" r:id="rId46"/>
    <sheet name="Washington Adventist-12" sheetId="41" r:id="rId47"/>
    <sheet name="Western Maryland-12" sheetId="3" r:id="rId48"/>
  </sheets>
  <externalReferences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acct" localSheetId="1">#REF!</definedName>
    <definedName name="acct">#REF!</definedName>
    <definedName name="BALANCE_UMMC" localSheetId="1">'[1]p8 CONS BS'!#REF!</definedName>
    <definedName name="BALANCE_UMMC">'[1]p8 CONS BS'!#REF!</definedName>
    <definedName name="C_Code" localSheetId="0">[2]D!#REF!</definedName>
    <definedName name="C_Code" localSheetId="1">[2]D!#REF!</definedName>
    <definedName name="C_Code">[3]D!#REF!</definedName>
    <definedName name="C_Num" localSheetId="0">[2]D!#REF!</definedName>
    <definedName name="C_Num" localSheetId="1">[2]D!#REF!</definedName>
    <definedName name="C_Num">[3]D!#REF!</definedName>
    <definedName name="CASH_UMMC" localSheetId="1">'[1]p10 CF'!#REF!</definedName>
    <definedName name="CASH_UMMC">'[1]p10 CF'!#REF!</definedName>
    <definedName name="CFA_I" localSheetId="0">#REF!</definedName>
    <definedName name="CFA_I" localSheetId="1">#REF!</definedName>
    <definedName name="CFA_I">#REF!</definedName>
    <definedName name="consol" localSheetId="1">#REF!</definedName>
    <definedName name="consol">#REF!</definedName>
    <definedName name="dept" localSheetId="1">#REF!</definedName>
    <definedName name="dept">#REF!</definedName>
    <definedName name="DP_Schedule" localSheetId="0">#REF!</definedName>
    <definedName name="DP_Schedule" localSheetId="1">#REF!</definedName>
    <definedName name="DP_Schedule">#REF!</definedName>
    <definedName name="Factors_I" localSheetId="0">#REF!</definedName>
    <definedName name="Factors_I" localSheetId="1">#REF!</definedName>
    <definedName name="Factors_I">#REF!</definedName>
    <definedName name="flex" localSheetId="1">#REF!</definedName>
    <definedName name="flex">#REF!</definedName>
    <definedName name="FUND_CONS" localSheetId="1">#REF!</definedName>
    <definedName name="FUND_CONS">#REF!</definedName>
    <definedName name="inac1">[4]UMH!$A$976:$W$1022</definedName>
    <definedName name="inac4">[4]CC!$A$136:$W$140</definedName>
    <definedName name="inac7">[4]STC!$A$208:$W$212</definedName>
    <definedName name="kernan" localSheetId="1">#REF!</definedName>
    <definedName name="kernan">#REF!</definedName>
    <definedName name="mrh" localSheetId="1">#REF!</definedName>
    <definedName name="mrh">#REF!</definedName>
    <definedName name="PANDL" localSheetId="1">'[1]p7 CONS IS'!#REF!</definedName>
    <definedName name="PANDL">'[1]p7 CONS IS'!#REF!</definedName>
    <definedName name="PLROWS" localSheetId="1">#REF!</definedName>
    <definedName name="PLROWS">#REF!</definedName>
    <definedName name="_xlnm.Print_Area" localSheetId="0">'2012 Totals'!$A$1:$L$120</definedName>
    <definedName name="_xlnm.Print_Area" localSheetId="2">'Anne Arundel-12'!$A$1:$L$164</definedName>
    <definedName name="_xlnm.Print_Area" localSheetId="3">'Atlantic General-12'!$A$1:$L$156</definedName>
    <definedName name="_xlnm.Print_Area" localSheetId="4">'Baltimore Washington-12'!$A$1:$L$156</definedName>
    <definedName name="_xlnm.Print_Area" localSheetId="5">'Bon Secours-12'!$A$1:$L$157</definedName>
    <definedName name="_xlnm.Print_Area" localSheetId="6">'Calvert-12'!$A$1:$L$156</definedName>
    <definedName name="_xlnm.Print_Area" localSheetId="7">'Carroll Hospital Center-12'!$A$1:$L$156</definedName>
    <definedName name="_xlnm.Print_Area" localSheetId="8">'Chester River-12'!$A$1:$L$156</definedName>
    <definedName name="_xlnm.Print_Area" localSheetId="9">'Civista-12'!$A$1:$L$156</definedName>
    <definedName name="_xlnm.Print_Area" localSheetId="10">'Doctors Community-12'!$A$1:$L$156</definedName>
    <definedName name="_xlnm.Print_Area" localSheetId="12">'Fort Washington-12'!$A$1:$L$156</definedName>
    <definedName name="_xlnm.Print_Area" localSheetId="13">'Frederick Memorial-12'!$A$1:$L$156</definedName>
    <definedName name="_xlnm.Print_Area" localSheetId="1">'FY2012-2011 Comparison'!$A$1:$H$86</definedName>
    <definedName name="_xlnm.Print_Area" localSheetId="14">'Garrett County-12'!$A$1:$L$156</definedName>
    <definedName name="_xlnm.Print_Area" localSheetId="15">'GBMC-12'!$A$1:$L$156</definedName>
    <definedName name="_xlnm.Print_Area" localSheetId="16">'Harford-12'!$A$1:$L$156</definedName>
    <definedName name="_xlnm.Print_Area" localSheetId="17">'Holy Cross-12'!$A$1:$L$156</definedName>
    <definedName name="_xlnm.Print_Area" localSheetId="18">'Howard County-12'!$A$1:$L$156</definedName>
    <definedName name="_xlnm.Print_Area" localSheetId="19">'Johns Hopkins-12'!$A$1:$L$156</definedName>
    <definedName name="_xlnm.Print_Area" localSheetId="22">'Laurel Regional-12'!$A$1:$L$156</definedName>
    <definedName name="_xlnm.Print_Area" localSheetId="23">'Maryland General-12'!$A$1:$L$156</definedName>
    <definedName name="_xlnm.Print_Area" localSheetId="24">'McCready-12'!$A$1:$L$156</definedName>
    <definedName name="_xlnm.Print_Area" localSheetId="26">'Mercy-12'!$A$1:$K$155</definedName>
    <definedName name="_xlnm.Print_Area" localSheetId="27">'Meritus-12'!$A$1:$L$156</definedName>
    <definedName name="_xlnm.Print_Area" localSheetId="28">'MS Franklin Square-12'!$A$1:$L$156</definedName>
    <definedName name="_xlnm.Print_Area" localSheetId="29">'MS Good Samaritan-12'!$A$1:$L$156</definedName>
    <definedName name="_xlnm.Print_Area" localSheetId="30">'MS Harbor-12'!$A$1:$L$156</definedName>
    <definedName name="_xlnm.Print_Area" localSheetId="31">'MS Montgomery-12'!$A$1:$L$156</definedName>
    <definedName name="_xlnm.Print_Area" localSheetId="32">'MS St Mary''s-12'!$A$1:$L$156</definedName>
    <definedName name="_xlnm.Print_Area" localSheetId="33">'MS Union Memorial-12'!$A$1:$L$156</definedName>
    <definedName name="_xlnm.Print_Area" localSheetId="34">'Northwest-12'!$A$1:$L$156</definedName>
    <definedName name="_xlnm.Print_Area" localSheetId="35">'Peninsula Regional-12'!$A$1:$L$156</definedName>
    <definedName name="_xlnm.Print_Area" localSheetId="36">'Prince George''s-12'!$A$1:$L$156</definedName>
    <definedName name="_xlnm.Print_Area" localSheetId="37">'Shady Grove-12'!$A$1:$L$156</definedName>
    <definedName name="_xlnm.Print_Area" localSheetId="38">'Sinai-12'!$A$1:$L$156</definedName>
    <definedName name="_xlnm.Print_Area" localSheetId="39">'Southern Maryland-12'!$A$1:$L$156</definedName>
    <definedName name="_xlnm.Print_Area" localSheetId="40">'St Agnes-12'!$A$1:$L$156</definedName>
    <definedName name="_xlnm.Print_Area" localSheetId="41">'St. Joseph-12'!$A$1:$L$156</definedName>
    <definedName name="_xlnm.Print_Area" localSheetId="42">'Suburban-12'!$A$1:$L$156</definedName>
    <definedName name="_xlnm.Print_Area" localSheetId="43">'Union Hospital-12'!$A$1:$L$156</definedName>
    <definedName name="_xlnm.Print_Area" localSheetId="45">'Upper Chesapeake-12'!$A$1:$L$156</definedName>
    <definedName name="_xlnm.Print_Area" localSheetId="46">'Washington Adventist-12'!$A$1:$L$156</definedName>
    <definedName name="_xlnm.Print_Area" localSheetId="47">'Western Maryland-12'!$A$1:$L$156</definedName>
    <definedName name="_xlnm.Print_Area">'[1]p7 CONS IS'!#REF!</definedName>
    <definedName name="RNAdj" localSheetId="0">[5]RR!#REF!</definedName>
    <definedName name="RNAdj" localSheetId="1">[5]RR!#REF!</definedName>
    <definedName name="RNAdj">[5]RR!#REF!</definedName>
    <definedName name="RoutineSpread" localSheetId="0">[5]RR!#REF!</definedName>
    <definedName name="RoutineSpread" localSheetId="1">[5]RR!#REF!</definedName>
    <definedName name="RoutineSpread">[5]RR!#REF!</definedName>
    <definedName name="RR_2" localSheetId="0">#REF!</definedName>
    <definedName name="RR_2" localSheetId="1">#REF!</definedName>
    <definedName name="RR_2">#REF!</definedName>
    <definedName name="RRAdjustor" localSheetId="0">#REF!</definedName>
    <definedName name="RRAdjustor" localSheetId="1">#REF!</definedName>
    <definedName name="RRAdjustor">#REF!</definedName>
    <definedName name="ttl.salaries" localSheetId="1">#REF!</definedName>
    <definedName name="ttl.salaries">#REF!</definedName>
    <definedName name="UMMC_DEAT" localSheetId="1">'[1]p8 CONS BS'!#REF!</definedName>
    <definedName name="UMMC_DEAT">'[1]p8 CONS BS'!#REF!</definedName>
    <definedName name="UR_Rev_I" localSheetId="0">#REF!</definedName>
    <definedName name="UR_Rev_I" localSheetId="1">#REF!</definedName>
    <definedName name="UR_Rev_I">#REF!</definedName>
    <definedName name="URS_Schedule" localSheetId="0">#REF!</definedName>
    <definedName name="URS_Schedule" localSheetId="1">#REF!</definedName>
    <definedName name="URS_Schedule">#REF!</definedName>
    <definedName name="Z_89DBBB30_03B6_4935_9E9F_6F44344B15A0_.wvu.PrintArea" localSheetId="2" hidden="1">'Anne Arundel-12'!$A$1:$L$164</definedName>
  </definedNames>
  <calcPr calcId="145621" calcMode="autoNoTable" iterate="1" iterateCount="1" iterateDelta="0"/>
</workbook>
</file>

<file path=xl/calcChain.xml><?xml version="1.0" encoding="utf-8"?>
<calcChain xmlns="http://schemas.openxmlformats.org/spreadsheetml/2006/main">
  <c r="B14" i="53" l="1"/>
  <c r="C14" i="53"/>
  <c r="D14" i="53"/>
  <c r="E14" i="53"/>
  <c r="F14" i="53"/>
  <c r="G14" i="53"/>
  <c r="H14" i="53"/>
  <c r="B29" i="53"/>
  <c r="C29" i="53"/>
  <c r="D29" i="53"/>
  <c r="E29" i="53"/>
  <c r="F29" i="53"/>
  <c r="G29" i="53"/>
  <c r="H29" i="53"/>
  <c r="D41" i="53"/>
  <c r="E41" i="53"/>
  <c r="D42" i="53"/>
  <c r="E42" i="53"/>
  <c r="D43" i="53"/>
  <c r="E43" i="53"/>
  <c r="D44" i="53"/>
  <c r="E44" i="53"/>
  <c r="D45" i="53"/>
  <c r="E45" i="53"/>
  <c r="D46" i="53"/>
  <c r="E46" i="53"/>
  <c r="D47" i="53"/>
  <c r="E47" i="53"/>
  <c r="D48" i="53"/>
  <c r="E48" i="53"/>
  <c r="D49" i="53"/>
  <c r="E49" i="53"/>
  <c r="D50" i="53"/>
  <c r="E50" i="53"/>
  <c r="B52" i="53"/>
  <c r="C52" i="53"/>
  <c r="D52" i="53"/>
  <c r="E52" i="53"/>
  <c r="D57" i="53"/>
  <c r="E57" i="53"/>
  <c r="D58" i="53"/>
  <c r="E58" i="53"/>
  <c r="D59" i="53"/>
  <c r="E59" i="53"/>
  <c r="D60" i="53"/>
  <c r="E60" i="53"/>
  <c r="D61" i="53"/>
  <c r="E61" i="53"/>
  <c r="D62" i="53"/>
  <c r="E62" i="53"/>
  <c r="D63" i="53"/>
  <c r="E63" i="53"/>
  <c r="D64" i="53"/>
  <c r="E64" i="53"/>
  <c r="D65" i="53"/>
  <c r="E65" i="53"/>
  <c r="B68" i="53"/>
  <c r="D68" i="53" s="1"/>
  <c r="C68" i="53"/>
  <c r="D74" i="53"/>
  <c r="E74" i="53"/>
  <c r="D75" i="53"/>
  <c r="E75" i="53"/>
  <c r="D76" i="53"/>
  <c r="E76" i="53"/>
  <c r="D77" i="53"/>
  <c r="E77" i="53"/>
  <c r="D78" i="53"/>
  <c r="E78" i="53"/>
  <c r="D79" i="53"/>
  <c r="E79" i="53"/>
  <c r="D80" i="53"/>
  <c r="E80" i="53"/>
  <c r="D81" i="53"/>
  <c r="E81" i="53"/>
  <c r="D82" i="53"/>
  <c r="E82" i="53"/>
  <c r="D83" i="53"/>
  <c r="E83" i="53"/>
  <c r="B85" i="53"/>
  <c r="D85" i="53" s="1"/>
  <c r="E85" i="53" s="1"/>
  <c r="C85" i="53"/>
  <c r="E68" i="53" l="1"/>
  <c r="F115" i="52"/>
  <c r="G93" i="52" l="1"/>
  <c r="H93" i="52"/>
  <c r="I93" i="52"/>
  <c r="J93" i="52"/>
  <c r="K93" i="52"/>
  <c r="F93" i="52"/>
  <c r="G92" i="52"/>
  <c r="H92" i="52"/>
  <c r="I92" i="52"/>
  <c r="J92" i="52"/>
  <c r="K92" i="52"/>
  <c r="F92" i="52"/>
  <c r="F86" i="52"/>
  <c r="L109" i="52" s="1"/>
  <c r="G80" i="52"/>
  <c r="H80" i="52"/>
  <c r="I80" i="52"/>
  <c r="J80" i="52"/>
  <c r="K80" i="52"/>
  <c r="F80" i="52"/>
  <c r="G79" i="52"/>
  <c r="H79" i="52"/>
  <c r="I79" i="52"/>
  <c r="J79" i="52"/>
  <c r="K79" i="52"/>
  <c r="F79" i="52"/>
  <c r="G78" i="52"/>
  <c r="H78" i="52"/>
  <c r="I78" i="52"/>
  <c r="J78" i="52"/>
  <c r="K78" i="52"/>
  <c r="F78" i="52"/>
  <c r="G77" i="52"/>
  <c r="H77" i="52"/>
  <c r="I77" i="52"/>
  <c r="J77" i="52"/>
  <c r="K77" i="52"/>
  <c r="F77" i="52"/>
  <c r="G76" i="52"/>
  <c r="H76" i="52"/>
  <c r="I76" i="52"/>
  <c r="J76" i="52"/>
  <c r="K76" i="52"/>
  <c r="F76" i="52"/>
  <c r="G69" i="52"/>
  <c r="H69" i="52"/>
  <c r="J69" i="52"/>
  <c r="F69" i="52"/>
  <c r="G68" i="52"/>
  <c r="H68" i="52"/>
  <c r="J68" i="52"/>
  <c r="F68" i="52"/>
  <c r="G67" i="52"/>
  <c r="H67" i="52"/>
  <c r="I67" i="52"/>
  <c r="J67" i="52"/>
  <c r="F67" i="52"/>
  <c r="G66" i="52"/>
  <c r="H66" i="52"/>
  <c r="J66" i="52"/>
  <c r="F66" i="52"/>
  <c r="G65" i="52"/>
  <c r="H65" i="52"/>
  <c r="J65" i="52"/>
  <c r="F65" i="52"/>
  <c r="G64" i="52"/>
  <c r="H64" i="52"/>
  <c r="J64" i="52"/>
  <c r="F64" i="52"/>
  <c r="G63" i="52"/>
  <c r="H63" i="52"/>
  <c r="J63" i="52"/>
  <c r="F63" i="52"/>
  <c r="G62" i="52"/>
  <c r="H62" i="52"/>
  <c r="J62" i="52"/>
  <c r="F62" i="52"/>
  <c r="G61" i="52"/>
  <c r="H61" i="52"/>
  <c r="J61" i="52"/>
  <c r="F61" i="52"/>
  <c r="G60" i="52"/>
  <c r="H60" i="52"/>
  <c r="J60" i="52"/>
  <c r="F60" i="52"/>
  <c r="G59" i="52"/>
  <c r="H59" i="52"/>
  <c r="J59" i="52"/>
  <c r="F59" i="52"/>
  <c r="G51" i="52"/>
  <c r="H51" i="52"/>
  <c r="I51" i="52"/>
  <c r="J51" i="52"/>
  <c r="F51" i="52"/>
  <c r="G50" i="52"/>
  <c r="H50" i="52"/>
  <c r="I50" i="52"/>
  <c r="J50" i="52"/>
  <c r="F50" i="52"/>
  <c r="G49" i="52"/>
  <c r="H49" i="52"/>
  <c r="I49" i="52"/>
  <c r="J49" i="52"/>
  <c r="F49" i="52"/>
  <c r="G48" i="52"/>
  <c r="H48" i="52"/>
  <c r="I48" i="52"/>
  <c r="J48" i="52"/>
  <c r="F48" i="52"/>
  <c r="G41" i="52"/>
  <c r="H41" i="52"/>
  <c r="I41" i="52"/>
  <c r="J41" i="52"/>
  <c r="F41" i="52"/>
  <c r="G40" i="52"/>
  <c r="H40" i="52"/>
  <c r="I40" i="52"/>
  <c r="J40" i="52"/>
  <c r="F40" i="52"/>
  <c r="G42" i="52"/>
  <c r="H42" i="52"/>
  <c r="I42" i="52"/>
  <c r="J42" i="52"/>
  <c r="F42" i="52"/>
  <c r="G29" i="52"/>
  <c r="H29" i="52"/>
  <c r="J29" i="52"/>
  <c r="F29" i="52"/>
  <c r="G28" i="52"/>
  <c r="H28" i="52"/>
  <c r="I28" i="52"/>
  <c r="J28" i="52"/>
  <c r="F28" i="52"/>
  <c r="G27" i="52"/>
  <c r="H27" i="52"/>
  <c r="I27" i="52"/>
  <c r="J27" i="52"/>
  <c r="F27" i="52"/>
  <c r="G26" i="52"/>
  <c r="H26" i="52"/>
  <c r="J26" i="52"/>
  <c r="F26" i="52"/>
  <c r="G25" i="52"/>
  <c r="H25" i="52"/>
  <c r="I25" i="52"/>
  <c r="J25" i="52"/>
  <c r="F25" i="52"/>
  <c r="G18" i="52"/>
  <c r="H18" i="52"/>
  <c r="J18" i="52"/>
  <c r="F18" i="52"/>
  <c r="L93" i="52" l="1"/>
  <c r="L80" i="52"/>
  <c r="L92" i="52"/>
  <c r="K109" i="52"/>
  <c r="H109" i="52"/>
  <c r="L76" i="52"/>
  <c r="L77" i="52"/>
  <c r="L78" i="52"/>
  <c r="L79" i="52"/>
  <c r="K30" i="24"/>
  <c r="F10" i="52"/>
  <c r="G10" i="52"/>
  <c r="H10" i="52"/>
  <c r="J10" i="52"/>
  <c r="F11" i="52"/>
  <c r="G11" i="52"/>
  <c r="H11" i="52"/>
  <c r="J11" i="52"/>
  <c r="F12" i="52"/>
  <c r="G12" i="52"/>
  <c r="H12" i="52"/>
  <c r="J12" i="52"/>
  <c r="F13" i="52"/>
  <c r="G13" i="52"/>
  <c r="H13" i="52"/>
  <c r="J13" i="52"/>
  <c r="F14" i="52"/>
  <c r="G14" i="52"/>
  <c r="H14" i="52"/>
  <c r="J14" i="52"/>
  <c r="F15" i="52"/>
  <c r="G15" i="52"/>
  <c r="H15" i="52"/>
  <c r="J15" i="52"/>
  <c r="F16" i="52"/>
  <c r="G16" i="52"/>
  <c r="H16" i="52"/>
  <c r="J16" i="52"/>
  <c r="F17" i="52"/>
  <c r="G17" i="52"/>
  <c r="H17" i="52"/>
  <c r="J17" i="52"/>
  <c r="G9" i="52"/>
  <c r="H9" i="52"/>
  <c r="J9" i="52"/>
  <c r="F9" i="52"/>
  <c r="G6" i="52"/>
  <c r="G111" i="52" s="1"/>
  <c r="H6" i="52"/>
  <c r="H111" i="52" s="1"/>
  <c r="I6" i="52"/>
  <c r="I111" i="52" s="1"/>
  <c r="J6" i="52"/>
  <c r="J111" i="52" s="1"/>
  <c r="F6" i="52"/>
  <c r="F111" i="52" s="1"/>
  <c r="K21" i="45"/>
  <c r="K22" i="45"/>
  <c r="K23" i="45"/>
  <c r="K24" i="45"/>
  <c r="K25" i="45"/>
  <c r="K26" i="45"/>
  <c r="K27" i="45"/>
  <c r="K28" i="45"/>
  <c r="K29" i="45"/>
  <c r="K30" i="45"/>
  <c r="I31" i="45"/>
  <c r="K31" i="45"/>
  <c r="I32" i="45"/>
  <c r="K32" i="45" s="1"/>
  <c r="I33" i="45"/>
  <c r="K33" i="45" s="1"/>
  <c r="I34" i="45"/>
  <c r="K34" i="45" s="1"/>
  <c r="F123" i="46"/>
  <c r="F127" i="46"/>
  <c r="D115" i="52"/>
  <c r="J97" i="52"/>
  <c r="J110" i="52" s="1"/>
  <c r="H97" i="52"/>
  <c r="H110" i="52" s="1"/>
  <c r="F97" i="52"/>
  <c r="F110" i="52" s="1"/>
  <c r="K97" i="52"/>
  <c r="K110" i="52" s="1"/>
  <c r="I97" i="52"/>
  <c r="I110" i="52" s="1"/>
  <c r="G97" i="52"/>
  <c r="G110" i="52" s="1"/>
  <c r="I82" i="52"/>
  <c r="I108" i="52" s="1"/>
  <c r="G82" i="52"/>
  <c r="G108" i="52" s="1"/>
  <c r="J82" i="52"/>
  <c r="J108" i="52" s="1"/>
  <c r="H82" i="52"/>
  <c r="H108" i="52" s="1"/>
  <c r="F82" i="52"/>
  <c r="F108" i="52" s="1"/>
  <c r="G71" i="52"/>
  <c r="G107" i="52" s="1"/>
  <c r="J71" i="52"/>
  <c r="J107" i="52" s="1"/>
  <c r="H71" i="52"/>
  <c r="H107" i="52" s="1"/>
  <c r="F71" i="52"/>
  <c r="F107" i="52" s="1"/>
  <c r="J53" i="52"/>
  <c r="J106" i="52" s="1"/>
  <c r="I53" i="52"/>
  <c r="I106" i="52" s="1"/>
  <c r="H53" i="52"/>
  <c r="H106" i="52" s="1"/>
  <c r="G53" i="52"/>
  <c r="G106" i="52" s="1"/>
  <c r="F53" i="52"/>
  <c r="F106" i="52" s="1"/>
  <c r="J31" i="52"/>
  <c r="J103" i="52" s="1"/>
  <c r="H31" i="52"/>
  <c r="H103" i="52" s="1"/>
  <c r="G31" i="52"/>
  <c r="G103" i="52" s="1"/>
  <c r="F31" i="52"/>
  <c r="F103" i="52" s="1"/>
  <c r="K18" i="50"/>
  <c r="I21" i="50"/>
  <c r="K21" i="50"/>
  <c r="I22" i="50"/>
  <c r="I23" i="50"/>
  <c r="K23" i="50"/>
  <c r="I24" i="50"/>
  <c r="K24" i="50" s="1"/>
  <c r="I25" i="50"/>
  <c r="K25" i="50"/>
  <c r="I26" i="50"/>
  <c r="K26" i="50" s="1"/>
  <c r="I27" i="50"/>
  <c r="K27" i="50"/>
  <c r="I28" i="50"/>
  <c r="K28" i="50" s="1"/>
  <c r="I29" i="50"/>
  <c r="K29" i="50"/>
  <c r="I30" i="50"/>
  <c r="K30" i="50" s="1"/>
  <c r="I31" i="50"/>
  <c r="K31" i="50"/>
  <c r="I32" i="50"/>
  <c r="K32" i="50" s="1"/>
  <c r="I33" i="50"/>
  <c r="K33" i="50"/>
  <c r="I34" i="50"/>
  <c r="K34" i="50" s="1"/>
  <c r="F36" i="50"/>
  <c r="G36" i="50"/>
  <c r="G141" i="50" s="1"/>
  <c r="G152" i="50" s="1"/>
  <c r="H36" i="50"/>
  <c r="J36" i="50"/>
  <c r="K40" i="50"/>
  <c r="K41" i="50"/>
  <c r="K42" i="50"/>
  <c r="K43" i="50"/>
  <c r="I44" i="50"/>
  <c r="K44" i="50" s="1"/>
  <c r="K45" i="50"/>
  <c r="K46" i="50"/>
  <c r="K47" i="50"/>
  <c r="F49" i="50"/>
  <c r="G49" i="50"/>
  <c r="H49" i="50"/>
  <c r="H142" i="50" s="1"/>
  <c r="J49" i="50"/>
  <c r="I53" i="50"/>
  <c r="K53" i="50" s="1"/>
  <c r="K54" i="50"/>
  <c r="K55" i="50"/>
  <c r="K56" i="50"/>
  <c r="K57" i="50"/>
  <c r="K58" i="50"/>
  <c r="K59" i="50"/>
  <c r="K60" i="50"/>
  <c r="K61" i="50"/>
  <c r="K62" i="50"/>
  <c r="F64" i="50"/>
  <c r="F143" i="50" s="1"/>
  <c r="G64" i="50"/>
  <c r="H64" i="50"/>
  <c r="J64" i="50"/>
  <c r="J143" i="50" s="1"/>
  <c r="K68" i="50"/>
  <c r="K69" i="50"/>
  <c r="K74" i="50" s="1"/>
  <c r="K144" i="50" s="1"/>
  <c r="K70" i="50"/>
  <c r="K71" i="50"/>
  <c r="K72" i="50"/>
  <c r="F74" i="50"/>
  <c r="G74" i="50"/>
  <c r="H74" i="50"/>
  <c r="I74" i="50"/>
  <c r="J74" i="50"/>
  <c r="K77" i="50"/>
  <c r="K82" i="50" s="1"/>
  <c r="K145" i="50" s="1"/>
  <c r="K78" i="50"/>
  <c r="K79" i="50"/>
  <c r="K80" i="50"/>
  <c r="F82" i="50"/>
  <c r="G82" i="50"/>
  <c r="H82" i="50"/>
  <c r="I82" i="50"/>
  <c r="J82" i="50"/>
  <c r="I86" i="50"/>
  <c r="K86" i="50" s="1"/>
  <c r="I87" i="50"/>
  <c r="K87" i="50" s="1"/>
  <c r="I88" i="50"/>
  <c r="K88" i="50" s="1"/>
  <c r="I89" i="50"/>
  <c r="K89" i="50" s="1"/>
  <c r="I90" i="50"/>
  <c r="K90" i="50"/>
  <c r="I91" i="50"/>
  <c r="K91" i="50" s="1"/>
  <c r="I92" i="50"/>
  <c r="K92" i="50" s="1"/>
  <c r="I93" i="50"/>
  <c r="K93" i="50" s="1"/>
  <c r="I94" i="50"/>
  <c r="K94" i="50" s="1"/>
  <c r="I95" i="50"/>
  <c r="K95" i="50" s="1"/>
  <c r="I96" i="50"/>
  <c r="K96" i="50"/>
  <c r="F98" i="50"/>
  <c r="G98" i="50"/>
  <c r="H98" i="50"/>
  <c r="H146" i="50" s="1"/>
  <c r="J98" i="50"/>
  <c r="F102" i="50"/>
  <c r="F108" i="50" s="1"/>
  <c r="F147" i="50" s="1"/>
  <c r="H102" i="50"/>
  <c r="I102" i="50" s="1"/>
  <c r="K102" i="50" s="1"/>
  <c r="I103" i="50"/>
  <c r="K103" i="50"/>
  <c r="I104" i="50"/>
  <c r="K104" i="50" s="1"/>
  <c r="I105" i="50"/>
  <c r="K105" i="50" s="1"/>
  <c r="I106" i="50"/>
  <c r="G108" i="50"/>
  <c r="H108" i="50"/>
  <c r="H147" i="50" s="1"/>
  <c r="J108" i="50"/>
  <c r="F119" i="50"/>
  <c r="K131" i="50"/>
  <c r="K132" i="50"/>
  <c r="K133" i="50"/>
  <c r="K134" i="50"/>
  <c r="K135" i="50"/>
  <c r="F137" i="50"/>
  <c r="G137" i="50"/>
  <c r="H137" i="50"/>
  <c r="I137" i="50"/>
  <c r="I149" i="50" s="1"/>
  <c r="J137" i="50"/>
  <c r="F141" i="50"/>
  <c r="H141" i="50"/>
  <c r="J141" i="50"/>
  <c r="F142" i="50"/>
  <c r="G142" i="50"/>
  <c r="J142" i="50"/>
  <c r="G143" i="50"/>
  <c r="H143" i="50"/>
  <c r="F144" i="50"/>
  <c r="G144" i="50"/>
  <c r="H144" i="50"/>
  <c r="I144" i="50"/>
  <c r="J144" i="50"/>
  <c r="F145" i="50"/>
  <c r="G145" i="50"/>
  <c r="H145" i="50"/>
  <c r="I145" i="50"/>
  <c r="J145" i="50"/>
  <c r="F146" i="50"/>
  <c r="G146" i="50"/>
  <c r="J146" i="50"/>
  <c r="G147" i="50"/>
  <c r="J147" i="50"/>
  <c r="K148" i="50"/>
  <c r="F149" i="50"/>
  <c r="G149" i="50"/>
  <c r="H149" i="50"/>
  <c r="J149" i="50"/>
  <c r="H150" i="50"/>
  <c r="I150" i="50"/>
  <c r="J150" i="50"/>
  <c r="K150" i="50"/>
  <c r="K18" i="49"/>
  <c r="F21" i="49"/>
  <c r="F36" i="49" s="1"/>
  <c r="F141" i="49" s="1"/>
  <c r="I21" i="49"/>
  <c r="I22" i="49"/>
  <c r="K22" i="49"/>
  <c r="I23" i="49"/>
  <c r="K23" i="49" s="1"/>
  <c r="F24" i="49"/>
  <c r="I24" i="49"/>
  <c r="K24" i="49" s="1"/>
  <c r="I25" i="49"/>
  <c r="K25" i="49" s="1"/>
  <c r="I26" i="49"/>
  <c r="K26" i="49" s="1"/>
  <c r="I27" i="49"/>
  <c r="K27" i="49" s="1"/>
  <c r="I28" i="49"/>
  <c r="K28" i="49" s="1"/>
  <c r="F29" i="49"/>
  <c r="I29" i="49"/>
  <c r="K29" i="49" s="1"/>
  <c r="F30" i="49"/>
  <c r="I30" i="49"/>
  <c r="K30" i="49" s="1"/>
  <c r="F31" i="49"/>
  <c r="I31" i="49"/>
  <c r="K31" i="49"/>
  <c r="I32" i="49"/>
  <c r="K32" i="49" s="1"/>
  <c r="I33" i="49"/>
  <c r="K33" i="49"/>
  <c r="I34" i="49"/>
  <c r="K34" i="49" s="1"/>
  <c r="G36" i="49"/>
  <c r="G141" i="49" s="1"/>
  <c r="H36" i="49"/>
  <c r="H141" i="49" s="1"/>
  <c r="J36" i="49"/>
  <c r="K40" i="49"/>
  <c r="K49" i="49" s="1"/>
  <c r="K41" i="49"/>
  <c r="K42" i="49"/>
  <c r="K43" i="49"/>
  <c r="K44" i="49"/>
  <c r="K45" i="49"/>
  <c r="K46" i="49"/>
  <c r="K47" i="49"/>
  <c r="F49" i="49"/>
  <c r="F142" i="49" s="1"/>
  <c r="G49" i="49"/>
  <c r="H49" i="49"/>
  <c r="I49" i="49"/>
  <c r="J49" i="49"/>
  <c r="J142" i="49" s="1"/>
  <c r="K53" i="49"/>
  <c r="K54" i="49"/>
  <c r="K55" i="49"/>
  <c r="K64" i="49" s="1"/>
  <c r="K143" i="49" s="1"/>
  <c r="K56" i="49"/>
  <c r="K57" i="49"/>
  <c r="K58" i="49"/>
  <c r="K59" i="49"/>
  <c r="K60" i="49"/>
  <c r="K61" i="49"/>
  <c r="K62" i="49"/>
  <c r="F64" i="49"/>
  <c r="G64" i="49"/>
  <c r="G143" i="49" s="1"/>
  <c r="H64" i="49"/>
  <c r="H143" i="49" s="1"/>
  <c r="I64" i="49"/>
  <c r="J64" i="49"/>
  <c r="K68" i="49"/>
  <c r="K69" i="49"/>
  <c r="K70" i="49"/>
  <c r="K71" i="49"/>
  <c r="K72" i="49"/>
  <c r="F74" i="49"/>
  <c r="G74" i="49"/>
  <c r="H74" i="49"/>
  <c r="I74" i="49"/>
  <c r="J74" i="49"/>
  <c r="K74" i="49"/>
  <c r="K77" i="49"/>
  <c r="K78" i="49"/>
  <c r="K79" i="49"/>
  <c r="K80" i="49"/>
  <c r="F82" i="49"/>
  <c r="G82" i="49"/>
  <c r="H82" i="49"/>
  <c r="I82" i="49"/>
  <c r="J82" i="49"/>
  <c r="I86" i="49"/>
  <c r="K86" i="49" s="1"/>
  <c r="I87" i="49"/>
  <c r="K87" i="49" s="1"/>
  <c r="I88" i="49"/>
  <c r="K88" i="49" s="1"/>
  <c r="I89" i="49"/>
  <c r="K89" i="49" s="1"/>
  <c r="I90" i="49"/>
  <c r="K90" i="49" s="1"/>
  <c r="I91" i="49"/>
  <c r="K91" i="49" s="1"/>
  <c r="I92" i="49"/>
  <c r="K92" i="49" s="1"/>
  <c r="I93" i="49"/>
  <c r="K93" i="49" s="1"/>
  <c r="I94" i="49"/>
  <c r="K94" i="49" s="1"/>
  <c r="I95" i="49"/>
  <c r="K95" i="49" s="1"/>
  <c r="I96" i="49"/>
  <c r="K96" i="49" s="1"/>
  <c r="F98" i="49"/>
  <c r="F146" i="49" s="1"/>
  <c r="G98" i="49"/>
  <c r="H98" i="49"/>
  <c r="J98" i="49"/>
  <c r="J146" i="49" s="1"/>
  <c r="I102" i="49"/>
  <c r="K102" i="49" s="1"/>
  <c r="I103" i="49"/>
  <c r="K103" i="49" s="1"/>
  <c r="I104" i="49"/>
  <c r="K104" i="49" s="1"/>
  <c r="I105" i="49"/>
  <c r="K105" i="49" s="1"/>
  <c r="I106" i="49"/>
  <c r="K106" i="49" s="1"/>
  <c r="F108" i="49"/>
  <c r="G108" i="49"/>
  <c r="G147" i="49" s="1"/>
  <c r="H108" i="49"/>
  <c r="J108" i="49"/>
  <c r="F119" i="49"/>
  <c r="F123" i="49" s="1"/>
  <c r="F127" i="49" s="1"/>
  <c r="K131" i="49"/>
  <c r="K132" i="49"/>
  <c r="K133" i="49"/>
  <c r="K134" i="49"/>
  <c r="K135" i="49"/>
  <c r="F137" i="49"/>
  <c r="F149" i="49" s="1"/>
  <c r="G137" i="49"/>
  <c r="H137" i="49"/>
  <c r="I137" i="49"/>
  <c r="I149" i="49" s="1"/>
  <c r="J137" i="49"/>
  <c r="J141" i="49"/>
  <c r="G142" i="49"/>
  <c r="H142" i="49"/>
  <c r="I142" i="49"/>
  <c r="K142" i="49"/>
  <c r="F143" i="49"/>
  <c r="I143" i="49"/>
  <c r="J143" i="49"/>
  <c r="F144" i="49"/>
  <c r="G144" i="49"/>
  <c r="H144" i="49"/>
  <c r="I144" i="49"/>
  <c r="J144" i="49"/>
  <c r="K144" i="49"/>
  <c r="F145" i="49"/>
  <c r="G145" i="49"/>
  <c r="H145" i="49"/>
  <c r="I145" i="49"/>
  <c r="J145" i="49"/>
  <c r="G146" i="49"/>
  <c r="H146" i="49"/>
  <c r="F147" i="49"/>
  <c r="H147" i="49"/>
  <c r="J147" i="49"/>
  <c r="K148" i="49"/>
  <c r="G149" i="49"/>
  <c r="H149" i="49"/>
  <c r="J149" i="49"/>
  <c r="H150" i="49"/>
  <c r="I150" i="49"/>
  <c r="J150" i="49"/>
  <c r="K150" i="49"/>
  <c r="J152" i="49"/>
  <c r="K18" i="48"/>
  <c r="K21" i="48"/>
  <c r="K22" i="48"/>
  <c r="K23" i="48"/>
  <c r="K24" i="48"/>
  <c r="K25" i="48"/>
  <c r="K26" i="48"/>
  <c r="K27" i="48"/>
  <c r="K28" i="48"/>
  <c r="K29" i="48"/>
  <c r="K30" i="48"/>
  <c r="K31" i="48"/>
  <c r="K32" i="48"/>
  <c r="K33" i="48"/>
  <c r="K34" i="48"/>
  <c r="F36" i="48"/>
  <c r="F141" i="48" s="1"/>
  <c r="G36" i="48"/>
  <c r="G141" i="48" s="1"/>
  <c r="H36" i="48"/>
  <c r="I36" i="48"/>
  <c r="J36" i="48"/>
  <c r="J141" i="48" s="1"/>
  <c r="J152" i="48" s="1"/>
  <c r="K40" i="48"/>
  <c r="K41" i="48"/>
  <c r="K42" i="48"/>
  <c r="K43" i="48"/>
  <c r="K44" i="48"/>
  <c r="K45" i="48"/>
  <c r="K46" i="48"/>
  <c r="K47" i="48"/>
  <c r="F49" i="48"/>
  <c r="G49" i="48"/>
  <c r="H49" i="48"/>
  <c r="H142" i="48" s="1"/>
  <c r="I49" i="48"/>
  <c r="I142" i="48" s="1"/>
  <c r="J49" i="48"/>
  <c r="K53" i="48"/>
  <c r="K54" i="48"/>
  <c r="K55" i="48"/>
  <c r="K56" i="48"/>
  <c r="K57" i="48"/>
  <c r="K58" i="48"/>
  <c r="H59" i="48"/>
  <c r="K59" i="48" s="1"/>
  <c r="H60" i="48"/>
  <c r="K60" i="48" s="1"/>
  <c r="I60" i="48"/>
  <c r="H61" i="48"/>
  <c r="K61" i="48"/>
  <c r="K62" i="48"/>
  <c r="F64" i="48"/>
  <c r="G64" i="48"/>
  <c r="H64" i="48"/>
  <c r="H143" i="48" s="1"/>
  <c r="I64" i="48"/>
  <c r="J64" i="48"/>
  <c r="K68" i="48"/>
  <c r="K69" i="48"/>
  <c r="K70" i="48"/>
  <c r="K71" i="48"/>
  <c r="K72" i="48"/>
  <c r="F74" i="48"/>
  <c r="F144" i="48" s="1"/>
  <c r="G74" i="48"/>
  <c r="H74" i="48"/>
  <c r="I74" i="48"/>
  <c r="I144" i="48" s="1"/>
  <c r="J74" i="48"/>
  <c r="J144" i="48" s="1"/>
  <c r="K77" i="48"/>
  <c r="K78" i="48"/>
  <c r="K79" i="48"/>
  <c r="K82" i="48" s="1"/>
  <c r="K145" i="48" s="1"/>
  <c r="K80" i="48"/>
  <c r="F82" i="48"/>
  <c r="G82" i="48"/>
  <c r="G145" i="48" s="1"/>
  <c r="H82" i="48"/>
  <c r="H145" i="48" s="1"/>
  <c r="I82" i="48"/>
  <c r="J82" i="48"/>
  <c r="I86" i="48"/>
  <c r="I87" i="48"/>
  <c r="K87" i="48" s="1"/>
  <c r="K88" i="48"/>
  <c r="I89" i="48"/>
  <c r="K89" i="48" s="1"/>
  <c r="K90" i="48"/>
  <c r="I91" i="48"/>
  <c r="K91" i="48"/>
  <c r="I92" i="48"/>
  <c r="K92" i="48" s="1"/>
  <c r="I93" i="48"/>
  <c r="K93" i="48"/>
  <c r="I94" i="48"/>
  <c r="K94" i="48" s="1"/>
  <c r="I95" i="48"/>
  <c r="K95" i="48"/>
  <c r="I96" i="48"/>
  <c r="K96" i="48" s="1"/>
  <c r="F98" i="48"/>
  <c r="G98" i="48"/>
  <c r="H98" i="48"/>
  <c r="H146" i="48" s="1"/>
  <c r="J98" i="48"/>
  <c r="K102" i="48"/>
  <c r="K103" i="48"/>
  <c r="K104" i="48"/>
  <c r="I105" i="48"/>
  <c r="K105" i="48" s="1"/>
  <c r="I106" i="48"/>
  <c r="K106" i="48" s="1"/>
  <c r="F108" i="48"/>
  <c r="G108" i="48"/>
  <c r="H108" i="48"/>
  <c r="I108" i="48"/>
  <c r="J108" i="48"/>
  <c r="F119" i="48"/>
  <c r="K131" i="48"/>
  <c r="K132" i="48"/>
  <c r="K137" i="48" s="1"/>
  <c r="K133" i="48"/>
  <c r="K134" i="48"/>
  <c r="K135" i="48"/>
  <c r="F137" i="48"/>
  <c r="F149" i="48" s="1"/>
  <c r="G137" i="48"/>
  <c r="H137" i="48"/>
  <c r="I137" i="48"/>
  <c r="J137" i="48"/>
  <c r="J149" i="48" s="1"/>
  <c r="H141" i="48"/>
  <c r="I141" i="48"/>
  <c r="F142" i="48"/>
  <c r="G142" i="48"/>
  <c r="J142" i="48"/>
  <c r="F143" i="48"/>
  <c r="G143" i="48"/>
  <c r="I143" i="48"/>
  <c r="J143" i="48"/>
  <c r="G144" i="48"/>
  <c r="H144" i="48"/>
  <c r="F145" i="48"/>
  <c r="I145" i="48"/>
  <c r="J145" i="48"/>
  <c r="F146" i="48"/>
  <c r="G146" i="48"/>
  <c r="J146" i="48"/>
  <c r="F147" i="48"/>
  <c r="G147" i="48"/>
  <c r="H147" i="48"/>
  <c r="I147" i="48"/>
  <c r="J147" i="48"/>
  <c r="K148" i="48"/>
  <c r="G149" i="48"/>
  <c r="H149" i="48"/>
  <c r="I149" i="48"/>
  <c r="K149" i="48"/>
  <c r="H150" i="48"/>
  <c r="I150" i="48"/>
  <c r="J150" i="48"/>
  <c r="K150" i="48"/>
  <c r="K18" i="47"/>
  <c r="F21" i="47"/>
  <c r="G21" i="47"/>
  <c r="H21" i="47"/>
  <c r="J21" i="47"/>
  <c r="F22" i="47"/>
  <c r="G22" i="47"/>
  <c r="H22" i="47"/>
  <c r="I22" i="47"/>
  <c r="K22" i="47" s="1"/>
  <c r="I23" i="47"/>
  <c r="K23" i="47" s="1"/>
  <c r="I24" i="47"/>
  <c r="K24" i="47" s="1"/>
  <c r="F25" i="47"/>
  <c r="G25" i="47"/>
  <c r="H25" i="47"/>
  <c r="I25" i="47" s="1"/>
  <c r="J25" i="47"/>
  <c r="J36" i="47" s="1"/>
  <c r="J141" i="47" s="1"/>
  <c r="F26" i="47"/>
  <c r="I26" i="47"/>
  <c r="K26" i="47" s="1"/>
  <c r="I27" i="47"/>
  <c r="K27" i="47" s="1"/>
  <c r="I28" i="47"/>
  <c r="K28" i="47" s="1"/>
  <c r="F29" i="47"/>
  <c r="G29" i="47"/>
  <c r="I29" i="47"/>
  <c r="K29" i="47" s="1"/>
  <c r="F30" i="47"/>
  <c r="I30" i="47"/>
  <c r="K30" i="47" s="1"/>
  <c r="I31" i="47"/>
  <c r="K31" i="47" s="1"/>
  <c r="I32" i="47"/>
  <c r="K32" i="47" s="1"/>
  <c r="I33" i="47"/>
  <c r="K33" i="47" s="1"/>
  <c r="I34" i="47"/>
  <c r="K34" i="47" s="1"/>
  <c r="F36" i="47"/>
  <c r="F141" i="47" s="1"/>
  <c r="G36" i="47"/>
  <c r="G141" i="47" s="1"/>
  <c r="K40" i="47"/>
  <c r="K49" i="47" s="1"/>
  <c r="K41" i="47"/>
  <c r="K42" i="47"/>
  <c r="K43" i="47"/>
  <c r="K44" i="47"/>
  <c r="K45" i="47"/>
  <c r="K46" i="47"/>
  <c r="K47" i="47"/>
  <c r="F49" i="47"/>
  <c r="F142" i="47" s="1"/>
  <c r="G49" i="47"/>
  <c r="H49" i="47"/>
  <c r="I49" i="47"/>
  <c r="J49" i="47"/>
  <c r="J142" i="47" s="1"/>
  <c r="K53" i="47"/>
  <c r="K54" i="47"/>
  <c r="K55" i="47"/>
  <c r="K64" i="47" s="1"/>
  <c r="K143" i="47" s="1"/>
  <c r="K56" i="47"/>
  <c r="K57" i="47"/>
  <c r="K58" i="47"/>
  <c r="K59" i="47"/>
  <c r="K60" i="47"/>
  <c r="K61" i="47"/>
  <c r="K62" i="47"/>
  <c r="F64" i="47"/>
  <c r="F143" i="47" s="1"/>
  <c r="G64" i="47"/>
  <c r="G143" i="47" s="1"/>
  <c r="H64" i="47"/>
  <c r="I64" i="47"/>
  <c r="J64" i="47"/>
  <c r="K68" i="47"/>
  <c r="K69" i="47"/>
  <c r="K70" i="47"/>
  <c r="K71" i="47"/>
  <c r="K72" i="47"/>
  <c r="F74" i="47"/>
  <c r="G74" i="47"/>
  <c r="H74" i="47"/>
  <c r="I74" i="47"/>
  <c r="J74" i="47"/>
  <c r="K74" i="47"/>
  <c r="K77" i="47"/>
  <c r="K78" i="47"/>
  <c r="F79" i="47"/>
  <c r="G79" i="47"/>
  <c r="H79" i="47"/>
  <c r="K80" i="47"/>
  <c r="F82" i="47"/>
  <c r="F145" i="47" s="1"/>
  <c r="G82" i="47"/>
  <c r="G145" i="47" s="1"/>
  <c r="I82" i="47"/>
  <c r="J82" i="47"/>
  <c r="I86" i="47"/>
  <c r="K86" i="47" s="1"/>
  <c r="F87" i="47"/>
  <c r="G87" i="47"/>
  <c r="H87" i="47"/>
  <c r="I88" i="47"/>
  <c r="K88" i="47" s="1"/>
  <c r="I89" i="47"/>
  <c r="K89" i="47"/>
  <c r="F90" i="47"/>
  <c r="H90" i="47"/>
  <c r="I90" i="47" s="1"/>
  <c r="K90" i="47" s="1"/>
  <c r="F91" i="47"/>
  <c r="G91" i="47"/>
  <c r="H91" i="47"/>
  <c r="I91" i="47" s="1"/>
  <c r="K91" i="47" s="1"/>
  <c r="I92" i="47"/>
  <c r="K92" i="47" s="1"/>
  <c r="I93" i="47"/>
  <c r="K93" i="47" s="1"/>
  <c r="I94" i="47"/>
  <c r="K94" i="47" s="1"/>
  <c r="I95" i="47"/>
  <c r="K95" i="47" s="1"/>
  <c r="I96" i="47"/>
  <c r="K96" i="47" s="1"/>
  <c r="F98" i="47"/>
  <c r="F146" i="47" s="1"/>
  <c r="J98" i="47"/>
  <c r="J146" i="47" s="1"/>
  <c r="I102" i="47"/>
  <c r="K102" i="47" s="1"/>
  <c r="I103" i="47"/>
  <c r="K103" i="47" s="1"/>
  <c r="I104" i="47"/>
  <c r="K104" i="47" s="1"/>
  <c r="I105" i="47"/>
  <c r="K105" i="47" s="1"/>
  <c r="I106" i="47"/>
  <c r="K106" i="47" s="1"/>
  <c r="F108" i="47"/>
  <c r="F147" i="47" s="1"/>
  <c r="G108" i="47"/>
  <c r="H108" i="47"/>
  <c r="J108" i="47"/>
  <c r="J147" i="47" s="1"/>
  <c r="F111" i="47"/>
  <c r="K148" i="47" s="1"/>
  <c r="F119" i="47"/>
  <c r="F125" i="47"/>
  <c r="K131" i="47"/>
  <c r="K132" i="47"/>
  <c r="K133" i="47"/>
  <c r="K134" i="47"/>
  <c r="K135" i="47"/>
  <c r="F137" i="47"/>
  <c r="G137" i="47"/>
  <c r="H137" i="47"/>
  <c r="H149" i="47" s="1"/>
  <c r="I137" i="47"/>
  <c r="I149" i="47" s="1"/>
  <c r="J137" i="47"/>
  <c r="G142" i="47"/>
  <c r="H142" i="47"/>
  <c r="I142" i="47"/>
  <c r="K142" i="47"/>
  <c r="H143" i="47"/>
  <c r="I143" i="47"/>
  <c r="J143" i="47"/>
  <c r="F144" i="47"/>
  <c r="G144" i="47"/>
  <c r="H144" i="47"/>
  <c r="I144" i="47"/>
  <c r="J144" i="47"/>
  <c r="K144" i="47"/>
  <c r="I145" i="47"/>
  <c r="J145" i="47"/>
  <c r="G147" i="47"/>
  <c r="H147" i="47"/>
  <c r="F149" i="47"/>
  <c r="G149" i="47"/>
  <c r="J149" i="47"/>
  <c r="H150" i="47"/>
  <c r="I150" i="47"/>
  <c r="J150" i="47"/>
  <c r="K150" i="47"/>
  <c r="K18" i="46"/>
  <c r="F36" i="46"/>
  <c r="F141" i="46" s="1"/>
  <c r="J36" i="46"/>
  <c r="G36" i="46"/>
  <c r="G141" i="46" s="1"/>
  <c r="H36" i="46"/>
  <c r="F49" i="46"/>
  <c r="F142" i="46" s="1"/>
  <c r="G49" i="46"/>
  <c r="G142" i="46" s="1"/>
  <c r="H49" i="46"/>
  <c r="I49" i="46"/>
  <c r="I142" i="46" s="1"/>
  <c r="J49" i="46"/>
  <c r="F64" i="46"/>
  <c r="G64" i="46"/>
  <c r="G143" i="46" s="1"/>
  <c r="J64" i="46"/>
  <c r="J143" i="46" s="1"/>
  <c r="K68" i="46"/>
  <c r="K69" i="46"/>
  <c r="K70" i="46"/>
  <c r="K71" i="46"/>
  <c r="K72" i="46"/>
  <c r="F74" i="46"/>
  <c r="G74" i="46"/>
  <c r="H74" i="46"/>
  <c r="H144" i="46" s="1"/>
  <c r="I74" i="46"/>
  <c r="I144" i="46" s="1"/>
  <c r="J74" i="46"/>
  <c r="K77" i="46"/>
  <c r="K82" i="46" s="1"/>
  <c r="K145" i="46" s="1"/>
  <c r="K78" i="46"/>
  <c r="K79" i="46"/>
  <c r="K80" i="46"/>
  <c r="F82" i="46"/>
  <c r="F145" i="46" s="1"/>
  <c r="G82" i="46"/>
  <c r="G145" i="46" s="1"/>
  <c r="H82" i="46"/>
  <c r="I82" i="46"/>
  <c r="J82" i="46"/>
  <c r="J145" i="46" s="1"/>
  <c r="F98" i="46"/>
  <c r="F146" i="46" s="1"/>
  <c r="G98" i="46"/>
  <c r="H98" i="46"/>
  <c r="H146" i="46" s="1"/>
  <c r="J98" i="46"/>
  <c r="J146" i="46" s="1"/>
  <c r="F108" i="46"/>
  <c r="G108" i="46"/>
  <c r="H108" i="46"/>
  <c r="H147" i="46" s="1"/>
  <c r="J108" i="46"/>
  <c r="J147" i="46" s="1"/>
  <c r="F119" i="46"/>
  <c r="K131" i="46"/>
  <c r="K132" i="46"/>
  <c r="K137" i="46" s="1"/>
  <c r="K149" i="46" s="1"/>
  <c r="K133" i="46"/>
  <c r="K134" i="46"/>
  <c r="K135" i="46"/>
  <c r="F137" i="46"/>
  <c r="G137" i="46"/>
  <c r="G149" i="46" s="1"/>
  <c r="H137" i="46"/>
  <c r="I137" i="46"/>
  <c r="J137" i="46"/>
  <c r="H141" i="46"/>
  <c r="J141" i="46"/>
  <c r="H142" i="46"/>
  <c r="J142" i="46"/>
  <c r="F143" i="46"/>
  <c r="F144" i="46"/>
  <c r="G144" i="46"/>
  <c r="J144" i="46"/>
  <c r="H145" i="46"/>
  <c r="I145" i="46"/>
  <c r="G146" i="46"/>
  <c r="F147" i="46"/>
  <c r="G147" i="46"/>
  <c r="K148" i="46"/>
  <c r="F149" i="46"/>
  <c r="H149" i="46"/>
  <c r="I149" i="46"/>
  <c r="J149" i="46"/>
  <c r="H150" i="46"/>
  <c r="I150" i="46"/>
  <c r="J150" i="46"/>
  <c r="K150" i="46"/>
  <c r="C7" i="45"/>
  <c r="K18" i="45"/>
  <c r="K150" i="45" s="1"/>
  <c r="G36" i="45"/>
  <c r="G141" i="45" s="1"/>
  <c r="K40" i="45"/>
  <c r="G49" i="45"/>
  <c r="G142" i="45" s="1"/>
  <c r="K42" i="45"/>
  <c r="K43" i="45"/>
  <c r="K45" i="45"/>
  <c r="K46" i="45"/>
  <c r="K47" i="45"/>
  <c r="H49" i="45"/>
  <c r="H142" i="45" s="1"/>
  <c r="I49" i="45"/>
  <c r="F64" i="45"/>
  <c r="J53" i="45"/>
  <c r="J64" i="45" s="1"/>
  <c r="K54" i="45"/>
  <c r="K55" i="45"/>
  <c r="K57" i="45"/>
  <c r="K58" i="45"/>
  <c r="K59" i="45"/>
  <c r="K60" i="45"/>
  <c r="K61" i="45"/>
  <c r="K62" i="45"/>
  <c r="G64" i="45"/>
  <c r="G143" i="45" s="1"/>
  <c r="H64" i="45"/>
  <c r="H143" i="45" s="1"/>
  <c r="K68" i="45"/>
  <c r="K69" i="45"/>
  <c r="K70" i="45"/>
  <c r="K71" i="45"/>
  <c r="K72" i="45"/>
  <c r="F74" i="45"/>
  <c r="F144" i="45" s="1"/>
  <c r="G74" i="45"/>
  <c r="G144" i="45" s="1"/>
  <c r="H74" i="45"/>
  <c r="I74" i="45"/>
  <c r="J74" i="45"/>
  <c r="J144" i="45" s="1"/>
  <c r="K74" i="45"/>
  <c r="K144" i="45" s="1"/>
  <c r="H82" i="45"/>
  <c r="I82" i="45"/>
  <c r="I145" i="45" s="1"/>
  <c r="K78" i="45"/>
  <c r="F82" i="45"/>
  <c r="F145" i="45" s="1"/>
  <c r="G82" i="45"/>
  <c r="G145" i="45" s="1"/>
  <c r="J82" i="45"/>
  <c r="J145" i="45" s="1"/>
  <c r="K79" i="45"/>
  <c r="K80" i="45"/>
  <c r="G98" i="45"/>
  <c r="G146" i="45" s="1"/>
  <c r="K91" i="45"/>
  <c r="K93" i="45"/>
  <c r="H98" i="45"/>
  <c r="H146" i="45" s="1"/>
  <c r="F108" i="45"/>
  <c r="F147" i="45" s="1"/>
  <c r="G108" i="45"/>
  <c r="G147" i="45" s="1"/>
  <c r="J108" i="45"/>
  <c r="J147" i="45" s="1"/>
  <c r="F119" i="45"/>
  <c r="K131" i="45"/>
  <c r="K133" i="45"/>
  <c r="K134" i="45"/>
  <c r="K135" i="45"/>
  <c r="F137" i="45"/>
  <c r="G137" i="45"/>
  <c r="I137" i="45"/>
  <c r="J137" i="45"/>
  <c r="J149" i="45" s="1"/>
  <c r="I142" i="45"/>
  <c r="F143" i="45"/>
  <c r="J143" i="45"/>
  <c r="H144" i="45"/>
  <c r="I144" i="45"/>
  <c r="H145" i="45"/>
  <c r="K148" i="45"/>
  <c r="F149" i="45"/>
  <c r="G149" i="45"/>
  <c r="I149" i="45"/>
  <c r="H150" i="45"/>
  <c r="I150" i="45"/>
  <c r="J150" i="45"/>
  <c r="K18" i="44"/>
  <c r="K21" i="44"/>
  <c r="I22" i="44"/>
  <c r="I23" i="44"/>
  <c r="K23" i="44" s="1"/>
  <c r="I24" i="44"/>
  <c r="K24" i="44"/>
  <c r="I25" i="44"/>
  <c r="K25" i="44" s="1"/>
  <c r="K26" i="44"/>
  <c r="I27" i="44"/>
  <c r="K27" i="44" s="1"/>
  <c r="I28" i="44"/>
  <c r="K28" i="44" s="1"/>
  <c r="I29" i="44"/>
  <c r="K29" i="44" s="1"/>
  <c r="K30" i="44"/>
  <c r="K31" i="44"/>
  <c r="K32" i="44"/>
  <c r="K33" i="44"/>
  <c r="I34" i="44"/>
  <c r="K34" i="44" s="1"/>
  <c r="F36" i="44"/>
  <c r="F141" i="44" s="1"/>
  <c r="G36" i="44"/>
  <c r="G141" i="44" s="1"/>
  <c r="G152" i="44" s="1"/>
  <c r="H36" i="44"/>
  <c r="H141" i="44" s="1"/>
  <c r="J36" i="44"/>
  <c r="K40" i="44"/>
  <c r="K41" i="44"/>
  <c r="K42" i="44"/>
  <c r="K43" i="44"/>
  <c r="K44" i="44"/>
  <c r="K45" i="44"/>
  <c r="K46" i="44"/>
  <c r="K47" i="44"/>
  <c r="F49" i="44"/>
  <c r="F142" i="44" s="1"/>
  <c r="G49" i="44"/>
  <c r="G142" i="44" s="1"/>
  <c r="H49" i="44"/>
  <c r="I49" i="44"/>
  <c r="J49" i="44"/>
  <c r="J142" i="44" s="1"/>
  <c r="K49" i="44"/>
  <c r="K142" i="44" s="1"/>
  <c r="K53" i="44"/>
  <c r="K54" i="44"/>
  <c r="K55" i="44"/>
  <c r="K56" i="44"/>
  <c r="K57" i="44"/>
  <c r="K58" i="44"/>
  <c r="K59" i="44"/>
  <c r="K60" i="44"/>
  <c r="K61" i="44"/>
  <c r="K62" i="44"/>
  <c r="F64" i="44"/>
  <c r="F143" i="44" s="1"/>
  <c r="G64" i="44"/>
  <c r="G143" i="44" s="1"/>
  <c r="H64" i="44"/>
  <c r="I64" i="44"/>
  <c r="I143" i="44" s="1"/>
  <c r="J64" i="44"/>
  <c r="K64" i="44"/>
  <c r="K143" i="44" s="1"/>
  <c r="K68" i="44"/>
  <c r="K69" i="44"/>
  <c r="K70" i="44"/>
  <c r="K71" i="44"/>
  <c r="K74" i="44" s="1"/>
  <c r="K144" i="44" s="1"/>
  <c r="K72" i="44"/>
  <c r="F74" i="44"/>
  <c r="G74" i="44"/>
  <c r="G144" i="44" s="1"/>
  <c r="H74" i="44"/>
  <c r="H144" i="44" s="1"/>
  <c r="H152" i="44" s="1"/>
  <c r="I74" i="44"/>
  <c r="J74" i="44"/>
  <c r="K77" i="44"/>
  <c r="K82" i="44" s="1"/>
  <c r="K145" i="44" s="1"/>
  <c r="K78" i="44"/>
  <c r="K79" i="44"/>
  <c r="K80" i="44"/>
  <c r="F82" i="44"/>
  <c r="F145" i="44" s="1"/>
  <c r="G82" i="44"/>
  <c r="H82" i="44"/>
  <c r="I82" i="44"/>
  <c r="I145" i="44" s="1"/>
  <c r="J82" i="44"/>
  <c r="J145" i="44" s="1"/>
  <c r="I86" i="44"/>
  <c r="K86" i="44" s="1"/>
  <c r="I87" i="44"/>
  <c r="K87" i="44" s="1"/>
  <c r="K88" i="44"/>
  <c r="I89" i="44"/>
  <c r="K89" i="44" s="1"/>
  <c r="I90" i="44"/>
  <c r="K90" i="44" s="1"/>
  <c r="I91" i="44"/>
  <c r="K91" i="44" s="1"/>
  <c r="I92" i="44"/>
  <c r="K92" i="44" s="1"/>
  <c r="I93" i="44"/>
  <c r="K93" i="44" s="1"/>
  <c r="I94" i="44"/>
  <c r="K94" i="44" s="1"/>
  <c r="I95" i="44"/>
  <c r="K95" i="44" s="1"/>
  <c r="I96" i="44"/>
  <c r="K96" i="44" s="1"/>
  <c r="F98" i="44"/>
  <c r="G98" i="44"/>
  <c r="G146" i="44" s="1"/>
  <c r="H98" i="44"/>
  <c r="I98" i="44"/>
  <c r="I146" i="44" s="1"/>
  <c r="J98" i="44"/>
  <c r="J146" i="44" s="1"/>
  <c r="K102" i="44"/>
  <c r="I103" i="44"/>
  <c r="K103" i="44"/>
  <c r="I104" i="44"/>
  <c r="K104" i="44" s="1"/>
  <c r="K108" i="44" s="1"/>
  <c r="K147" i="44" s="1"/>
  <c r="I105" i="44"/>
  <c r="K105" i="44"/>
  <c r="I106" i="44"/>
  <c r="K106" i="44" s="1"/>
  <c r="F108" i="44"/>
  <c r="G108" i="44"/>
  <c r="H108" i="44"/>
  <c r="J108" i="44"/>
  <c r="F119" i="44"/>
  <c r="K131" i="44"/>
  <c r="K132" i="44"/>
  <c r="K133" i="44"/>
  <c r="K134" i="44"/>
  <c r="K135" i="44"/>
  <c r="F137" i="44"/>
  <c r="G137" i="44"/>
  <c r="G149" i="44" s="1"/>
  <c r="H137" i="44"/>
  <c r="I137" i="44"/>
  <c r="J137" i="44"/>
  <c r="K137" i="44"/>
  <c r="K149" i="44" s="1"/>
  <c r="J141" i="44"/>
  <c r="H142" i="44"/>
  <c r="I142" i="44"/>
  <c r="H143" i="44"/>
  <c r="J143" i="44"/>
  <c r="F144" i="44"/>
  <c r="I144" i="44"/>
  <c r="J144" i="44"/>
  <c r="G145" i="44"/>
  <c r="H145" i="44"/>
  <c r="F146" i="44"/>
  <c r="H146" i="44"/>
  <c r="F147" i="44"/>
  <c r="G147" i="44"/>
  <c r="H147" i="44"/>
  <c r="J147" i="44"/>
  <c r="K148" i="44"/>
  <c r="F149" i="44"/>
  <c r="H149" i="44"/>
  <c r="I149" i="44"/>
  <c r="J149" i="44"/>
  <c r="H150" i="44"/>
  <c r="I150" i="44"/>
  <c r="J150" i="44"/>
  <c r="K150" i="44"/>
  <c r="K18" i="43"/>
  <c r="I21" i="43"/>
  <c r="K21" i="43" s="1"/>
  <c r="I22" i="43"/>
  <c r="K22" i="43" s="1"/>
  <c r="I23" i="43"/>
  <c r="K23" i="43" s="1"/>
  <c r="I24" i="43"/>
  <c r="K24" i="43" s="1"/>
  <c r="I25" i="43"/>
  <c r="K25" i="43" s="1"/>
  <c r="I26" i="43"/>
  <c r="K26" i="43"/>
  <c r="I27" i="43"/>
  <c r="K27" i="43" s="1"/>
  <c r="I28" i="43"/>
  <c r="K28" i="43" s="1"/>
  <c r="I29" i="43"/>
  <c r="K29" i="43" s="1"/>
  <c r="I30" i="43"/>
  <c r="K30" i="43" s="1"/>
  <c r="I31" i="43"/>
  <c r="K31" i="43" s="1"/>
  <c r="I32" i="43"/>
  <c r="K32" i="43"/>
  <c r="I33" i="43"/>
  <c r="K33" i="43" s="1"/>
  <c r="I34" i="43"/>
  <c r="K34" i="43"/>
  <c r="F36" i="43"/>
  <c r="G36" i="43"/>
  <c r="H36" i="43"/>
  <c r="J36" i="43"/>
  <c r="K40" i="43"/>
  <c r="K49" i="43" s="1"/>
  <c r="K142" i="43" s="1"/>
  <c r="K41" i="43"/>
  <c r="K42" i="43"/>
  <c r="K43" i="43"/>
  <c r="K44" i="43"/>
  <c r="K45" i="43"/>
  <c r="K46" i="43"/>
  <c r="K47" i="43"/>
  <c r="F49" i="43"/>
  <c r="F142" i="43" s="1"/>
  <c r="G49" i="43"/>
  <c r="H49" i="43"/>
  <c r="I49" i="43"/>
  <c r="J49" i="43"/>
  <c r="J142" i="43" s="1"/>
  <c r="K53" i="43"/>
  <c r="K54" i="43"/>
  <c r="K55" i="43"/>
  <c r="K56" i="43"/>
  <c r="K57" i="43"/>
  <c r="K58" i="43"/>
  <c r="K59" i="43"/>
  <c r="K60" i="43"/>
  <c r="K61" i="43"/>
  <c r="K62" i="43"/>
  <c r="F64" i="43"/>
  <c r="G64" i="43"/>
  <c r="H64" i="43"/>
  <c r="H143" i="43" s="1"/>
  <c r="I64" i="43"/>
  <c r="J64" i="43"/>
  <c r="K68" i="43"/>
  <c r="K69" i="43"/>
  <c r="K70" i="43"/>
  <c r="K71" i="43"/>
  <c r="K72" i="43"/>
  <c r="F74" i="43"/>
  <c r="G74" i="43"/>
  <c r="H74" i="43"/>
  <c r="I74" i="43"/>
  <c r="I144" i="43" s="1"/>
  <c r="J74" i="43"/>
  <c r="K77" i="43"/>
  <c r="K78" i="43"/>
  <c r="K79" i="43"/>
  <c r="K80" i="43"/>
  <c r="F82" i="43"/>
  <c r="G82" i="43"/>
  <c r="H82" i="43"/>
  <c r="H145" i="43" s="1"/>
  <c r="I82" i="43"/>
  <c r="J82" i="43"/>
  <c r="I86" i="43"/>
  <c r="I87" i="43"/>
  <c r="K87" i="43" s="1"/>
  <c r="I88" i="43"/>
  <c r="K88" i="43" s="1"/>
  <c r="I89" i="43"/>
  <c r="K89" i="43"/>
  <c r="I90" i="43"/>
  <c r="K90" i="43" s="1"/>
  <c r="I91" i="43"/>
  <c r="K91" i="43"/>
  <c r="I92" i="43"/>
  <c r="K92" i="43" s="1"/>
  <c r="I93" i="43"/>
  <c r="K93" i="43" s="1"/>
  <c r="I94" i="43"/>
  <c r="K94" i="43" s="1"/>
  <c r="I95" i="43"/>
  <c r="K95" i="43" s="1"/>
  <c r="I96" i="43"/>
  <c r="K96" i="43" s="1"/>
  <c r="F98" i="43"/>
  <c r="F146" i="43" s="1"/>
  <c r="G98" i="43"/>
  <c r="G146" i="43" s="1"/>
  <c r="H98" i="43"/>
  <c r="J98" i="43"/>
  <c r="I102" i="43"/>
  <c r="I103" i="43"/>
  <c r="K103" i="43" s="1"/>
  <c r="I104" i="43"/>
  <c r="K104" i="43" s="1"/>
  <c r="I105" i="43"/>
  <c r="K105" i="43" s="1"/>
  <c r="I106" i="43"/>
  <c r="K106" i="43" s="1"/>
  <c r="F108" i="43"/>
  <c r="G108" i="43"/>
  <c r="G147" i="43" s="1"/>
  <c r="H108" i="43"/>
  <c r="J108" i="43"/>
  <c r="F119" i="43"/>
  <c r="K131" i="43"/>
  <c r="K132" i="43"/>
  <c r="K133" i="43"/>
  <c r="K134" i="43"/>
  <c r="K137" i="43" s="1"/>
  <c r="K149" i="43" s="1"/>
  <c r="K135" i="43"/>
  <c r="F137" i="43"/>
  <c r="G137" i="43"/>
  <c r="H137" i="43"/>
  <c r="I137" i="43"/>
  <c r="J137" i="43"/>
  <c r="F141" i="43"/>
  <c r="G141" i="43"/>
  <c r="H141" i="43"/>
  <c r="J141" i="43"/>
  <c r="J152" i="43" s="1"/>
  <c r="G142" i="43"/>
  <c r="H142" i="43"/>
  <c r="I142" i="43"/>
  <c r="F143" i="43"/>
  <c r="G143" i="43"/>
  <c r="I143" i="43"/>
  <c r="J143" i="43"/>
  <c r="F144" i="43"/>
  <c r="G144" i="43"/>
  <c r="H144" i="43"/>
  <c r="J144" i="43"/>
  <c r="F145" i="43"/>
  <c r="F152" i="43" s="1"/>
  <c r="G145" i="43"/>
  <c r="I145" i="43"/>
  <c r="J145" i="43"/>
  <c r="H146" i="43"/>
  <c r="J146" i="43"/>
  <c r="F147" i="43"/>
  <c r="H147" i="43"/>
  <c r="J147" i="43"/>
  <c r="K148" i="43"/>
  <c r="F149" i="43"/>
  <c r="G149" i="43"/>
  <c r="H149" i="43"/>
  <c r="I149" i="43"/>
  <c r="J149" i="43"/>
  <c r="H150" i="43"/>
  <c r="I150" i="43"/>
  <c r="J150" i="43"/>
  <c r="K150" i="43"/>
  <c r="K18" i="42"/>
  <c r="K150" i="42" s="1"/>
  <c r="I21" i="42"/>
  <c r="K21" i="42"/>
  <c r="I22" i="42"/>
  <c r="I23" i="42"/>
  <c r="K23" i="42"/>
  <c r="I24" i="42"/>
  <c r="K24" i="42" s="1"/>
  <c r="I25" i="42"/>
  <c r="K25" i="42"/>
  <c r="I26" i="42"/>
  <c r="K26" i="42" s="1"/>
  <c r="I27" i="42"/>
  <c r="K27" i="42"/>
  <c r="I28" i="42"/>
  <c r="K28" i="42" s="1"/>
  <c r="I29" i="42"/>
  <c r="K29" i="42"/>
  <c r="I30" i="42"/>
  <c r="K30" i="42" s="1"/>
  <c r="I31" i="42"/>
  <c r="K31" i="42"/>
  <c r="I32" i="42"/>
  <c r="K32" i="42" s="1"/>
  <c r="I33" i="42"/>
  <c r="K33" i="42"/>
  <c r="I34" i="42"/>
  <c r="K34" i="42" s="1"/>
  <c r="F36" i="42"/>
  <c r="G36" i="42"/>
  <c r="G141" i="42" s="1"/>
  <c r="H36" i="42"/>
  <c r="J36" i="42"/>
  <c r="K40" i="42"/>
  <c r="K41" i="42"/>
  <c r="F42" i="42"/>
  <c r="G42" i="42"/>
  <c r="H42" i="42"/>
  <c r="J42" i="42"/>
  <c r="J49" i="42" s="1"/>
  <c r="K43" i="42"/>
  <c r="F44" i="42"/>
  <c r="F49" i="42" s="1"/>
  <c r="F142" i="42" s="1"/>
  <c r="G44" i="42"/>
  <c r="H44" i="42"/>
  <c r="J44" i="42"/>
  <c r="K45" i="42"/>
  <c r="K46" i="42"/>
  <c r="K47" i="42"/>
  <c r="G49" i="42"/>
  <c r="G142" i="42" s="1"/>
  <c r="H49" i="42"/>
  <c r="H142" i="42" s="1"/>
  <c r="I49" i="42"/>
  <c r="I142" i="42" s="1"/>
  <c r="I53" i="42"/>
  <c r="I64" i="42" s="1"/>
  <c r="I143" i="42" s="1"/>
  <c r="K53" i="42"/>
  <c r="I54" i="42"/>
  <c r="K54" i="42" s="1"/>
  <c r="K55" i="42"/>
  <c r="I56" i="42"/>
  <c r="K56" i="42" s="1"/>
  <c r="K57" i="42"/>
  <c r="K58" i="42"/>
  <c r="K59" i="42"/>
  <c r="K60" i="42"/>
  <c r="K61" i="42"/>
  <c r="K62" i="42"/>
  <c r="F64" i="42"/>
  <c r="F143" i="42" s="1"/>
  <c r="G64" i="42"/>
  <c r="G143" i="42" s="1"/>
  <c r="H64" i="42"/>
  <c r="H143" i="42" s="1"/>
  <c r="J64" i="42"/>
  <c r="K68" i="42"/>
  <c r="K69" i="42"/>
  <c r="K70" i="42"/>
  <c r="K71" i="42"/>
  <c r="K72" i="42"/>
  <c r="F74" i="42"/>
  <c r="G74" i="42"/>
  <c r="H74" i="42"/>
  <c r="H144" i="42" s="1"/>
  <c r="I74" i="42"/>
  <c r="J74" i="42"/>
  <c r="K77" i="42"/>
  <c r="K82" i="42" s="1"/>
  <c r="K145" i="42" s="1"/>
  <c r="K78" i="42"/>
  <c r="K79" i="42"/>
  <c r="K80" i="42"/>
  <c r="F82" i="42"/>
  <c r="F145" i="42" s="1"/>
  <c r="G82" i="42"/>
  <c r="G145" i="42" s="1"/>
  <c r="H82" i="42"/>
  <c r="I82" i="42"/>
  <c r="J82" i="42"/>
  <c r="J145" i="42" s="1"/>
  <c r="I86" i="42"/>
  <c r="K86" i="42" s="1"/>
  <c r="I87" i="42"/>
  <c r="K87" i="42"/>
  <c r="I88" i="42"/>
  <c r="K88" i="42" s="1"/>
  <c r="I89" i="42"/>
  <c r="K89" i="42"/>
  <c r="I90" i="42"/>
  <c r="K90" i="42" s="1"/>
  <c r="I91" i="42"/>
  <c r="K91" i="42" s="1"/>
  <c r="I92" i="42"/>
  <c r="K92" i="42" s="1"/>
  <c r="I93" i="42"/>
  <c r="K93" i="42" s="1"/>
  <c r="I94" i="42"/>
  <c r="K94" i="42" s="1"/>
  <c r="I95" i="42"/>
  <c r="K95" i="42"/>
  <c r="I96" i="42"/>
  <c r="K96" i="42" s="1"/>
  <c r="F98" i="42"/>
  <c r="F146" i="42" s="1"/>
  <c r="G98" i="42"/>
  <c r="G146" i="42" s="1"/>
  <c r="H98" i="42"/>
  <c r="J98" i="42"/>
  <c r="J146" i="42" s="1"/>
  <c r="I102" i="42"/>
  <c r="K102" i="42" s="1"/>
  <c r="K108" i="42" s="1"/>
  <c r="K147" i="42" s="1"/>
  <c r="I103" i="42"/>
  <c r="K103" i="42" s="1"/>
  <c r="I104" i="42"/>
  <c r="K104" i="42" s="1"/>
  <c r="I105" i="42"/>
  <c r="K105" i="42"/>
  <c r="I106" i="42"/>
  <c r="K106" i="42" s="1"/>
  <c r="F108" i="42"/>
  <c r="G108" i="42"/>
  <c r="G147" i="42" s="1"/>
  <c r="H108" i="42"/>
  <c r="J108" i="42"/>
  <c r="F118" i="42"/>
  <c r="F119" i="42" s="1"/>
  <c r="F123" i="42" s="1"/>
  <c r="F127" i="42" s="1"/>
  <c r="K131" i="42"/>
  <c r="K132" i="42"/>
  <c r="K133" i="42"/>
  <c r="K134" i="42"/>
  <c r="K135" i="42"/>
  <c r="F137" i="42"/>
  <c r="F149" i="42" s="1"/>
  <c r="G137" i="42"/>
  <c r="H137" i="42"/>
  <c r="I137" i="42"/>
  <c r="I149" i="42" s="1"/>
  <c r="J137" i="42"/>
  <c r="J149" i="42" s="1"/>
  <c r="F141" i="42"/>
  <c r="H141" i="42"/>
  <c r="H152" i="42" s="1"/>
  <c r="J141" i="42"/>
  <c r="J142" i="42"/>
  <c r="J143" i="42"/>
  <c r="F144" i="42"/>
  <c r="G144" i="42"/>
  <c r="I144" i="42"/>
  <c r="J144" i="42"/>
  <c r="H145" i="42"/>
  <c r="I145" i="42"/>
  <c r="H146" i="42"/>
  <c r="F147" i="42"/>
  <c r="H147" i="42"/>
  <c r="J147" i="42"/>
  <c r="K148" i="42"/>
  <c r="G149" i="42"/>
  <c r="H149" i="42"/>
  <c r="H150" i="42"/>
  <c r="I150" i="42"/>
  <c r="J150" i="42"/>
  <c r="H18" i="41"/>
  <c r="J18" i="41"/>
  <c r="F21" i="41"/>
  <c r="G21" i="41"/>
  <c r="H21" i="41"/>
  <c r="J21" i="41"/>
  <c r="F22" i="41"/>
  <c r="G22" i="41"/>
  <c r="H22" i="41"/>
  <c r="J22" i="41"/>
  <c r="F23" i="41"/>
  <c r="G23" i="41"/>
  <c r="H23" i="41"/>
  <c r="J23" i="41"/>
  <c r="F24" i="41"/>
  <c r="G24" i="41"/>
  <c r="H24" i="41"/>
  <c r="J24" i="41"/>
  <c r="F25" i="41"/>
  <c r="G25" i="41"/>
  <c r="H25" i="41"/>
  <c r="J25" i="41"/>
  <c r="F26" i="41"/>
  <c r="G26" i="41"/>
  <c r="H26" i="41"/>
  <c r="J26" i="41"/>
  <c r="F27" i="41"/>
  <c r="G27" i="41"/>
  <c r="H27" i="41"/>
  <c r="J27" i="41"/>
  <c r="F28" i="41"/>
  <c r="G28" i="41"/>
  <c r="H28" i="41"/>
  <c r="J28" i="41"/>
  <c r="F29" i="41"/>
  <c r="G29" i="41"/>
  <c r="H29" i="41"/>
  <c r="J29" i="41"/>
  <c r="F30" i="41"/>
  <c r="G30" i="41"/>
  <c r="H30" i="41"/>
  <c r="J30" i="41"/>
  <c r="F36" i="41"/>
  <c r="G36" i="41"/>
  <c r="G141" i="41" s="1"/>
  <c r="H36" i="41"/>
  <c r="J36" i="41"/>
  <c r="F40" i="41"/>
  <c r="G40" i="41"/>
  <c r="H40" i="41"/>
  <c r="J40" i="41"/>
  <c r="F41" i="41"/>
  <c r="G41" i="41"/>
  <c r="H41" i="41"/>
  <c r="K41" i="41" s="1"/>
  <c r="J41" i="41"/>
  <c r="F42" i="41"/>
  <c r="F49" i="41" s="1"/>
  <c r="F142" i="41" s="1"/>
  <c r="G42" i="41"/>
  <c r="H42" i="41"/>
  <c r="J42" i="41"/>
  <c r="F43" i="41"/>
  <c r="G43" i="41"/>
  <c r="H43" i="41"/>
  <c r="J43" i="41"/>
  <c r="K43" i="41"/>
  <c r="K44" i="41"/>
  <c r="K45" i="41"/>
  <c r="K46" i="41"/>
  <c r="K47" i="41"/>
  <c r="I49" i="41"/>
  <c r="J49" i="41"/>
  <c r="J142" i="41" s="1"/>
  <c r="F53" i="41"/>
  <c r="G53" i="41"/>
  <c r="H53" i="41"/>
  <c r="J53" i="41"/>
  <c r="K53" i="41" s="1"/>
  <c r="F54" i="41"/>
  <c r="G54" i="41"/>
  <c r="H54" i="41"/>
  <c r="J54" i="41"/>
  <c r="F55" i="41"/>
  <c r="G55" i="41"/>
  <c r="H55" i="41"/>
  <c r="J55" i="41"/>
  <c r="G56" i="41"/>
  <c r="H56" i="41"/>
  <c r="K56" i="41" s="1"/>
  <c r="J56" i="41"/>
  <c r="F57" i="41"/>
  <c r="F64" i="41" s="1"/>
  <c r="F143" i="41" s="1"/>
  <c r="G57" i="41"/>
  <c r="H57" i="41"/>
  <c r="J57" i="41"/>
  <c r="K58" i="41"/>
  <c r="K59" i="41"/>
  <c r="K60" i="41"/>
  <c r="K61" i="41"/>
  <c r="K62" i="41"/>
  <c r="I64" i="41"/>
  <c r="I143" i="41" s="1"/>
  <c r="J64" i="41"/>
  <c r="J143" i="41" s="1"/>
  <c r="F68" i="41"/>
  <c r="G68" i="41"/>
  <c r="H68" i="41"/>
  <c r="J68" i="41"/>
  <c r="F69" i="41"/>
  <c r="G69" i="41"/>
  <c r="H69" i="41"/>
  <c r="J69" i="41"/>
  <c r="K70" i="41"/>
  <c r="K71" i="41"/>
  <c r="K72" i="41"/>
  <c r="F74" i="41"/>
  <c r="G74" i="41"/>
  <c r="H74" i="41"/>
  <c r="H144" i="41" s="1"/>
  <c r="I74" i="41"/>
  <c r="I144" i="41" s="1"/>
  <c r="F77" i="41"/>
  <c r="G77" i="41"/>
  <c r="H77" i="41"/>
  <c r="J77" i="41"/>
  <c r="F78" i="41"/>
  <c r="G78" i="41"/>
  <c r="H78" i="41"/>
  <c r="J78" i="41"/>
  <c r="F79" i="41"/>
  <c r="G79" i="41"/>
  <c r="H79" i="41"/>
  <c r="J79" i="41"/>
  <c r="K79" i="41"/>
  <c r="F80" i="41"/>
  <c r="G80" i="41"/>
  <c r="H80" i="41"/>
  <c r="J80" i="41"/>
  <c r="K80" i="41" s="1"/>
  <c r="F82" i="41"/>
  <c r="I82" i="41"/>
  <c r="F86" i="41"/>
  <c r="G86" i="41"/>
  <c r="H86" i="41"/>
  <c r="I86" i="41" s="1"/>
  <c r="J86" i="41"/>
  <c r="F87" i="41"/>
  <c r="G87" i="41"/>
  <c r="H87" i="41"/>
  <c r="I87" i="41" s="1"/>
  <c r="J87" i="41"/>
  <c r="F88" i="41"/>
  <c r="G88" i="41"/>
  <c r="H88" i="41"/>
  <c r="I88" i="41" s="1"/>
  <c r="J88" i="41"/>
  <c r="F89" i="41"/>
  <c r="G89" i="41"/>
  <c r="H89" i="41"/>
  <c r="I89" i="41" s="1"/>
  <c r="J89" i="41"/>
  <c r="F90" i="41"/>
  <c r="G90" i="41"/>
  <c r="H90" i="41"/>
  <c r="I90" i="41" s="1"/>
  <c r="J90" i="41"/>
  <c r="F91" i="41"/>
  <c r="G91" i="41"/>
  <c r="H91" i="41"/>
  <c r="I91" i="41" s="1"/>
  <c r="J91" i="41"/>
  <c r="F92" i="41"/>
  <c r="G92" i="41"/>
  <c r="H92" i="41"/>
  <c r="I92" i="41" s="1"/>
  <c r="J92" i="41"/>
  <c r="F93" i="41"/>
  <c r="G93" i="41"/>
  <c r="H93" i="41"/>
  <c r="I93" i="41" s="1"/>
  <c r="J93" i="41"/>
  <c r="F94" i="41"/>
  <c r="G94" i="41"/>
  <c r="H94" i="41"/>
  <c r="I94" i="41" s="1"/>
  <c r="J94" i="41"/>
  <c r="F98" i="41"/>
  <c r="G98" i="41"/>
  <c r="H98" i="41"/>
  <c r="J98" i="41"/>
  <c r="F102" i="41"/>
  <c r="G102" i="41"/>
  <c r="H102" i="41"/>
  <c r="I102" i="41" s="1"/>
  <c r="J102" i="41"/>
  <c r="F103" i="41"/>
  <c r="G103" i="41"/>
  <c r="H103" i="41"/>
  <c r="I103" i="41" s="1"/>
  <c r="J103" i="41"/>
  <c r="F104" i="41"/>
  <c r="G104" i="41"/>
  <c r="H104" i="41"/>
  <c r="I104" i="41" s="1"/>
  <c r="J104" i="41"/>
  <c r="F105" i="41"/>
  <c r="G105" i="41"/>
  <c r="H105" i="41"/>
  <c r="I105" i="41" s="1"/>
  <c r="J105" i="41"/>
  <c r="F106" i="41"/>
  <c r="G106" i="41"/>
  <c r="H106" i="41"/>
  <c r="I106" i="41" s="1"/>
  <c r="J106" i="41"/>
  <c r="F108" i="41"/>
  <c r="G108" i="41"/>
  <c r="H108" i="41"/>
  <c r="J108" i="41"/>
  <c r="F111" i="41"/>
  <c r="F114" i="41"/>
  <c r="I31" i="41" s="1"/>
  <c r="K31" i="41" s="1"/>
  <c r="F117" i="41"/>
  <c r="F119" i="41" s="1"/>
  <c r="F118" i="41"/>
  <c r="F121" i="41"/>
  <c r="F123" i="41"/>
  <c r="F125" i="41"/>
  <c r="F131" i="41"/>
  <c r="G131" i="41"/>
  <c r="H131" i="41"/>
  <c r="J131" i="41"/>
  <c r="F132" i="41"/>
  <c r="G132" i="41"/>
  <c r="H132" i="41"/>
  <c r="K132" i="41" s="1"/>
  <c r="J132" i="41"/>
  <c r="F133" i="41"/>
  <c r="F137" i="41" s="1"/>
  <c r="F149" i="41" s="1"/>
  <c r="G133" i="41"/>
  <c r="G137" i="41" s="1"/>
  <c r="G149" i="41" s="1"/>
  <c r="H133" i="41"/>
  <c r="J133" i="41"/>
  <c r="K134" i="41"/>
  <c r="K135" i="41"/>
  <c r="I137" i="41"/>
  <c r="I149" i="41" s="1"/>
  <c r="J137" i="41"/>
  <c r="J149" i="41" s="1"/>
  <c r="F141" i="41"/>
  <c r="H141" i="41"/>
  <c r="J141" i="41"/>
  <c r="I142" i="41"/>
  <c r="F144" i="41"/>
  <c r="G144" i="41"/>
  <c r="F145" i="41"/>
  <c r="I145" i="41"/>
  <c r="F146" i="41"/>
  <c r="G146" i="41"/>
  <c r="H146" i="41"/>
  <c r="J146" i="41"/>
  <c r="F147" i="41"/>
  <c r="G147" i="41"/>
  <c r="H147" i="41"/>
  <c r="J147" i="41"/>
  <c r="K148" i="41"/>
  <c r="I150" i="41"/>
  <c r="J150" i="41"/>
  <c r="J150" i="40"/>
  <c r="F36" i="40"/>
  <c r="F141" i="40" s="1"/>
  <c r="H36" i="40"/>
  <c r="H141" i="40" s="1"/>
  <c r="J36" i="40"/>
  <c r="J141" i="40" s="1"/>
  <c r="J49" i="40"/>
  <c r="J142" i="40" s="1"/>
  <c r="K42" i="40"/>
  <c r="K44" i="40"/>
  <c r="K45" i="40"/>
  <c r="K46" i="40"/>
  <c r="K47" i="40"/>
  <c r="H49" i="40"/>
  <c r="H142" i="40" s="1"/>
  <c r="I49" i="40"/>
  <c r="I142" i="40" s="1"/>
  <c r="K53" i="40"/>
  <c r="K55" i="40"/>
  <c r="K57" i="40"/>
  <c r="K58" i="40"/>
  <c r="K59" i="40"/>
  <c r="K60" i="40"/>
  <c r="K61" i="40"/>
  <c r="K62" i="40"/>
  <c r="H64" i="40"/>
  <c r="I64" i="40"/>
  <c r="G74" i="40"/>
  <c r="G144" i="40" s="1"/>
  <c r="K68" i="40"/>
  <c r="J74" i="40"/>
  <c r="J144" i="40" s="1"/>
  <c r="F74" i="40"/>
  <c r="F144" i="40" s="1"/>
  <c r="K70" i="40"/>
  <c r="K71" i="40"/>
  <c r="K72" i="40"/>
  <c r="I74" i="40"/>
  <c r="K78" i="40"/>
  <c r="K79" i="40"/>
  <c r="K80" i="40"/>
  <c r="I82" i="40"/>
  <c r="I145" i="40" s="1"/>
  <c r="F98" i="40"/>
  <c r="F146" i="40" s="1"/>
  <c r="G98" i="40"/>
  <c r="H98" i="40"/>
  <c r="J98" i="40"/>
  <c r="J146" i="40" s="1"/>
  <c r="F108" i="40"/>
  <c r="F147" i="40" s="1"/>
  <c r="G108" i="40"/>
  <c r="G147" i="40" s="1"/>
  <c r="H108" i="40"/>
  <c r="H147" i="40" s="1"/>
  <c r="J108" i="40"/>
  <c r="J147" i="40" s="1"/>
  <c r="K148" i="40"/>
  <c r="F119" i="40"/>
  <c r="F131" i="40"/>
  <c r="G131" i="40"/>
  <c r="H131" i="40"/>
  <c r="K131" i="40" s="1"/>
  <c r="J131" i="40"/>
  <c r="F132" i="40"/>
  <c r="G132" i="40"/>
  <c r="H132" i="40"/>
  <c r="J132" i="40"/>
  <c r="F133" i="40"/>
  <c r="F137" i="40" s="1"/>
  <c r="F149" i="40" s="1"/>
  <c r="G133" i="40"/>
  <c r="H133" i="40"/>
  <c r="J133" i="40"/>
  <c r="K133" i="40"/>
  <c r="K134" i="40"/>
  <c r="K135" i="40"/>
  <c r="I137" i="40"/>
  <c r="I149" i="40" s="1"/>
  <c r="J137" i="40"/>
  <c r="J149" i="40" s="1"/>
  <c r="H143" i="40"/>
  <c r="I143" i="40"/>
  <c r="I144" i="40"/>
  <c r="G146" i="40"/>
  <c r="H146" i="40"/>
  <c r="H150" i="40"/>
  <c r="I150" i="40"/>
  <c r="H18" i="39"/>
  <c r="K18" i="39" s="1"/>
  <c r="K150" i="39" s="1"/>
  <c r="J18" i="39"/>
  <c r="J150" i="39" s="1"/>
  <c r="H29" i="39"/>
  <c r="H36" i="39" s="1"/>
  <c r="F36" i="39"/>
  <c r="F141" i="39" s="1"/>
  <c r="G36" i="39"/>
  <c r="G141" i="39" s="1"/>
  <c r="J36" i="39"/>
  <c r="F40" i="39"/>
  <c r="H40" i="39"/>
  <c r="H49" i="39" s="1"/>
  <c r="F41" i="39"/>
  <c r="H41" i="39"/>
  <c r="F42" i="39"/>
  <c r="H42" i="39"/>
  <c r="J42" i="39"/>
  <c r="K43" i="39"/>
  <c r="K44" i="39"/>
  <c r="K45" i="39"/>
  <c r="K46" i="39"/>
  <c r="K47" i="39"/>
  <c r="F49" i="39"/>
  <c r="F142" i="39" s="1"/>
  <c r="G49" i="39"/>
  <c r="G142" i="39" s="1"/>
  <c r="J49" i="39"/>
  <c r="J142" i="39" s="1"/>
  <c r="K56" i="39"/>
  <c r="K57" i="39"/>
  <c r="K58" i="39"/>
  <c r="K59" i="39"/>
  <c r="K60" i="39"/>
  <c r="K61" i="39"/>
  <c r="K62" i="39"/>
  <c r="F64" i="39"/>
  <c r="F143" i="39" s="1"/>
  <c r="G64" i="39"/>
  <c r="G143" i="39" s="1"/>
  <c r="H64" i="39"/>
  <c r="J64" i="39"/>
  <c r="K68" i="39"/>
  <c r="K69" i="39"/>
  <c r="H70" i="39"/>
  <c r="H74" i="39" s="1"/>
  <c r="K71" i="39"/>
  <c r="K72" i="39"/>
  <c r="F74" i="39"/>
  <c r="F144" i="39" s="1"/>
  <c r="G74" i="39"/>
  <c r="G144" i="39" s="1"/>
  <c r="J74" i="39"/>
  <c r="J144" i="39" s="1"/>
  <c r="K77" i="39"/>
  <c r="K78" i="39"/>
  <c r="K79" i="39"/>
  <c r="K80" i="39"/>
  <c r="F82" i="39"/>
  <c r="F145" i="39" s="1"/>
  <c r="G82" i="39"/>
  <c r="G145" i="39" s="1"/>
  <c r="H82" i="39"/>
  <c r="I82" i="39"/>
  <c r="J82" i="39"/>
  <c r="J145" i="39" s="1"/>
  <c r="I88" i="39"/>
  <c r="K88" i="39" s="1"/>
  <c r="I92" i="39"/>
  <c r="K92" i="39" s="1"/>
  <c r="I93" i="39"/>
  <c r="K93" i="39" s="1"/>
  <c r="I94" i="39"/>
  <c r="K94" i="39" s="1"/>
  <c r="F98" i="39"/>
  <c r="F146" i="39" s="1"/>
  <c r="G98" i="39"/>
  <c r="H98" i="39"/>
  <c r="H146" i="39" s="1"/>
  <c r="J98" i="39"/>
  <c r="J146" i="39" s="1"/>
  <c r="F108" i="39"/>
  <c r="G108" i="39"/>
  <c r="H108" i="39"/>
  <c r="J108" i="39"/>
  <c r="F111" i="39"/>
  <c r="F114" i="39"/>
  <c r="F117" i="39"/>
  <c r="F119" i="39" s="1"/>
  <c r="F123" i="39" s="1"/>
  <c r="F127" i="39" s="1"/>
  <c r="F118" i="39"/>
  <c r="F121" i="39"/>
  <c r="F125" i="39"/>
  <c r="K131" i="39"/>
  <c r="K132" i="39"/>
  <c r="K133" i="39"/>
  <c r="K134" i="39"/>
  <c r="K135" i="39"/>
  <c r="F137" i="39"/>
  <c r="G137" i="39"/>
  <c r="H137" i="39"/>
  <c r="I137" i="39"/>
  <c r="I149" i="39" s="1"/>
  <c r="J137" i="39"/>
  <c r="J149" i="39" s="1"/>
  <c r="H141" i="39"/>
  <c r="J141" i="39"/>
  <c r="H142" i="39"/>
  <c r="H143" i="39"/>
  <c r="J143" i="39"/>
  <c r="H144" i="39"/>
  <c r="H145" i="39"/>
  <c r="I145" i="39"/>
  <c r="G146" i="39"/>
  <c r="F147" i="39"/>
  <c r="G147" i="39"/>
  <c r="H147" i="39"/>
  <c r="J147" i="39"/>
  <c r="K148" i="39"/>
  <c r="F149" i="39"/>
  <c r="G149" i="39"/>
  <c r="H149" i="39"/>
  <c r="I150" i="39"/>
  <c r="K18" i="38"/>
  <c r="K150" i="38" s="1"/>
  <c r="I21" i="38"/>
  <c r="K21" i="38" s="1"/>
  <c r="I22" i="38"/>
  <c r="K22" i="38"/>
  <c r="I23" i="38"/>
  <c r="K23" i="38" s="1"/>
  <c r="I24" i="38"/>
  <c r="K24" i="38" s="1"/>
  <c r="I25" i="38"/>
  <c r="K25" i="38" s="1"/>
  <c r="I26" i="38"/>
  <c r="K26" i="38" s="1"/>
  <c r="I27" i="38"/>
  <c r="K27" i="38" s="1"/>
  <c r="I28" i="38"/>
  <c r="K28" i="38"/>
  <c r="I29" i="38"/>
  <c r="K29" i="38" s="1"/>
  <c r="I30" i="38"/>
  <c r="K30" i="38"/>
  <c r="I31" i="38"/>
  <c r="K31" i="38" s="1"/>
  <c r="I32" i="38"/>
  <c r="K32" i="38" s="1"/>
  <c r="I33" i="38"/>
  <c r="K33" i="38" s="1"/>
  <c r="I34" i="38"/>
  <c r="K34" i="38" s="1"/>
  <c r="F36" i="38"/>
  <c r="G36" i="38"/>
  <c r="H36" i="38"/>
  <c r="H141" i="38" s="1"/>
  <c r="J36" i="38"/>
  <c r="K40" i="38"/>
  <c r="K41" i="38"/>
  <c r="I42" i="38"/>
  <c r="K42" i="38" s="1"/>
  <c r="K43" i="38"/>
  <c r="I44" i="38"/>
  <c r="K44" i="38" s="1"/>
  <c r="K45" i="38"/>
  <c r="K46" i="38"/>
  <c r="K47" i="38"/>
  <c r="F49" i="38"/>
  <c r="F142" i="38" s="1"/>
  <c r="G49" i="38"/>
  <c r="G142" i="38" s="1"/>
  <c r="H49" i="38"/>
  <c r="J49" i="38"/>
  <c r="J142" i="38" s="1"/>
  <c r="J152" i="38" s="1"/>
  <c r="I53" i="38"/>
  <c r="K53" i="38" s="1"/>
  <c r="K64" i="38" s="1"/>
  <c r="K143" i="38" s="1"/>
  <c r="K54" i="38"/>
  <c r="K55" i="38"/>
  <c r="K56" i="38"/>
  <c r="K57" i="38"/>
  <c r="K58" i="38"/>
  <c r="K59" i="38"/>
  <c r="K60" i="38"/>
  <c r="K61" i="38"/>
  <c r="K62" i="38"/>
  <c r="F64" i="38"/>
  <c r="F143" i="38" s="1"/>
  <c r="G64" i="38"/>
  <c r="H64" i="38"/>
  <c r="I64" i="38"/>
  <c r="I143" i="38" s="1"/>
  <c r="J64" i="38"/>
  <c r="J143" i="38" s="1"/>
  <c r="K68" i="38"/>
  <c r="K69" i="38"/>
  <c r="K70" i="38"/>
  <c r="K71" i="38"/>
  <c r="K72" i="38"/>
  <c r="F74" i="38"/>
  <c r="G74" i="38"/>
  <c r="H74" i="38"/>
  <c r="H144" i="38" s="1"/>
  <c r="I74" i="38"/>
  <c r="I144" i="38" s="1"/>
  <c r="J74" i="38"/>
  <c r="K74" i="38"/>
  <c r="K144" i="38" s="1"/>
  <c r="K77" i="38"/>
  <c r="K78" i="38"/>
  <c r="K79" i="38"/>
  <c r="K80" i="38"/>
  <c r="F82" i="38"/>
  <c r="F145" i="38" s="1"/>
  <c r="G82" i="38"/>
  <c r="G145" i="38" s="1"/>
  <c r="H82" i="38"/>
  <c r="I82" i="38"/>
  <c r="J82" i="38"/>
  <c r="J145" i="38" s="1"/>
  <c r="I86" i="38"/>
  <c r="K86" i="38"/>
  <c r="I87" i="38"/>
  <c r="K87" i="38" s="1"/>
  <c r="I88" i="38"/>
  <c r="K88" i="38"/>
  <c r="I89" i="38"/>
  <c r="K89" i="38" s="1"/>
  <c r="I90" i="38"/>
  <c r="K90" i="38"/>
  <c r="I91" i="38"/>
  <c r="K91" i="38" s="1"/>
  <c r="I92" i="38"/>
  <c r="K92" i="38"/>
  <c r="I93" i="38"/>
  <c r="K93" i="38" s="1"/>
  <c r="I94" i="38"/>
  <c r="K94" i="38"/>
  <c r="I95" i="38"/>
  <c r="K95" i="38" s="1"/>
  <c r="I96" i="38"/>
  <c r="K96" i="38"/>
  <c r="F98" i="38"/>
  <c r="F146" i="38" s="1"/>
  <c r="F152" i="38" s="1"/>
  <c r="G98" i="38"/>
  <c r="H98" i="38"/>
  <c r="J98" i="38"/>
  <c r="F102" i="38"/>
  <c r="H102" i="38"/>
  <c r="I102" i="38" s="1"/>
  <c r="I103" i="38"/>
  <c r="K103" i="38" s="1"/>
  <c r="I104" i="38"/>
  <c r="K104" i="38"/>
  <c r="I105" i="38"/>
  <c r="K105" i="38" s="1"/>
  <c r="I106" i="38"/>
  <c r="K106" i="38"/>
  <c r="F108" i="38"/>
  <c r="F147" i="38" s="1"/>
  <c r="G108" i="38"/>
  <c r="G147" i="38" s="1"/>
  <c r="J108" i="38"/>
  <c r="F119" i="38"/>
  <c r="K131" i="38"/>
  <c r="K132" i="38"/>
  <c r="K133" i="38"/>
  <c r="K134" i="38"/>
  <c r="K135" i="38"/>
  <c r="F137" i="38"/>
  <c r="G137" i="38"/>
  <c r="H137" i="38"/>
  <c r="H149" i="38" s="1"/>
  <c r="I137" i="38"/>
  <c r="J137" i="38"/>
  <c r="F141" i="38"/>
  <c r="G141" i="38"/>
  <c r="J141" i="38"/>
  <c r="H142" i="38"/>
  <c r="G143" i="38"/>
  <c r="H143" i="38"/>
  <c r="F144" i="38"/>
  <c r="G144" i="38"/>
  <c r="J144" i="38"/>
  <c r="H145" i="38"/>
  <c r="I145" i="38"/>
  <c r="G146" i="38"/>
  <c r="H146" i="38"/>
  <c r="J146" i="38"/>
  <c r="J147" i="38"/>
  <c r="K148" i="38"/>
  <c r="F149" i="38"/>
  <c r="G149" i="38"/>
  <c r="I149" i="38"/>
  <c r="J149" i="38"/>
  <c r="H150" i="38"/>
  <c r="I150" i="38"/>
  <c r="J150" i="38"/>
  <c r="K18" i="37"/>
  <c r="I21" i="37"/>
  <c r="K21" i="37" s="1"/>
  <c r="I22" i="37"/>
  <c r="K22" i="37" s="1"/>
  <c r="I23" i="37"/>
  <c r="K23" i="37" s="1"/>
  <c r="I24" i="37"/>
  <c r="K24" i="37" s="1"/>
  <c r="I25" i="37"/>
  <c r="K25" i="37" s="1"/>
  <c r="I26" i="37"/>
  <c r="K26" i="37" s="1"/>
  <c r="I27" i="37"/>
  <c r="K27" i="37" s="1"/>
  <c r="I28" i="37"/>
  <c r="K28" i="37" s="1"/>
  <c r="I29" i="37"/>
  <c r="K29" i="37" s="1"/>
  <c r="I30" i="37"/>
  <c r="K30" i="37" s="1"/>
  <c r="I31" i="37"/>
  <c r="K31" i="37" s="1"/>
  <c r="I32" i="37"/>
  <c r="K32" i="37" s="1"/>
  <c r="I33" i="37"/>
  <c r="K33" i="37" s="1"/>
  <c r="I34" i="37"/>
  <c r="K34" i="37" s="1"/>
  <c r="F36" i="37"/>
  <c r="F141" i="37" s="1"/>
  <c r="G36" i="37"/>
  <c r="H36" i="37"/>
  <c r="H141" i="37" s="1"/>
  <c r="J36" i="37"/>
  <c r="J141" i="37" s="1"/>
  <c r="I40" i="37"/>
  <c r="K40" i="37" s="1"/>
  <c r="I41" i="37"/>
  <c r="K41" i="37" s="1"/>
  <c r="I42" i="37"/>
  <c r="K42" i="37" s="1"/>
  <c r="I43" i="37"/>
  <c r="K43" i="37" s="1"/>
  <c r="I44" i="37"/>
  <c r="K44" i="37" s="1"/>
  <c r="I45" i="37"/>
  <c r="K45" i="37" s="1"/>
  <c r="I46" i="37"/>
  <c r="K46" i="37" s="1"/>
  <c r="I47" i="37"/>
  <c r="K47" i="37" s="1"/>
  <c r="F49" i="37"/>
  <c r="F142" i="37" s="1"/>
  <c r="G49" i="37"/>
  <c r="H49" i="37"/>
  <c r="H142" i="37" s="1"/>
  <c r="J49" i="37"/>
  <c r="J142" i="37" s="1"/>
  <c r="I53" i="37"/>
  <c r="K53" i="37" s="1"/>
  <c r="I54" i="37"/>
  <c r="K54" i="37" s="1"/>
  <c r="I55" i="37"/>
  <c r="K55" i="37" s="1"/>
  <c r="I56" i="37"/>
  <c r="K56" i="37" s="1"/>
  <c r="I57" i="37"/>
  <c r="K57" i="37" s="1"/>
  <c r="K58" i="37"/>
  <c r="K59" i="37"/>
  <c r="K60" i="37"/>
  <c r="K61" i="37"/>
  <c r="K62" i="37"/>
  <c r="F64" i="37"/>
  <c r="F143" i="37" s="1"/>
  <c r="G64" i="37"/>
  <c r="G143" i="37" s="1"/>
  <c r="H64" i="37"/>
  <c r="J64" i="37"/>
  <c r="I68" i="37"/>
  <c r="I69" i="37"/>
  <c r="K69" i="37"/>
  <c r="I70" i="37"/>
  <c r="K70" i="37" s="1"/>
  <c r="I71" i="37"/>
  <c r="K71" i="37"/>
  <c r="I72" i="37"/>
  <c r="K72" i="37" s="1"/>
  <c r="F74" i="37"/>
  <c r="G74" i="37"/>
  <c r="G144" i="37" s="1"/>
  <c r="H74" i="37"/>
  <c r="J74" i="37"/>
  <c r="K77" i="37"/>
  <c r="K82" i="37" s="1"/>
  <c r="K78" i="37"/>
  <c r="K79" i="37"/>
  <c r="K80" i="37"/>
  <c r="F82" i="37"/>
  <c r="F145" i="37" s="1"/>
  <c r="G82" i="37"/>
  <c r="H82" i="37"/>
  <c r="I82" i="37"/>
  <c r="I145" i="37" s="1"/>
  <c r="J82" i="37"/>
  <c r="J145" i="37" s="1"/>
  <c r="I86" i="37"/>
  <c r="K86" i="37"/>
  <c r="I87" i="37"/>
  <c r="K87" i="37" s="1"/>
  <c r="I88" i="37"/>
  <c r="K88" i="37"/>
  <c r="I89" i="37"/>
  <c r="K89" i="37" s="1"/>
  <c r="I90" i="37"/>
  <c r="K90" i="37"/>
  <c r="I91" i="37"/>
  <c r="K91" i="37" s="1"/>
  <c r="I92" i="37"/>
  <c r="K92" i="37"/>
  <c r="I93" i="37"/>
  <c r="K93" i="37" s="1"/>
  <c r="I94" i="37"/>
  <c r="K94" i="37"/>
  <c r="I95" i="37"/>
  <c r="K95" i="37" s="1"/>
  <c r="I96" i="37"/>
  <c r="K96" i="37"/>
  <c r="F98" i="37"/>
  <c r="F146" i="37" s="1"/>
  <c r="G98" i="37"/>
  <c r="H98" i="37"/>
  <c r="J98" i="37"/>
  <c r="J146" i="37" s="1"/>
  <c r="I102" i="37"/>
  <c r="K102" i="37"/>
  <c r="I103" i="37"/>
  <c r="K103" i="37" s="1"/>
  <c r="I104" i="37"/>
  <c r="K104" i="37"/>
  <c r="I105" i="37"/>
  <c r="K105" i="37" s="1"/>
  <c r="I106" i="37"/>
  <c r="K106" i="37"/>
  <c r="F108" i="37"/>
  <c r="F147" i="37" s="1"/>
  <c r="G108" i="37"/>
  <c r="H108" i="37"/>
  <c r="J108" i="37"/>
  <c r="J147" i="37" s="1"/>
  <c r="F119" i="37"/>
  <c r="F123" i="37"/>
  <c r="F127" i="37" s="1"/>
  <c r="K131" i="37"/>
  <c r="K132" i="37"/>
  <c r="K133" i="37"/>
  <c r="K134" i="37"/>
  <c r="K135" i="37"/>
  <c r="F137" i="37"/>
  <c r="G137" i="37"/>
  <c r="G149" i="37" s="1"/>
  <c r="H137" i="37"/>
  <c r="I137" i="37"/>
  <c r="I149" i="37" s="1"/>
  <c r="J137" i="37"/>
  <c r="G141" i="37"/>
  <c r="G142" i="37"/>
  <c r="H143" i="37"/>
  <c r="J143" i="37"/>
  <c r="F144" i="37"/>
  <c r="H144" i="37"/>
  <c r="J144" i="37"/>
  <c r="G145" i="37"/>
  <c r="H145" i="37"/>
  <c r="K145" i="37"/>
  <c r="G146" i="37"/>
  <c r="H146" i="37"/>
  <c r="G147" i="37"/>
  <c r="H147" i="37"/>
  <c r="K148" i="37"/>
  <c r="F149" i="37"/>
  <c r="H149" i="37"/>
  <c r="J149" i="37"/>
  <c r="H150" i="37"/>
  <c r="I150" i="37"/>
  <c r="J150" i="37"/>
  <c r="K150" i="37"/>
  <c r="K18" i="36"/>
  <c r="F36" i="36"/>
  <c r="F141" i="36" s="1"/>
  <c r="G36" i="36"/>
  <c r="G141" i="36" s="1"/>
  <c r="H36" i="36"/>
  <c r="H141" i="36" s="1"/>
  <c r="J36" i="36"/>
  <c r="K40" i="36"/>
  <c r="K49" i="36" s="1"/>
  <c r="K142" i="36" s="1"/>
  <c r="K41" i="36"/>
  <c r="K42" i="36"/>
  <c r="K43" i="36"/>
  <c r="K44" i="36"/>
  <c r="K45" i="36"/>
  <c r="K46" i="36"/>
  <c r="K47" i="36"/>
  <c r="F49" i="36"/>
  <c r="G49" i="36"/>
  <c r="H49" i="36"/>
  <c r="H142" i="36" s="1"/>
  <c r="I49" i="36"/>
  <c r="J49" i="36"/>
  <c r="J142" i="36" s="1"/>
  <c r="K59" i="36"/>
  <c r="K60" i="36"/>
  <c r="F64" i="36"/>
  <c r="F143" i="36" s="1"/>
  <c r="G64" i="36"/>
  <c r="H64" i="36"/>
  <c r="J64" i="36"/>
  <c r="K68" i="36"/>
  <c r="K74" i="36" s="1"/>
  <c r="K144" i="36" s="1"/>
  <c r="K69" i="36"/>
  <c r="K70" i="36"/>
  <c r="K71" i="36"/>
  <c r="K72" i="36"/>
  <c r="F74" i="36"/>
  <c r="F144" i="36" s="1"/>
  <c r="G74" i="36"/>
  <c r="H74" i="36"/>
  <c r="I74" i="36"/>
  <c r="I144" i="36" s="1"/>
  <c r="J74" i="36"/>
  <c r="J144" i="36" s="1"/>
  <c r="K77" i="36"/>
  <c r="K78" i="36"/>
  <c r="K79" i="36"/>
  <c r="K80" i="36"/>
  <c r="F82" i="36"/>
  <c r="G82" i="36"/>
  <c r="G145" i="36" s="1"/>
  <c r="H82" i="36"/>
  <c r="H145" i="36" s="1"/>
  <c r="H152" i="36" s="1"/>
  <c r="I82" i="36"/>
  <c r="J82" i="36"/>
  <c r="K82" i="36"/>
  <c r="K145" i="36" s="1"/>
  <c r="F98" i="36"/>
  <c r="F146" i="36" s="1"/>
  <c r="G98" i="36"/>
  <c r="H98" i="36"/>
  <c r="J98" i="36"/>
  <c r="J146" i="36" s="1"/>
  <c r="F108" i="36"/>
  <c r="F147" i="36" s="1"/>
  <c r="G108" i="36"/>
  <c r="H108" i="36"/>
  <c r="J108" i="36"/>
  <c r="J147" i="36" s="1"/>
  <c r="F111" i="36"/>
  <c r="K148" i="36" s="1"/>
  <c r="F114" i="36"/>
  <c r="I21" i="36" s="1"/>
  <c r="F119" i="36"/>
  <c r="F123" i="36"/>
  <c r="F127" i="36" s="1"/>
  <c r="K131" i="36"/>
  <c r="K132" i="36"/>
  <c r="K133" i="36"/>
  <c r="K134" i="36"/>
  <c r="K135" i="36"/>
  <c r="F137" i="36"/>
  <c r="G137" i="36"/>
  <c r="H137" i="36"/>
  <c r="I137" i="36"/>
  <c r="J137" i="36"/>
  <c r="K137" i="36"/>
  <c r="J141" i="36"/>
  <c r="F142" i="36"/>
  <c r="G142" i="36"/>
  <c r="I142" i="36"/>
  <c r="G143" i="36"/>
  <c r="H143" i="36"/>
  <c r="J143" i="36"/>
  <c r="G144" i="36"/>
  <c r="H144" i="36"/>
  <c r="F145" i="36"/>
  <c r="I145" i="36"/>
  <c r="J145" i="36"/>
  <c r="G146" i="36"/>
  <c r="H146" i="36"/>
  <c r="G147" i="36"/>
  <c r="H147" i="36"/>
  <c r="F149" i="36"/>
  <c r="G149" i="36"/>
  <c r="H149" i="36"/>
  <c r="I149" i="36"/>
  <c r="J149" i="36"/>
  <c r="K149" i="36"/>
  <c r="H150" i="36"/>
  <c r="I150" i="36"/>
  <c r="J150" i="36"/>
  <c r="K150" i="36"/>
  <c r="K18" i="35"/>
  <c r="I21" i="35"/>
  <c r="K21" i="35"/>
  <c r="I22" i="35"/>
  <c r="K22" i="35" s="1"/>
  <c r="I23" i="35"/>
  <c r="K23" i="35"/>
  <c r="K24" i="35"/>
  <c r="I25" i="35"/>
  <c r="K25" i="35" s="1"/>
  <c r="I26" i="35"/>
  <c r="K26" i="35" s="1"/>
  <c r="I27" i="35"/>
  <c r="K27" i="35" s="1"/>
  <c r="I28" i="35"/>
  <c r="K28" i="35" s="1"/>
  <c r="I29" i="35"/>
  <c r="K29" i="35" s="1"/>
  <c r="I30" i="35"/>
  <c r="K30" i="35" s="1"/>
  <c r="I31" i="35"/>
  <c r="K31" i="35" s="1"/>
  <c r="I32" i="35"/>
  <c r="K32" i="35" s="1"/>
  <c r="I33" i="35"/>
  <c r="K33" i="35" s="1"/>
  <c r="I34" i="35"/>
  <c r="K34" i="35" s="1"/>
  <c r="F36" i="35"/>
  <c r="G36" i="35"/>
  <c r="H36" i="35"/>
  <c r="J36" i="35"/>
  <c r="K40" i="35"/>
  <c r="K49" i="35" s="1"/>
  <c r="K142" i="35" s="1"/>
  <c r="K41" i="35"/>
  <c r="K42" i="35"/>
  <c r="K43" i="35"/>
  <c r="K44" i="35"/>
  <c r="K45" i="35"/>
  <c r="K46" i="35"/>
  <c r="K47" i="35"/>
  <c r="F49" i="35"/>
  <c r="G49" i="35"/>
  <c r="H49" i="35"/>
  <c r="I49" i="35"/>
  <c r="J49" i="35"/>
  <c r="K54" i="35"/>
  <c r="K55" i="35"/>
  <c r="K56" i="35"/>
  <c r="K57" i="35"/>
  <c r="K58" i="35"/>
  <c r="K59" i="35"/>
  <c r="K60" i="35"/>
  <c r="K61" i="35"/>
  <c r="K62" i="35"/>
  <c r="F64" i="35"/>
  <c r="F143" i="35" s="1"/>
  <c r="H64" i="35"/>
  <c r="H143" i="35" s="1"/>
  <c r="J64" i="35"/>
  <c r="J143" i="35" s="1"/>
  <c r="I68" i="35"/>
  <c r="K68" i="35" s="1"/>
  <c r="K69" i="35"/>
  <c r="K70" i="35"/>
  <c r="K71" i="35"/>
  <c r="K72" i="35"/>
  <c r="F74" i="35"/>
  <c r="F144" i="35" s="1"/>
  <c r="G74" i="35"/>
  <c r="G144" i="35" s="1"/>
  <c r="H74" i="35"/>
  <c r="J74" i="35"/>
  <c r="K77" i="35"/>
  <c r="K78" i="35"/>
  <c r="K79" i="35"/>
  <c r="K80" i="35"/>
  <c r="F82" i="35"/>
  <c r="F145" i="35" s="1"/>
  <c r="G82" i="35"/>
  <c r="G145" i="35" s="1"/>
  <c r="H82" i="35"/>
  <c r="I82" i="35"/>
  <c r="J82" i="35"/>
  <c r="J145" i="35" s="1"/>
  <c r="I86" i="35"/>
  <c r="K86" i="35" s="1"/>
  <c r="I87" i="35"/>
  <c r="K87" i="35" s="1"/>
  <c r="I88" i="35"/>
  <c r="K88" i="35" s="1"/>
  <c r="I89" i="35"/>
  <c r="K89" i="35" s="1"/>
  <c r="I90" i="35"/>
  <c r="K90" i="35" s="1"/>
  <c r="I91" i="35"/>
  <c r="K91" i="35" s="1"/>
  <c r="I92" i="35"/>
  <c r="K92" i="35" s="1"/>
  <c r="I93" i="35"/>
  <c r="K93" i="35" s="1"/>
  <c r="I94" i="35"/>
  <c r="K94" i="35" s="1"/>
  <c r="I95" i="35"/>
  <c r="K95" i="35" s="1"/>
  <c r="I96" i="35"/>
  <c r="K96" i="35" s="1"/>
  <c r="F98" i="35"/>
  <c r="F146" i="35" s="1"/>
  <c r="G98" i="35"/>
  <c r="G146" i="35" s="1"/>
  <c r="H98" i="35"/>
  <c r="J98" i="35"/>
  <c r="I102" i="35"/>
  <c r="K102" i="35" s="1"/>
  <c r="I103" i="35"/>
  <c r="K103" i="35" s="1"/>
  <c r="I104" i="35"/>
  <c r="K104" i="35" s="1"/>
  <c r="I105" i="35"/>
  <c r="K105" i="35" s="1"/>
  <c r="I106" i="35"/>
  <c r="K106" i="35" s="1"/>
  <c r="F108" i="35"/>
  <c r="F147" i="35" s="1"/>
  <c r="G108" i="35"/>
  <c r="H108" i="35"/>
  <c r="J108" i="35"/>
  <c r="J147" i="35" s="1"/>
  <c r="F119" i="35"/>
  <c r="K131" i="35"/>
  <c r="K132" i="35"/>
  <c r="K133" i="35"/>
  <c r="K134" i="35"/>
  <c r="K135" i="35"/>
  <c r="F137" i="35"/>
  <c r="F149" i="35" s="1"/>
  <c r="G137" i="35"/>
  <c r="H137" i="35"/>
  <c r="H149" i="35" s="1"/>
  <c r="I137" i="35"/>
  <c r="J137" i="35"/>
  <c r="J149" i="35" s="1"/>
  <c r="F141" i="35"/>
  <c r="G141" i="35"/>
  <c r="H141" i="35"/>
  <c r="J141" i="35"/>
  <c r="F142" i="35"/>
  <c r="G142" i="35"/>
  <c r="H142" i="35"/>
  <c r="I142" i="35"/>
  <c r="J142" i="35"/>
  <c r="H144" i="35"/>
  <c r="J144" i="35"/>
  <c r="H145" i="35"/>
  <c r="I145" i="35"/>
  <c r="H146" i="35"/>
  <c r="J146" i="35"/>
  <c r="G147" i="35"/>
  <c r="H147" i="35"/>
  <c r="K148" i="35"/>
  <c r="G149" i="35"/>
  <c r="I149" i="35"/>
  <c r="H150" i="35"/>
  <c r="I150" i="35"/>
  <c r="J150" i="35"/>
  <c r="K150" i="35"/>
  <c r="H20" i="52" l="1"/>
  <c r="H102" i="52" s="1"/>
  <c r="F152" i="39"/>
  <c r="F152" i="47"/>
  <c r="F152" i="48"/>
  <c r="F152" i="49"/>
  <c r="J20" i="52"/>
  <c r="J102" i="52" s="1"/>
  <c r="G20" i="52"/>
  <c r="G102" i="52" s="1"/>
  <c r="L82" i="52"/>
  <c r="L108" i="52" s="1"/>
  <c r="K82" i="52"/>
  <c r="K108" i="52" s="1"/>
  <c r="L97" i="52"/>
  <c r="L110" i="52" s="1"/>
  <c r="G152" i="36"/>
  <c r="G152" i="42"/>
  <c r="J152" i="36"/>
  <c r="F152" i="36"/>
  <c r="J152" i="39"/>
  <c r="K98" i="42"/>
  <c r="K146" i="42" s="1"/>
  <c r="G152" i="45"/>
  <c r="K108" i="37"/>
  <c r="K147" i="37" s="1"/>
  <c r="G152" i="39"/>
  <c r="H137" i="41"/>
  <c r="H149" i="41" s="1"/>
  <c r="G152" i="43"/>
  <c r="K36" i="48"/>
  <c r="K141" i="48" s="1"/>
  <c r="K82" i="35"/>
  <c r="K145" i="35" s="1"/>
  <c r="H150" i="39"/>
  <c r="H152" i="39" s="1"/>
  <c r="G137" i="40"/>
  <c r="G149" i="40" s="1"/>
  <c r="F152" i="44"/>
  <c r="K74" i="48"/>
  <c r="K144" i="48" s="1"/>
  <c r="I49" i="50"/>
  <c r="I142" i="50" s="1"/>
  <c r="K137" i="35"/>
  <c r="K149" i="35" s="1"/>
  <c r="K74" i="35"/>
  <c r="K144" i="35" s="1"/>
  <c r="I36" i="35"/>
  <c r="I141" i="35" s="1"/>
  <c r="K137" i="37"/>
  <c r="K149" i="37" s="1"/>
  <c r="I108" i="37"/>
  <c r="I147" i="37" s="1"/>
  <c r="K98" i="37"/>
  <c r="K146" i="37" s="1"/>
  <c r="K82" i="38"/>
  <c r="K145" i="38" s="1"/>
  <c r="I49" i="38"/>
  <c r="I142" i="38" s="1"/>
  <c r="I21" i="39"/>
  <c r="I106" i="39"/>
  <c r="K106" i="39" s="1"/>
  <c r="H74" i="40"/>
  <c r="H144" i="40" s="1"/>
  <c r="K56" i="40"/>
  <c r="J64" i="40"/>
  <c r="J143" i="40" s="1"/>
  <c r="J152" i="40" s="1"/>
  <c r="F64" i="40"/>
  <c r="F143" i="40" s="1"/>
  <c r="G49" i="40"/>
  <c r="G142" i="40" s="1"/>
  <c r="F152" i="41"/>
  <c r="J82" i="41"/>
  <c r="J145" i="41" s="1"/>
  <c r="K69" i="41"/>
  <c r="K54" i="41"/>
  <c r="H64" i="41"/>
  <c r="H143" i="41" s="1"/>
  <c r="H49" i="41"/>
  <c r="H142" i="41" s="1"/>
  <c r="K18" i="41"/>
  <c r="K150" i="41" s="1"/>
  <c r="H150" i="41"/>
  <c r="K74" i="42"/>
  <c r="K144" i="42" s="1"/>
  <c r="K22" i="42"/>
  <c r="K36" i="42" s="1"/>
  <c r="K141" i="42" s="1"/>
  <c r="I36" i="42"/>
  <c r="I141" i="42" s="1"/>
  <c r="K82" i="43"/>
  <c r="K145" i="43" s="1"/>
  <c r="I36" i="43"/>
  <c r="I141" i="43" s="1"/>
  <c r="I152" i="43" s="1"/>
  <c r="J152" i="44"/>
  <c r="H108" i="45"/>
  <c r="H147" i="45" s="1"/>
  <c r="K103" i="45"/>
  <c r="K92" i="45"/>
  <c r="K88" i="45"/>
  <c r="J98" i="45"/>
  <c r="J146" i="45" s="1"/>
  <c r="F98" i="45"/>
  <c r="F146" i="45" s="1"/>
  <c r="I87" i="47"/>
  <c r="I98" i="47" s="1"/>
  <c r="I146" i="47" s="1"/>
  <c r="H98" i="47"/>
  <c r="H146" i="47" s="1"/>
  <c r="I152" i="48"/>
  <c r="K86" i="48"/>
  <c r="I98" i="48"/>
  <c r="I146" i="48" s="1"/>
  <c r="H152" i="50"/>
  <c r="K106" i="50"/>
  <c r="I108" i="50"/>
  <c r="I147" i="50" s="1"/>
  <c r="I98" i="50"/>
  <c r="I146" i="50" s="1"/>
  <c r="K68" i="37"/>
  <c r="K74" i="37" s="1"/>
  <c r="K144" i="37" s="1"/>
  <c r="I74" i="37"/>
  <c r="I144" i="37" s="1"/>
  <c r="K98" i="38"/>
  <c r="K146" i="38" s="1"/>
  <c r="G82" i="41"/>
  <c r="G145" i="41" s="1"/>
  <c r="K49" i="50"/>
  <c r="K142" i="50" s="1"/>
  <c r="K152" i="50" s="1"/>
  <c r="K22" i="50"/>
  <c r="K36" i="50" s="1"/>
  <c r="K141" i="50" s="1"/>
  <c r="I36" i="50"/>
  <c r="I141" i="50" s="1"/>
  <c r="I98" i="38"/>
  <c r="I146" i="38" s="1"/>
  <c r="K49" i="38"/>
  <c r="K142" i="38" s="1"/>
  <c r="F123" i="40"/>
  <c r="J82" i="40"/>
  <c r="J145" i="40" s="1"/>
  <c r="G64" i="40"/>
  <c r="G143" i="40" s="1"/>
  <c r="K40" i="40"/>
  <c r="K68" i="41"/>
  <c r="J74" i="41"/>
  <c r="J144" i="41" s="1"/>
  <c r="J152" i="41" s="1"/>
  <c r="K64" i="42"/>
  <c r="K143" i="42" s="1"/>
  <c r="K86" i="43"/>
  <c r="K98" i="43" s="1"/>
  <c r="K146" i="43" s="1"/>
  <c r="I98" i="43"/>
  <c r="I146" i="43" s="1"/>
  <c r="I98" i="37"/>
  <c r="I146" i="37" s="1"/>
  <c r="G152" i="38"/>
  <c r="K137" i="38"/>
  <c r="K149" i="38" s="1"/>
  <c r="I36" i="38"/>
  <c r="I141" i="38" s="1"/>
  <c r="K36" i="38"/>
  <c r="K141" i="38" s="1"/>
  <c r="K137" i="39"/>
  <c r="K149" i="39" s="1"/>
  <c r="H137" i="40"/>
  <c r="H149" i="40" s="1"/>
  <c r="F82" i="40"/>
  <c r="F145" i="40" s="1"/>
  <c r="G82" i="40"/>
  <c r="G145" i="40" s="1"/>
  <c r="F49" i="40"/>
  <c r="F142" i="40" s="1"/>
  <c r="K18" i="40"/>
  <c r="K150" i="40" s="1"/>
  <c r="F127" i="41"/>
  <c r="K77" i="41"/>
  <c r="H82" i="41"/>
  <c r="H145" i="41" s="1"/>
  <c r="G64" i="41"/>
  <c r="G143" i="41" s="1"/>
  <c r="G152" i="41" s="1"/>
  <c r="G49" i="41"/>
  <c r="G142" i="41" s="1"/>
  <c r="F152" i="42"/>
  <c r="J152" i="42"/>
  <c r="K137" i="42"/>
  <c r="K149" i="42" s="1"/>
  <c r="H152" i="43"/>
  <c r="K102" i="43"/>
  <c r="K108" i="43" s="1"/>
  <c r="K147" i="43" s="1"/>
  <c r="I108" i="43"/>
  <c r="I147" i="43" s="1"/>
  <c r="K64" i="43"/>
  <c r="K143" i="43" s="1"/>
  <c r="K36" i="43"/>
  <c r="K141" i="43" s="1"/>
  <c r="K22" i="44"/>
  <c r="K36" i="44" s="1"/>
  <c r="K141" i="44" s="1"/>
  <c r="I36" i="44"/>
  <c r="I141" i="44" s="1"/>
  <c r="J49" i="45"/>
  <c r="J142" i="45" s="1"/>
  <c r="K41" i="45"/>
  <c r="F49" i="45"/>
  <c r="F142" i="45" s="1"/>
  <c r="H36" i="45"/>
  <c r="H141" i="45" s="1"/>
  <c r="I64" i="37"/>
  <c r="I143" i="37" s="1"/>
  <c r="K82" i="39"/>
  <c r="K145" i="39" s="1"/>
  <c r="K132" i="40"/>
  <c r="K137" i="40" s="1"/>
  <c r="K149" i="40" s="1"/>
  <c r="H82" i="40"/>
  <c r="H145" i="40" s="1"/>
  <c r="K77" i="40"/>
  <c r="K82" i="40" s="1"/>
  <c r="K145" i="40" s="1"/>
  <c r="K69" i="40"/>
  <c r="K74" i="40" s="1"/>
  <c r="K144" i="40" s="1"/>
  <c r="K54" i="40"/>
  <c r="K43" i="40"/>
  <c r="G36" i="40"/>
  <c r="G141" i="40" s="1"/>
  <c r="K133" i="41"/>
  <c r="K78" i="41"/>
  <c r="K57" i="41"/>
  <c r="K42" i="41"/>
  <c r="I108" i="42"/>
  <c r="I147" i="42" s="1"/>
  <c r="I98" i="42"/>
  <c r="I146" i="42" s="1"/>
  <c r="K44" i="42"/>
  <c r="I108" i="44"/>
  <c r="I147" i="44" s="1"/>
  <c r="K132" i="45"/>
  <c r="K137" i="45" s="1"/>
  <c r="K149" i="45" s="1"/>
  <c r="H137" i="45"/>
  <c r="H149" i="45" s="1"/>
  <c r="J152" i="46"/>
  <c r="G98" i="47"/>
  <c r="G146" i="47" s="1"/>
  <c r="H152" i="48"/>
  <c r="H152" i="49"/>
  <c r="K98" i="50"/>
  <c r="K146" i="50" s="1"/>
  <c r="K21" i="40"/>
  <c r="K41" i="40"/>
  <c r="K131" i="41"/>
  <c r="K137" i="41" s="1"/>
  <c r="K149" i="41" s="1"/>
  <c r="K55" i="41"/>
  <c r="K40" i="41"/>
  <c r="K49" i="41" s="1"/>
  <c r="K142" i="41" s="1"/>
  <c r="K42" i="42"/>
  <c r="K49" i="46"/>
  <c r="K142" i="46" s="1"/>
  <c r="G152" i="46"/>
  <c r="J152" i="47"/>
  <c r="G152" i="47"/>
  <c r="G152" i="48"/>
  <c r="K137" i="50"/>
  <c r="K149" i="50" s="1"/>
  <c r="K74" i="43"/>
  <c r="K144" i="43" s="1"/>
  <c r="K53" i="45"/>
  <c r="K64" i="45" s="1"/>
  <c r="K143" i="45" s="1"/>
  <c r="K44" i="45"/>
  <c r="H64" i="46"/>
  <c r="H143" i="46" s="1"/>
  <c r="H152" i="46" s="1"/>
  <c r="F152" i="46"/>
  <c r="K79" i="47"/>
  <c r="K82" i="47" s="1"/>
  <c r="K145" i="47" s="1"/>
  <c r="H82" i="47"/>
  <c r="H145" i="47" s="1"/>
  <c r="I21" i="47"/>
  <c r="K21" i="47" s="1"/>
  <c r="H36" i="47"/>
  <c r="H141" i="47" s="1"/>
  <c r="H152" i="47" s="1"/>
  <c r="K64" i="48"/>
  <c r="K143" i="48" s="1"/>
  <c r="K82" i="49"/>
  <c r="K145" i="49" s="1"/>
  <c r="G152" i="49"/>
  <c r="F152" i="50"/>
  <c r="I64" i="50"/>
  <c r="I143" i="50" s="1"/>
  <c r="J36" i="45"/>
  <c r="J141" i="45" s="1"/>
  <c r="F36" i="45"/>
  <c r="F141" i="45" s="1"/>
  <c r="K74" i="46"/>
  <c r="K144" i="46" s="1"/>
  <c r="K49" i="48"/>
  <c r="K142" i="48" s="1"/>
  <c r="K21" i="49"/>
  <c r="I36" i="49"/>
  <c r="I141" i="49" s="1"/>
  <c r="J152" i="50"/>
  <c r="K64" i="50"/>
  <c r="K143" i="50" s="1"/>
  <c r="K137" i="49"/>
  <c r="K149" i="49" s="1"/>
  <c r="K77" i="45"/>
  <c r="K82" i="45" s="1"/>
  <c r="K145" i="45" s="1"/>
  <c r="K137" i="47"/>
  <c r="K149" i="47" s="1"/>
  <c r="K108" i="50"/>
  <c r="K147" i="50" s="1"/>
  <c r="K98" i="49"/>
  <c r="K146" i="49" s="1"/>
  <c r="K108" i="49"/>
  <c r="K147" i="49" s="1"/>
  <c r="K36" i="49"/>
  <c r="K141" i="49" s="1"/>
  <c r="I108" i="49"/>
  <c r="I147" i="49" s="1"/>
  <c r="I98" i="49"/>
  <c r="I146" i="49" s="1"/>
  <c r="K108" i="48"/>
  <c r="K147" i="48" s="1"/>
  <c r="K98" i="48"/>
  <c r="K146" i="48" s="1"/>
  <c r="K152" i="48" s="1"/>
  <c r="K87" i="47"/>
  <c r="K98" i="47" s="1"/>
  <c r="K146" i="47" s="1"/>
  <c r="K108" i="47"/>
  <c r="K147" i="47" s="1"/>
  <c r="I108" i="47"/>
  <c r="I147" i="47" s="1"/>
  <c r="K25" i="47"/>
  <c r="K36" i="47" s="1"/>
  <c r="K141" i="47" s="1"/>
  <c r="K152" i="47" s="1"/>
  <c r="I64" i="46"/>
  <c r="I143" i="46" s="1"/>
  <c r="K64" i="46"/>
  <c r="K143" i="46" s="1"/>
  <c r="I106" i="46"/>
  <c r="K106" i="46" s="1"/>
  <c r="I105" i="46"/>
  <c r="K105" i="46" s="1"/>
  <c r="I104" i="46"/>
  <c r="K104" i="46" s="1"/>
  <c r="I103" i="46"/>
  <c r="K103" i="46" s="1"/>
  <c r="I102" i="46"/>
  <c r="K86" i="45"/>
  <c r="K56" i="45"/>
  <c r="I64" i="45"/>
  <c r="I143" i="45" s="1"/>
  <c r="K106" i="45"/>
  <c r="K105" i="45"/>
  <c r="K104" i="45"/>
  <c r="I96" i="45"/>
  <c r="K96" i="45" s="1"/>
  <c r="I95" i="45"/>
  <c r="K95" i="45" s="1"/>
  <c r="I94" i="45"/>
  <c r="K94" i="45" s="1"/>
  <c r="K90" i="45"/>
  <c r="K89" i="45"/>
  <c r="K87" i="45"/>
  <c r="K98" i="44"/>
  <c r="K146" i="44" s="1"/>
  <c r="K49" i="42"/>
  <c r="K142" i="42" s="1"/>
  <c r="K152" i="42" s="1"/>
  <c r="I108" i="41"/>
  <c r="I147" i="41" s="1"/>
  <c r="K64" i="41"/>
  <c r="K143" i="41" s="1"/>
  <c r="I96" i="41"/>
  <c r="K96" i="41" s="1"/>
  <c r="I95" i="41"/>
  <c r="K95" i="41" s="1"/>
  <c r="I30" i="41"/>
  <c r="K30" i="41" s="1"/>
  <c r="I29" i="41"/>
  <c r="K29" i="41" s="1"/>
  <c r="I28" i="41"/>
  <c r="K28" i="41" s="1"/>
  <c r="I27" i="41"/>
  <c r="K27" i="41" s="1"/>
  <c r="I26" i="41"/>
  <c r="K26" i="41" s="1"/>
  <c r="I25" i="41"/>
  <c r="K25" i="41" s="1"/>
  <c r="I24" i="41"/>
  <c r="K24" i="41" s="1"/>
  <c r="I23" i="41"/>
  <c r="K23" i="41" s="1"/>
  <c r="I22" i="41"/>
  <c r="K22" i="41" s="1"/>
  <c r="I21" i="41"/>
  <c r="K106" i="41"/>
  <c r="K105" i="41"/>
  <c r="K104" i="41"/>
  <c r="K103" i="41"/>
  <c r="K102" i="41"/>
  <c r="K94" i="41"/>
  <c r="K93" i="41"/>
  <c r="K92" i="41"/>
  <c r="K91" i="41"/>
  <c r="K90" i="41"/>
  <c r="K89" i="41"/>
  <c r="K88" i="41"/>
  <c r="K87" i="41"/>
  <c r="K86" i="41"/>
  <c r="I34" i="41"/>
  <c r="K34" i="41" s="1"/>
  <c r="I33" i="41"/>
  <c r="K33" i="41" s="1"/>
  <c r="I32" i="41"/>
  <c r="K32" i="41" s="1"/>
  <c r="F127" i="40"/>
  <c r="K49" i="40"/>
  <c r="K142" i="40" s="1"/>
  <c r="K96" i="40"/>
  <c r="K95" i="40"/>
  <c r="K31" i="40"/>
  <c r="K106" i="40"/>
  <c r="K105" i="40"/>
  <c r="K104" i="40"/>
  <c r="K103" i="40"/>
  <c r="K94" i="40"/>
  <c r="K93" i="40"/>
  <c r="K92" i="40"/>
  <c r="K91" i="40"/>
  <c r="K90" i="40"/>
  <c r="K89" i="40"/>
  <c r="K88" i="40"/>
  <c r="K87" i="40"/>
  <c r="K34" i="40"/>
  <c r="K33" i="40"/>
  <c r="K32" i="40"/>
  <c r="K30" i="40"/>
  <c r="K29" i="40"/>
  <c r="K28" i="40"/>
  <c r="K27" i="40"/>
  <c r="K26" i="40"/>
  <c r="K25" i="40"/>
  <c r="K24" i="40"/>
  <c r="K23" i="40"/>
  <c r="K22" i="40"/>
  <c r="K21" i="39"/>
  <c r="I105" i="39"/>
  <c r="K105" i="39" s="1"/>
  <c r="I104" i="39"/>
  <c r="K104" i="39" s="1"/>
  <c r="I103" i="39"/>
  <c r="K103" i="39" s="1"/>
  <c r="I102" i="39"/>
  <c r="I96" i="39"/>
  <c r="K96" i="39" s="1"/>
  <c r="I95" i="39"/>
  <c r="K95" i="39" s="1"/>
  <c r="I91" i="39"/>
  <c r="K91" i="39" s="1"/>
  <c r="I90" i="39"/>
  <c r="K90" i="39" s="1"/>
  <c r="I89" i="39"/>
  <c r="K89" i="39" s="1"/>
  <c r="I87" i="39"/>
  <c r="K87" i="39" s="1"/>
  <c r="I86" i="39"/>
  <c r="I70" i="39"/>
  <c r="I55" i="39"/>
  <c r="K55" i="39" s="1"/>
  <c r="I54" i="39"/>
  <c r="K54" i="39" s="1"/>
  <c r="I53" i="39"/>
  <c r="I42" i="39"/>
  <c r="K42" i="39" s="1"/>
  <c r="I41" i="39"/>
  <c r="K41" i="39" s="1"/>
  <c r="I40" i="39"/>
  <c r="I34" i="39"/>
  <c r="K34" i="39" s="1"/>
  <c r="I33" i="39"/>
  <c r="K33" i="39" s="1"/>
  <c r="I32" i="39"/>
  <c r="K32" i="39" s="1"/>
  <c r="I31" i="39"/>
  <c r="K31" i="39" s="1"/>
  <c r="I30" i="39"/>
  <c r="K30" i="39" s="1"/>
  <c r="I29" i="39"/>
  <c r="K29" i="39" s="1"/>
  <c r="I28" i="39"/>
  <c r="K28" i="39" s="1"/>
  <c r="I27" i="39"/>
  <c r="K27" i="39" s="1"/>
  <c r="I26" i="39"/>
  <c r="K26" i="39" s="1"/>
  <c r="I25" i="39"/>
  <c r="K25" i="39" s="1"/>
  <c r="I24" i="39"/>
  <c r="K24" i="39" s="1"/>
  <c r="I23" i="39"/>
  <c r="K23" i="39" s="1"/>
  <c r="I22" i="39"/>
  <c r="K22" i="39" s="1"/>
  <c r="K102" i="38"/>
  <c r="K108" i="38" s="1"/>
  <c r="K147" i="38" s="1"/>
  <c r="K152" i="38" s="1"/>
  <c r="I108" i="38"/>
  <c r="I147" i="38" s="1"/>
  <c r="I152" i="38"/>
  <c r="H108" i="38"/>
  <c r="H147" i="38" s="1"/>
  <c r="H152" i="38" s="1"/>
  <c r="G152" i="37"/>
  <c r="K64" i="37"/>
  <c r="K143" i="37" s="1"/>
  <c r="K49" i="37"/>
  <c r="K142" i="37" s="1"/>
  <c r="H152" i="37"/>
  <c r="F152" i="37"/>
  <c r="K36" i="37"/>
  <c r="K141" i="37" s="1"/>
  <c r="J152" i="37"/>
  <c r="I49" i="37"/>
  <c r="I142" i="37" s="1"/>
  <c r="I36" i="37"/>
  <c r="I141" i="37" s="1"/>
  <c r="K21" i="36"/>
  <c r="I106" i="36"/>
  <c r="K106" i="36" s="1"/>
  <c r="I105" i="36"/>
  <c r="K105" i="36" s="1"/>
  <c r="I104" i="36"/>
  <c r="K104" i="36" s="1"/>
  <c r="I103" i="36"/>
  <c r="K103" i="36" s="1"/>
  <c r="I102" i="36"/>
  <c r="I96" i="36"/>
  <c r="K96" i="36" s="1"/>
  <c r="I95" i="36"/>
  <c r="K95" i="36" s="1"/>
  <c r="I94" i="36"/>
  <c r="K94" i="36" s="1"/>
  <c r="I93" i="36"/>
  <c r="K93" i="36" s="1"/>
  <c r="I92" i="36"/>
  <c r="K92" i="36" s="1"/>
  <c r="I91" i="36"/>
  <c r="K91" i="36" s="1"/>
  <c r="I90" i="36"/>
  <c r="K90" i="36" s="1"/>
  <c r="I89" i="36"/>
  <c r="K89" i="36" s="1"/>
  <c r="I88" i="36"/>
  <c r="K88" i="36" s="1"/>
  <c r="I87" i="36"/>
  <c r="K87" i="36" s="1"/>
  <c r="I86" i="36"/>
  <c r="I62" i="36"/>
  <c r="K62" i="36" s="1"/>
  <c r="I61" i="36"/>
  <c r="K61" i="36" s="1"/>
  <c r="I58" i="36"/>
  <c r="K58" i="36" s="1"/>
  <c r="I57" i="36"/>
  <c r="K57" i="36" s="1"/>
  <c r="I56" i="36"/>
  <c r="K56" i="36" s="1"/>
  <c r="I55" i="36"/>
  <c r="K55" i="36" s="1"/>
  <c r="I54" i="36"/>
  <c r="K54" i="36" s="1"/>
  <c r="I53" i="36"/>
  <c r="I34" i="36"/>
  <c r="K34" i="36" s="1"/>
  <c r="I33" i="36"/>
  <c r="K33" i="36" s="1"/>
  <c r="I32" i="36"/>
  <c r="K32" i="36" s="1"/>
  <c r="I31" i="36"/>
  <c r="K31" i="36" s="1"/>
  <c r="I30" i="36"/>
  <c r="K30" i="36" s="1"/>
  <c r="I29" i="36"/>
  <c r="K29" i="36" s="1"/>
  <c r="I28" i="36"/>
  <c r="K28" i="36" s="1"/>
  <c r="I27" i="36"/>
  <c r="K27" i="36" s="1"/>
  <c r="I26" i="36"/>
  <c r="K26" i="36" s="1"/>
  <c r="I25" i="36"/>
  <c r="K25" i="36" s="1"/>
  <c r="I24" i="36"/>
  <c r="K24" i="36" s="1"/>
  <c r="I23" i="36"/>
  <c r="K23" i="36" s="1"/>
  <c r="I22" i="36"/>
  <c r="K22" i="36" s="1"/>
  <c r="G64" i="35"/>
  <c r="G143" i="35" s="1"/>
  <c r="G152" i="35" s="1"/>
  <c r="J152" i="35"/>
  <c r="H152" i="35"/>
  <c r="F152" i="35"/>
  <c r="K108" i="35"/>
  <c r="K147" i="35" s="1"/>
  <c r="K36" i="35"/>
  <c r="K141" i="35" s="1"/>
  <c r="I64" i="35"/>
  <c r="I143" i="35" s="1"/>
  <c r="K53" i="35"/>
  <c r="K64" i="35" s="1"/>
  <c r="K143" i="35" s="1"/>
  <c r="K98" i="35"/>
  <c r="K146" i="35" s="1"/>
  <c r="I108" i="35"/>
  <c r="I147" i="35" s="1"/>
  <c r="I98" i="35"/>
  <c r="I146" i="35" s="1"/>
  <c r="I74" i="35"/>
  <c r="I144" i="35" s="1"/>
  <c r="K18" i="34"/>
  <c r="I21" i="34"/>
  <c r="K21" i="34" s="1"/>
  <c r="I22" i="34"/>
  <c r="K22" i="34" s="1"/>
  <c r="I23" i="34"/>
  <c r="K23" i="34" s="1"/>
  <c r="I24" i="34"/>
  <c r="K24" i="34" s="1"/>
  <c r="I25" i="34"/>
  <c r="K25" i="34"/>
  <c r="I26" i="34"/>
  <c r="K26" i="34"/>
  <c r="I27" i="34"/>
  <c r="K27" i="34"/>
  <c r="I28" i="34"/>
  <c r="K28" i="34"/>
  <c r="I29" i="34"/>
  <c r="K29" i="34"/>
  <c r="I30" i="34"/>
  <c r="K30" i="34"/>
  <c r="I31" i="34"/>
  <c r="K31" i="34"/>
  <c r="I32" i="34"/>
  <c r="K32" i="34"/>
  <c r="I33" i="34"/>
  <c r="K33" i="34"/>
  <c r="I34" i="34"/>
  <c r="K34" i="34"/>
  <c r="F36" i="34"/>
  <c r="G36" i="34"/>
  <c r="G141" i="34" s="1"/>
  <c r="H36" i="34"/>
  <c r="J36" i="34"/>
  <c r="K40" i="34"/>
  <c r="K49" i="34" s="1"/>
  <c r="K142" i="34" s="1"/>
  <c r="K41" i="34"/>
  <c r="K42" i="34"/>
  <c r="K43" i="34"/>
  <c r="K44" i="34"/>
  <c r="K45" i="34"/>
  <c r="K46" i="34"/>
  <c r="K47" i="34"/>
  <c r="F49" i="34"/>
  <c r="F142" i="34" s="1"/>
  <c r="G49" i="34"/>
  <c r="H49" i="34"/>
  <c r="H142" i="34" s="1"/>
  <c r="I49" i="34"/>
  <c r="J49" i="34"/>
  <c r="J142" i="34" s="1"/>
  <c r="K53" i="34"/>
  <c r="K64" i="34" s="1"/>
  <c r="K143" i="34" s="1"/>
  <c r="K54" i="34"/>
  <c r="K55" i="34"/>
  <c r="K56" i="34"/>
  <c r="K57" i="34"/>
  <c r="K58" i="34"/>
  <c r="K59" i="34"/>
  <c r="K60" i="34"/>
  <c r="K61" i="34"/>
  <c r="K62" i="34"/>
  <c r="F64" i="34"/>
  <c r="F143" i="34" s="1"/>
  <c r="G64" i="34"/>
  <c r="H64" i="34"/>
  <c r="H143" i="34" s="1"/>
  <c r="I64" i="34"/>
  <c r="J64" i="34"/>
  <c r="J143" i="34" s="1"/>
  <c r="K68" i="34"/>
  <c r="K69" i="34"/>
  <c r="K70" i="34"/>
  <c r="K71" i="34"/>
  <c r="K72" i="34"/>
  <c r="F74" i="34"/>
  <c r="G74" i="34"/>
  <c r="H74" i="34"/>
  <c r="I74" i="34"/>
  <c r="J74" i="34"/>
  <c r="K77" i="34"/>
  <c r="K78" i="34"/>
  <c r="K79" i="34"/>
  <c r="K80" i="34"/>
  <c r="F82" i="34"/>
  <c r="G82" i="34"/>
  <c r="H82" i="34"/>
  <c r="I82" i="34"/>
  <c r="J82" i="34"/>
  <c r="I86" i="34"/>
  <c r="K86" i="34" s="1"/>
  <c r="I87" i="34"/>
  <c r="K87" i="34" s="1"/>
  <c r="I88" i="34"/>
  <c r="K88" i="34" s="1"/>
  <c r="I89" i="34"/>
  <c r="K89" i="34" s="1"/>
  <c r="I90" i="34"/>
  <c r="K90" i="34" s="1"/>
  <c r="I91" i="34"/>
  <c r="K91" i="34" s="1"/>
  <c r="I92" i="34"/>
  <c r="K92" i="34" s="1"/>
  <c r="I93" i="34"/>
  <c r="K93" i="34" s="1"/>
  <c r="I94" i="34"/>
  <c r="K94" i="34" s="1"/>
  <c r="I95" i="34"/>
  <c r="K95" i="34" s="1"/>
  <c r="I96" i="34"/>
  <c r="K96" i="34" s="1"/>
  <c r="F98" i="34"/>
  <c r="F146" i="34" s="1"/>
  <c r="G98" i="34"/>
  <c r="H98" i="34"/>
  <c r="H146" i="34" s="1"/>
  <c r="J98" i="34"/>
  <c r="J146" i="34" s="1"/>
  <c r="I102" i="34"/>
  <c r="K102" i="34" s="1"/>
  <c r="I103" i="34"/>
  <c r="K103" i="34" s="1"/>
  <c r="I104" i="34"/>
  <c r="K104" i="34" s="1"/>
  <c r="I105" i="34"/>
  <c r="K105" i="34" s="1"/>
  <c r="I106" i="34"/>
  <c r="K106" i="34"/>
  <c r="F108" i="34"/>
  <c r="G108" i="34"/>
  <c r="G147" i="34" s="1"/>
  <c r="H108" i="34"/>
  <c r="J108" i="34"/>
  <c r="F119" i="34"/>
  <c r="K131" i="34"/>
  <c r="K132" i="34"/>
  <c r="K137" i="34" s="1"/>
  <c r="K149" i="34" s="1"/>
  <c r="K133" i="34"/>
  <c r="K134" i="34"/>
  <c r="K135" i="34"/>
  <c r="F137" i="34"/>
  <c r="G137" i="34"/>
  <c r="H137" i="34"/>
  <c r="I137" i="34"/>
  <c r="J137" i="34"/>
  <c r="F141" i="34"/>
  <c r="H141" i="34"/>
  <c r="J141" i="34"/>
  <c r="G142" i="34"/>
  <c r="I142" i="34"/>
  <c r="G143" i="34"/>
  <c r="I143" i="34"/>
  <c r="F144" i="34"/>
  <c r="G144" i="34"/>
  <c r="H144" i="34"/>
  <c r="I144" i="34"/>
  <c r="J144" i="34"/>
  <c r="F145" i="34"/>
  <c r="G145" i="34"/>
  <c r="H145" i="34"/>
  <c r="I145" i="34"/>
  <c r="J145" i="34"/>
  <c r="G146" i="34"/>
  <c r="F147" i="34"/>
  <c r="H147" i="34"/>
  <c r="J147" i="34"/>
  <c r="K148" i="34"/>
  <c r="F149" i="34"/>
  <c r="G149" i="34"/>
  <c r="H149" i="34"/>
  <c r="I149" i="34"/>
  <c r="J149" i="34"/>
  <c r="H150" i="34"/>
  <c r="I150" i="34"/>
  <c r="J150" i="34"/>
  <c r="K150" i="34"/>
  <c r="K18" i="33"/>
  <c r="I21" i="33"/>
  <c r="I22" i="33"/>
  <c r="K22" i="33" s="1"/>
  <c r="I23" i="33"/>
  <c r="K23" i="33" s="1"/>
  <c r="I24" i="33"/>
  <c r="I25" i="33"/>
  <c r="K25" i="33" s="1"/>
  <c r="I26" i="33"/>
  <c r="I27" i="33"/>
  <c r="I28" i="33"/>
  <c r="I29" i="33"/>
  <c r="K29" i="33" s="1"/>
  <c r="K30" i="33"/>
  <c r="K31" i="33"/>
  <c r="K32" i="33"/>
  <c r="K33" i="33"/>
  <c r="I34" i="33"/>
  <c r="F36" i="33"/>
  <c r="F141" i="33" s="1"/>
  <c r="G36" i="33"/>
  <c r="H36" i="33"/>
  <c r="J36" i="33"/>
  <c r="K40" i="33"/>
  <c r="K41" i="33"/>
  <c r="K42" i="33"/>
  <c r="K43" i="33"/>
  <c r="K44" i="33"/>
  <c r="K45" i="33"/>
  <c r="K46" i="33"/>
  <c r="K47" i="33"/>
  <c r="F49" i="33"/>
  <c r="F142" i="33" s="1"/>
  <c r="G49" i="33"/>
  <c r="H49" i="33"/>
  <c r="I49" i="33"/>
  <c r="J49" i="33"/>
  <c r="I53" i="33"/>
  <c r="J53" i="33"/>
  <c r="K54" i="33"/>
  <c r="K55" i="33"/>
  <c r="K56" i="33"/>
  <c r="K57" i="33"/>
  <c r="K58" i="33"/>
  <c r="K59" i="33"/>
  <c r="K60" i="33"/>
  <c r="K61" i="33"/>
  <c r="K62" i="33"/>
  <c r="F64" i="33"/>
  <c r="G64" i="33"/>
  <c r="G143" i="33" s="1"/>
  <c r="H64" i="33"/>
  <c r="H143" i="33" s="1"/>
  <c r="I64" i="33"/>
  <c r="I143" i="33" s="1"/>
  <c r="J64" i="33"/>
  <c r="K68" i="33"/>
  <c r="K40" i="52" s="1"/>
  <c r="L40" i="52" s="1"/>
  <c r="K69" i="33"/>
  <c r="K41" i="52" s="1"/>
  <c r="L41" i="52" s="1"/>
  <c r="K70" i="33"/>
  <c r="K71" i="33"/>
  <c r="K72" i="33"/>
  <c r="F74" i="33"/>
  <c r="G74" i="33"/>
  <c r="H74" i="33"/>
  <c r="I74" i="33"/>
  <c r="J74" i="33"/>
  <c r="K77" i="33"/>
  <c r="K78" i="33"/>
  <c r="K49" i="52" s="1"/>
  <c r="L49" i="52" s="1"/>
  <c r="K79" i="33"/>
  <c r="K50" i="52" s="1"/>
  <c r="L50" i="52" s="1"/>
  <c r="K80" i="33"/>
  <c r="K51" i="52" s="1"/>
  <c r="L51" i="52" s="1"/>
  <c r="F82" i="33"/>
  <c r="G82" i="33"/>
  <c r="H82" i="33"/>
  <c r="I82" i="33"/>
  <c r="J82" i="33"/>
  <c r="I86" i="33"/>
  <c r="I87" i="33"/>
  <c r="I88" i="33"/>
  <c r="I89" i="33"/>
  <c r="I90" i="33"/>
  <c r="I91" i="33"/>
  <c r="I92" i="33"/>
  <c r="I93" i="33"/>
  <c r="K94" i="33"/>
  <c r="K67" i="52" s="1"/>
  <c r="L67" i="52" s="1"/>
  <c r="I95" i="33"/>
  <c r="I68" i="52" s="1"/>
  <c r="K95" i="33"/>
  <c r="K68" i="52" s="1"/>
  <c r="I69" i="52"/>
  <c r="K96" i="33"/>
  <c r="K69" i="52" s="1"/>
  <c r="F98" i="33"/>
  <c r="G98" i="33"/>
  <c r="H98" i="33"/>
  <c r="J98" i="33"/>
  <c r="I102" i="33"/>
  <c r="K102" i="33" s="1"/>
  <c r="I103" i="33"/>
  <c r="K103" i="33" s="1"/>
  <c r="I104" i="33"/>
  <c r="K104" i="33" s="1"/>
  <c r="I105" i="33"/>
  <c r="K105" i="33" s="1"/>
  <c r="I106" i="33"/>
  <c r="K106" i="33" s="1"/>
  <c r="F108" i="33"/>
  <c r="F147" i="33" s="1"/>
  <c r="G108" i="33"/>
  <c r="G147" i="33" s="1"/>
  <c r="H108" i="33"/>
  <c r="H147" i="33" s="1"/>
  <c r="J108" i="33"/>
  <c r="J147" i="33" s="1"/>
  <c r="F119" i="33"/>
  <c r="K131" i="33"/>
  <c r="K132" i="33"/>
  <c r="K137" i="33" s="1"/>
  <c r="K149" i="33" s="1"/>
  <c r="K133" i="33"/>
  <c r="K134" i="33"/>
  <c r="K135" i="33"/>
  <c r="F137" i="33"/>
  <c r="F149" i="33" s="1"/>
  <c r="G137" i="33"/>
  <c r="H137" i="33"/>
  <c r="H149" i="33" s="1"/>
  <c r="I137" i="33"/>
  <c r="I149" i="33" s="1"/>
  <c r="J137" i="33"/>
  <c r="J149" i="33" s="1"/>
  <c r="G141" i="33"/>
  <c r="H141" i="33"/>
  <c r="J141" i="33"/>
  <c r="G142" i="33"/>
  <c r="H142" i="33"/>
  <c r="I142" i="33"/>
  <c r="F143" i="33"/>
  <c r="J143" i="33"/>
  <c r="G144" i="33"/>
  <c r="I144" i="33"/>
  <c r="F145" i="33"/>
  <c r="H145" i="33"/>
  <c r="J145" i="33"/>
  <c r="J146" i="33"/>
  <c r="K148" i="33"/>
  <c r="G149" i="33"/>
  <c r="H150" i="33"/>
  <c r="I150" i="33"/>
  <c r="J150" i="33"/>
  <c r="K150" i="33"/>
  <c r="K18" i="32"/>
  <c r="F21" i="32"/>
  <c r="G21" i="32"/>
  <c r="H21" i="32"/>
  <c r="H36" i="32" s="1"/>
  <c r="H141" i="32" s="1"/>
  <c r="J21" i="32"/>
  <c r="F22" i="32"/>
  <c r="G22" i="32"/>
  <c r="H22" i="32"/>
  <c r="J22" i="32"/>
  <c r="F23" i="32"/>
  <c r="G23" i="32"/>
  <c r="H23" i="32"/>
  <c r="J23" i="32"/>
  <c r="F24" i="32"/>
  <c r="G24" i="32"/>
  <c r="H24" i="32"/>
  <c r="J24" i="32"/>
  <c r="F25" i="32"/>
  <c r="G25" i="32"/>
  <c r="H25" i="32"/>
  <c r="J25" i="32"/>
  <c r="F26" i="32"/>
  <c r="G26" i="32"/>
  <c r="H26" i="32"/>
  <c r="J26" i="32"/>
  <c r="F27" i="32"/>
  <c r="G27" i="32"/>
  <c r="H27" i="32"/>
  <c r="J27" i="32"/>
  <c r="F28" i="32"/>
  <c r="G28" i="32"/>
  <c r="H28" i="32"/>
  <c r="J28" i="32"/>
  <c r="F29" i="32"/>
  <c r="G29" i="32"/>
  <c r="H29" i="32"/>
  <c r="K29" i="32" s="1"/>
  <c r="I29" i="32"/>
  <c r="J29" i="32"/>
  <c r="J36" i="32" s="1"/>
  <c r="J141" i="32" s="1"/>
  <c r="F36" i="32"/>
  <c r="F141" i="32" s="1"/>
  <c r="G36" i="32"/>
  <c r="F40" i="32"/>
  <c r="F49" i="32" s="1"/>
  <c r="F142" i="32" s="1"/>
  <c r="G40" i="32"/>
  <c r="H40" i="32"/>
  <c r="H49" i="32" s="1"/>
  <c r="H142" i="32" s="1"/>
  <c r="J40" i="32"/>
  <c r="F41" i="32"/>
  <c r="G41" i="32"/>
  <c r="H41" i="32"/>
  <c r="J41" i="32"/>
  <c r="K41" i="32"/>
  <c r="F42" i="32"/>
  <c r="G42" i="32"/>
  <c r="H42" i="32"/>
  <c r="J42" i="32"/>
  <c r="K42" i="32" s="1"/>
  <c r="F43" i="32"/>
  <c r="G43" i="32"/>
  <c r="H43" i="32"/>
  <c r="J43" i="32"/>
  <c r="K43" i="32" s="1"/>
  <c r="F44" i="32"/>
  <c r="G44" i="32"/>
  <c r="H44" i="32"/>
  <c r="J44" i="32"/>
  <c r="K45" i="32"/>
  <c r="K46" i="32"/>
  <c r="K47" i="32"/>
  <c r="G49" i="32"/>
  <c r="I49" i="32"/>
  <c r="F53" i="32"/>
  <c r="G53" i="32"/>
  <c r="H53" i="32"/>
  <c r="J53" i="32"/>
  <c r="F54" i="32"/>
  <c r="G54" i="32"/>
  <c r="H54" i="32"/>
  <c r="K54" i="32" s="1"/>
  <c r="J54" i="32"/>
  <c r="F55" i="32"/>
  <c r="G55" i="32"/>
  <c r="G64" i="32" s="1"/>
  <c r="G143" i="32" s="1"/>
  <c r="H55" i="32"/>
  <c r="J55" i="32"/>
  <c r="K55" i="32" s="1"/>
  <c r="G56" i="32"/>
  <c r="H56" i="32"/>
  <c r="K56" i="32" s="1"/>
  <c r="J56" i="32"/>
  <c r="F57" i="32"/>
  <c r="G57" i="32"/>
  <c r="H57" i="32"/>
  <c r="J57" i="32"/>
  <c r="F58" i="32"/>
  <c r="G58" i="32"/>
  <c r="H58" i="32"/>
  <c r="J58" i="32"/>
  <c r="K58" i="32"/>
  <c r="F59" i="32"/>
  <c r="G59" i="32"/>
  <c r="H59" i="32"/>
  <c r="J59" i="32"/>
  <c r="K59" i="32" s="1"/>
  <c r="F60" i="32"/>
  <c r="G60" i="32"/>
  <c r="H60" i="32"/>
  <c r="J60" i="32"/>
  <c r="K60" i="32" s="1"/>
  <c r="F61" i="32"/>
  <c r="G61" i="32"/>
  <c r="H61" i="32"/>
  <c r="J61" i="32"/>
  <c r="F62" i="32"/>
  <c r="G62" i="32"/>
  <c r="H62" i="32"/>
  <c r="K62" i="32" s="1"/>
  <c r="J62" i="32"/>
  <c r="H64" i="32"/>
  <c r="H143" i="32" s="1"/>
  <c r="I64" i="32"/>
  <c r="F68" i="32"/>
  <c r="G68" i="32"/>
  <c r="H68" i="32"/>
  <c r="J68" i="32"/>
  <c r="K68" i="32" s="1"/>
  <c r="F69" i="32"/>
  <c r="G69" i="32"/>
  <c r="H69" i="32"/>
  <c r="K69" i="32" s="1"/>
  <c r="J69" i="32"/>
  <c r="K70" i="32"/>
  <c r="K71" i="32"/>
  <c r="K72" i="32"/>
  <c r="F74" i="32"/>
  <c r="G74" i="32"/>
  <c r="G144" i="32" s="1"/>
  <c r="H74" i="32"/>
  <c r="I74" i="32"/>
  <c r="I144" i="32" s="1"/>
  <c r="F77" i="32"/>
  <c r="G77" i="32"/>
  <c r="H77" i="32"/>
  <c r="J77" i="32"/>
  <c r="K77" i="32"/>
  <c r="F78" i="32"/>
  <c r="G78" i="32"/>
  <c r="G82" i="32" s="1"/>
  <c r="G145" i="32" s="1"/>
  <c r="H78" i="32"/>
  <c r="J78" i="32"/>
  <c r="K78" i="32" s="1"/>
  <c r="F79" i="32"/>
  <c r="G79" i="32"/>
  <c r="H79" i="32"/>
  <c r="J79" i="32"/>
  <c r="K79" i="32" s="1"/>
  <c r="F80" i="32"/>
  <c r="G80" i="32"/>
  <c r="H80" i="32"/>
  <c r="H82" i="32" s="1"/>
  <c r="H145" i="32" s="1"/>
  <c r="I80" i="32"/>
  <c r="I82" i="32" s="1"/>
  <c r="I145" i="32" s="1"/>
  <c r="J80" i="32"/>
  <c r="F82" i="32"/>
  <c r="F145" i="32" s="1"/>
  <c r="J82" i="32"/>
  <c r="J145" i="32" s="1"/>
  <c r="F86" i="32"/>
  <c r="G86" i="32"/>
  <c r="H86" i="32"/>
  <c r="J86" i="32"/>
  <c r="F87" i="32"/>
  <c r="G87" i="32"/>
  <c r="H87" i="32"/>
  <c r="J87" i="32"/>
  <c r="F88" i="32"/>
  <c r="G88" i="32"/>
  <c r="H88" i="32"/>
  <c r="J88" i="32"/>
  <c r="F89" i="32"/>
  <c r="G89" i="32"/>
  <c r="H89" i="32"/>
  <c r="J89" i="32"/>
  <c r="F90" i="32"/>
  <c r="G90" i="32"/>
  <c r="H90" i="32"/>
  <c r="J90" i="32"/>
  <c r="F91" i="32"/>
  <c r="G91" i="32"/>
  <c r="H91" i="32"/>
  <c r="J91" i="32"/>
  <c r="F92" i="32"/>
  <c r="G92" i="32"/>
  <c r="H92" i="32"/>
  <c r="J92" i="32"/>
  <c r="K92" i="32" s="1"/>
  <c r="F93" i="32"/>
  <c r="G93" i="32"/>
  <c r="H93" i="32"/>
  <c r="J93" i="32"/>
  <c r="F94" i="32"/>
  <c r="G94" i="32"/>
  <c r="H94" i="32"/>
  <c r="J94" i="32"/>
  <c r="F98" i="32"/>
  <c r="G98" i="32"/>
  <c r="G146" i="32" s="1"/>
  <c r="H98" i="32"/>
  <c r="J98" i="32"/>
  <c r="J146" i="32" s="1"/>
  <c r="F102" i="32"/>
  <c r="G102" i="32"/>
  <c r="G108" i="32" s="1"/>
  <c r="G147" i="32" s="1"/>
  <c r="H102" i="32"/>
  <c r="J102" i="32"/>
  <c r="J108" i="32" s="1"/>
  <c r="J147" i="32" s="1"/>
  <c r="F103" i="32"/>
  <c r="G103" i="32"/>
  <c r="H103" i="32"/>
  <c r="J103" i="32"/>
  <c r="F104" i="32"/>
  <c r="G104" i="32"/>
  <c r="H104" i="32"/>
  <c r="J104" i="32"/>
  <c r="F108" i="32"/>
  <c r="H108" i="32"/>
  <c r="H147" i="32" s="1"/>
  <c r="F111" i="32"/>
  <c r="F114" i="32"/>
  <c r="I30" i="32" s="1"/>
  <c r="K30" i="32" s="1"/>
  <c r="F117" i="32"/>
  <c r="F119" i="32" s="1"/>
  <c r="F118" i="32"/>
  <c r="F121" i="32"/>
  <c r="F123" i="32"/>
  <c r="F125" i="32"/>
  <c r="F127" i="32"/>
  <c r="K131" i="32"/>
  <c r="K132" i="32"/>
  <c r="K137" i="32" s="1"/>
  <c r="K149" i="32" s="1"/>
  <c r="K133" i="32"/>
  <c r="K134" i="32"/>
  <c r="K135" i="32"/>
  <c r="F137" i="32"/>
  <c r="F149" i="32" s="1"/>
  <c r="G137" i="32"/>
  <c r="H137" i="32"/>
  <c r="H149" i="32" s="1"/>
  <c r="I137" i="32"/>
  <c r="J137" i="32"/>
  <c r="J149" i="32" s="1"/>
  <c r="G141" i="32"/>
  <c r="G142" i="32"/>
  <c r="I142" i="32"/>
  <c r="I143" i="32"/>
  <c r="F144" i="32"/>
  <c r="H144" i="32"/>
  <c r="F146" i="32"/>
  <c r="H146" i="32"/>
  <c r="F147" i="32"/>
  <c r="K148" i="32"/>
  <c r="G149" i="32"/>
  <c r="I149" i="32"/>
  <c r="H150" i="32"/>
  <c r="I150" i="32"/>
  <c r="J150" i="32"/>
  <c r="K150" i="32"/>
  <c r="L68" i="52" l="1"/>
  <c r="H146" i="33"/>
  <c r="K18" i="52"/>
  <c r="I36" i="33"/>
  <c r="I141" i="33" s="1"/>
  <c r="I145" i="33"/>
  <c r="J144" i="33"/>
  <c r="F144" i="33"/>
  <c r="J142" i="33"/>
  <c r="J152" i="33" s="1"/>
  <c r="K28" i="33"/>
  <c r="K16" i="52" s="1"/>
  <c r="I16" i="52"/>
  <c r="K24" i="33"/>
  <c r="I12" i="52"/>
  <c r="K49" i="33"/>
  <c r="K142" i="33" s="1"/>
  <c r="K27" i="33"/>
  <c r="K15" i="52" s="1"/>
  <c r="I15" i="52"/>
  <c r="G145" i="33"/>
  <c r="H144" i="33"/>
  <c r="K82" i="33"/>
  <c r="K48" i="52"/>
  <c r="K42" i="52"/>
  <c r="K34" i="33"/>
  <c r="I18" i="52"/>
  <c r="K26" i="33"/>
  <c r="K14" i="52" s="1"/>
  <c r="I14" i="52"/>
  <c r="K87" i="33"/>
  <c r="K60" i="52" s="1"/>
  <c r="I60" i="52"/>
  <c r="F146" i="33"/>
  <c r="G146" i="33"/>
  <c r="G152" i="33" s="1"/>
  <c r="K92" i="33"/>
  <c r="K65" i="52" s="1"/>
  <c r="I65" i="52"/>
  <c r="K88" i="33"/>
  <c r="K61" i="52" s="1"/>
  <c r="I61" i="52"/>
  <c r="K90" i="33"/>
  <c r="K63" i="52" s="1"/>
  <c r="I63" i="52"/>
  <c r="K86" i="33"/>
  <c r="K59" i="52" s="1"/>
  <c r="I59" i="52"/>
  <c r="K91" i="33"/>
  <c r="K64" i="52" s="1"/>
  <c r="I64" i="52"/>
  <c r="L69" i="52"/>
  <c r="K93" i="33"/>
  <c r="K66" i="52" s="1"/>
  <c r="I66" i="52"/>
  <c r="K89" i="33"/>
  <c r="K62" i="52" s="1"/>
  <c r="I62" i="52"/>
  <c r="H152" i="40"/>
  <c r="K64" i="40"/>
  <c r="K143" i="40" s="1"/>
  <c r="G152" i="40"/>
  <c r="J152" i="45"/>
  <c r="G152" i="34"/>
  <c r="G152" i="32"/>
  <c r="H152" i="32"/>
  <c r="H152" i="33"/>
  <c r="J152" i="34"/>
  <c r="F152" i="34"/>
  <c r="F152" i="33"/>
  <c r="K108" i="33"/>
  <c r="K147" i="33" s="1"/>
  <c r="H152" i="34"/>
  <c r="I152" i="42"/>
  <c r="I104" i="32"/>
  <c r="I103" i="32"/>
  <c r="K103" i="32" s="1"/>
  <c r="I102" i="32"/>
  <c r="I94" i="32"/>
  <c r="K94" i="32" s="1"/>
  <c r="I93" i="32"/>
  <c r="K80" i="32"/>
  <c r="K82" i="32" s="1"/>
  <c r="K145" i="32" s="1"/>
  <c r="J74" i="32"/>
  <c r="J144" i="32" s="1"/>
  <c r="K57" i="32"/>
  <c r="K40" i="32"/>
  <c r="K53" i="33"/>
  <c r="K64" i="33" s="1"/>
  <c r="K143" i="33" s="1"/>
  <c r="K21" i="33"/>
  <c r="I98" i="34"/>
  <c r="I146" i="34" s="1"/>
  <c r="K74" i="34"/>
  <c r="K144" i="34" s="1"/>
  <c r="I36" i="47"/>
  <c r="I141" i="47" s="1"/>
  <c r="I152" i="47" s="1"/>
  <c r="K152" i="43"/>
  <c r="K82" i="41"/>
  <c r="K145" i="41" s="1"/>
  <c r="H152" i="45"/>
  <c r="I152" i="44"/>
  <c r="H152" i="41"/>
  <c r="K74" i="32"/>
  <c r="K144" i="32" s="1"/>
  <c r="J64" i="32"/>
  <c r="J143" i="32" s="1"/>
  <c r="F64" i="32"/>
  <c r="F143" i="32" s="1"/>
  <c r="F152" i="32" s="1"/>
  <c r="I98" i="33"/>
  <c r="I108" i="34"/>
  <c r="I147" i="34" s="1"/>
  <c r="K82" i="34"/>
  <c r="K145" i="34" s="1"/>
  <c r="I36" i="34"/>
  <c r="I141" i="34" s="1"/>
  <c r="K36" i="34"/>
  <c r="K141" i="34" s="1"/>
  <c r="K152" i="34" s="1"/>
  <c r="I152" i="50"/>
  <c r="I106" i="32"/>
  <c r="K106" i="32" s="1"/>
  <c r="K61" i="32"/>
  <c r="K53" i="32"/>
  <c r="K64" i="32" s="1"/>
  <c r="K143" i="32" s="1"/>
  <c r="J49" i="32"/>
  <c r="J142" i="32" s="1"/>
  <c r="J152" i="32" s="1"/>
  <c r="K44" i="32"/>
  <c r="K49" i="32" s="1"/>
  <c r="K142" i="32" s="1"/>
  <c r="I108" i="33"/>
  <c r="I147" i="33" s="1"/>
  <c r="K74" i="33"/>
  <c r="K152" i="37"/>
  <c r="F155" i="37" s="1"/>
  <c r="K108" i="41"/>
  <c r="K147" i="41" s="1"/>
  <c r="F152" i="45"/>
  <c r="K49" i="45"/>
  <c r="K142" i="45" s="1"/>
  <c r="F152" i="40"/>
  <c r="K74" i="41"/>
  <c r="K144" i="41" s="1"/>
  <c r="F154" i="50"/>
  <c r="F155" i="50"/>
  <c r="I152" i="49"/>
  <c r="K152" i="49"/>
  <c r="F155" i="48"/>
  <c r="F154" i="48"/>
  <c r="F154" i="47"/>
  <c r="F155" i="47"/>
  <c r="K102" i="46"/>
  <c r="K108" i="46" s="1"/>
  <c r="K147" i="46" s="1"/>
  <c r="I108" i="46"/>
  <c r="I147" i="46" s="1"/>
  <c r="K98" i="46"/>
  <c r="K146" i="46" s="1"/>
  <c r="K36" i="46"/>
  <c r="K141" i="46" s="1"/>
  <c r="K152" i="46" s="1"/>
  <c r="I36" i="46"/>
  <c r="I141" i="46" s="1"/>
  <c r="I98" i="46"/>
  <c r="I146" i="46" s="1"/>
  <c r="K98" i="45"/>
  <c r="K146" i="45" s="1"/>
  <c r="K102" i="45"/>
  <c r="K108" i="45" s="1"/>
  <c r="K147" i="45" s="1"/>
  <c r="I108" i="45"/>
  <c r="I147" i="45" s="1"/>
  <c r="K36" i="45"/>
  <c r="K141" i="45" s="1"/>
  <c r="I36" i="45"/>
  <c r="I141" i="45" s="1"/>
  <c r="I98" i="45"/>
  <c r="I146" i="45" s="1"/>
  <c r="K152" i="44"/>
  <c r="F154" i="42"/>
  <c r="F155" i="42"/>
  <c r="K21" i="41"/>
  <c r="K36" i="41" s="1"/>
  <c r="K141" i="41" s="1"/>
  <c r="I36" i="41"/>
  <c r="I141" i="41" s="1"/>
  <c r="K98" i="41"/>
  <c r="K146" i="41" s="1"/>
  <c r="I98" i="41"/>
  <c r="I146" i="41" s="1"/>
  <c r="K102" i="40"/>
  <c r="K108" i="40" s="1"/>
  <c r="K147" i="40" s="1"/>
  <c r="I108" i="40"/>
  <c r="I147" i="40" s="1"/>
  <c r="K36" i="40"/>
  <c r="K141" i="40" s="1"/>
  <c r="K86" i="40"/>
  <c r="K98" i="40" s="1"/>
  <c r="K146" i="40" s="1"/>
  <c r="I98" i="40"/>
  <c r="I146" i="40" s="1"/>
  <c r="I36" i="40"/>
  <c r="I141" i="40" s="1"/>
  <c r="K53" i="39"/>
  <c r="K64" i="39" s="1"/>
  <c r="K143" i="39" s="1"/>
  <c r="I64" i="39"/>
  <c r="I143" i="39" s="1"/>
  <c r="K86" i="39"/>
  <c r="K98" i="39" s="1"/>
  <c r="K146" i="39" s="1"/>
  <c r="I98" i="39"/>
  <c r="I146" i="39" s="1"/>
  <c r="I36" i="39"/>
  <c r="I141" i="39" s="1"/>
  <c r="K40" i="39"/>
  <c r="K49" i="39" s="1"/>
  <c r="K142" i="39" s="1"/>
  <c r="I49" i="39"/>
  <c r="I142" i="39" s="1"/>
  <c r="K70" i="39"/>
  <c r="K74" i="39" s="1"/>
  <c r="K144" i="39" s="1"/>
  <c r="I74" i="39"/>
  <c r="I144" i="39" s="1"/>
  <c r="K102" i="39"/>
  <c r="K108" i="39" s="1"/>
  <c r="K147" i="39" s="1"/>
  <c r="I108" i="39"/>
  <c r="I147" i="39" s="1"/>
  <c r="K36" i="39"/>
  <c r="K141" i="39" s="1"/>
  <c r="F155" i="38"/>
  <c r="F154" i="38"/>
  <c r="I152" i="37"/>
  <c r="F154" i="37"/>
  <c r="K102" i="36"/>
  <c r="K108" i="36" s="1"/>
  <c r="K147" i="36" s="1"/>
  <c r="I108" i="36"/>
  <c r="I147" i="36" s="1"/>
  <c r="K36" i="36"/>
  <c r="K141" i="36" s="1"/>
  <c r="K53" i="36"/>
  <c r="K64" i="36" s="1"/>
  <c r="K143" i="36" s="1"/>
  <c r="I64" i="36"/>
  <c r="I143" i="36" s="1"/>
  <c r="K86" i="36"/>
  <c r="K98" i="36" s="1"/>
  <c r="K146" i="36" s="1"/>
  <c r="I98" i="36"/>
  <c r="I146" i="36" s="1"/>
  <c r="I36" i="36"/>
  <c r="I141" i="36" s="1"/>
  <c r="I152" i="35"/>
  <c r="K152" i="35"/>
  <c r="K108" i="34"/>
  <c r="K147" i="34" s="1"/>
  <c r="K98" i="34"/>
  <c r="K146" i="34" s="1"/>
  <c r="I105" i="32"/>
  <c r="K105" i="32" s="1"/>
  <c r="I96" i="32"/>
  <c r="K96" i="32" s="1"/>
  <c r="I95" i="32"/>
  <c r="K95" i="32" s="1"/>
  <c r="I91" i="32"/>
  <c r="K91" i="32" s="1"/>
  <c r="I90" i="32"/>
  <c r="K90" i="32" s="1"/>
  <c r="I89" i="32"/>
  <c r="K89" i="32" s="1"/>
  <c r="I88" i="32"/>
  <c r="K88" i="32" s="1"/>
  <c r="I87" i="32"/>
  <c r="K87" i="32" s="1"/>
  <c r="I86" i="32"/>
  <c r="I28" i="32"/>
  <c r="K28" i="32" s="1"/>
  <c r="I27" i="32"/>
  <c r="K27" i="32" s="1"/>
  <c r="I26" i="32"/>
  <c r="K26" i="32" s="1"/>
  <c r="I25" i="32"/>
  <c r="K25" i="32" s="1"/>
  <c r="I24" i="32"/>
  <c r="K24" i="32" s="1"/>
  <c r="I23" i="32"/>
  <c r="K23" i="32" s="1"/>
  <c r="I22" i="32"/>
  <c r="K22" i="32" s="1"/>
  <c r="I21" i="32"/>
  <c r="K104" i="32"/>
  <c r="K102" i="32"/>
  <c r="K93" i="32"/>
  <c r="I34" i="32"/>
  <c r="K34" i="32" s="1"/>
  <c r="I33" i="32"/>
  <c r="K33" i="32" s="1"/>
  <c r="I32" i="32"/>
  <c r="K32" i="32" s="1"/>
  <c r="I31" i="32"/>
  <c r="K31" i="32" s="1"/>
  <c r="K18" i="31"/>
  <c r="I21" i="31"/>
  <c r="I22" i="31"/>
  <c r="K22" i="31" s="1"/>
  <c r="I23" i="31"/>
  <c r="K23" i="31" s="1"/>
  <c r="I24" i="31"/>
  <c r="K24" i="31" s="1"/>
  <c r="I25" i="31"/>
  <c r="K25" i="31" s="1"/>
  <c r="I26" i="31"/>
  <c r="K26" i="31" s="1"/>
  <c r="I27" i="31"/>
  <c r="K27" i="31" s="1"/>
  <c r="I28" i="31"/>
  <c r="K28" i="31" s="1"/>
  <c r="I29" i="31"/>
  <c r="K29" i="31" s="1"/>
  <c r="I30" i="31"/>
  <c r="K30" i="31" s="1"/>
  <c r="I31" i="31"/>
  <c r="K31" i="31" s="1"/>
  <c r="I32" i="31"/>
  <c r="K32" i="31" s="1"/>
  <c r="I33" i="31"/>
  <c r="K33" i="31" s="1"/>
  <c r="I34" i="31"/>
  <c r="K34" i="31" s="1"/>
  <c r="F36" i="31"/>
  <c r="F141" i="31" s="1"/>
  <c r="G36" i="31"/>
  <c r="H36" i="31"/>
  <c r="H141" i="31" s="1"/>
  <c r="J36" i="31"/>
  <c r="J141" i="31" s="1"/>
  <c r="I40" i="31"/>
  <c r="K40" i="31" s="1"/>
  <c r="I41" i="31"/>
  <c r="K41" i="31" s="1"/>
  <c r="I42" i="31"/>
  <c r="K42" i="31" s="1"/>
  <c r="K43" i="31"/>
  <c r="I44" i="31"/>
  <c r="K44" i="31" s="1"/>
  <c r="I45" i="31"/>
  <c r="K45" i="31" s="1"/>
  <c r="K46" i="31"/>
  <c r="K47" i="31"/>
  <c r="F49" i="31"/>
  <c r="G49" i="31"/>
  <c r="H49" i="31"/>
  <c r="J49" i="31"/>
  <c r="I53" i="31"/>
  <c r="I54" i="31"/>
  <c r="K54" i="31" s="1"/>
  <c r="I55" i="31"/>
  <c r="K55" i="31" s="1"/>
  <c r="I56" i="31"/>
  <c r="K56" i="31" s="1"/>
  <c r="I57" i="31"/>
  <c r="K57" i="31" s="1"/>
  <c r="I58" i="31"/>
  <c r="K58" i="31" s="1"/>
  <c r="I59" i="31"/>
  <c r="K59" i="31" s="1"/>
  <c r="K60" i="31"/>
  <c r="K61" i="31"/>
  <c r="K62" i="31"/>
  <c r="F64" i="31"/>
  <c r="G64" i="31"/>
  <c r="G143" i="31" s="1"/>
  <c r="H64" i="31"/>
  <c r="J64" i="31"/>
  <c r="K68" i="31"/>
  <c r="K69" i="31"/>
  <c r="K70" i="31"/>
  <c r="K71" i="31"/>
  <c r="K72" i="31"/>
  <c r="F74" i="31"/>
  <c r="F144" i="31" s="1"/>
  <c r="G74" i="31"/>
  <c r="H74" i="31"/>
  <c r="H144" i="31" s="1"/>
  <c r="I74" i="31"/>
  <c r="J74" i="31"/>
  <c r="J144" i="31" s="1"/>
  <c r="I77" i="31"/>
  <c r="K77" i="31" s="1"/>
  <c r="K78" i="31"/>
  <c r="I79" i="31"/>
  <c r="I82" i="31" s="1"/>
  <c r="I145" i="31" s="1"/>
  <c r="K79" i="31"/>
  <c r="K80" i="31"/>
  <c r="F82" i="31"/>
  <c r="F145" i="31" s="1"/>
  <c r="G82" i="31"/>
  <c r="H82" i="31"/>
  <c r="H145" i="31" s="1"/>
  <c r="J82" i="31"/>
  <c r="I86" i="31"/>
  <c r="K86" i="31" s="1"/>
  <c r="I87" i="31"/>
  <c r="K87" i="31" s="1"/>
  <c r="I88" i="31"/>
  <c r="K88" i="31" s="1"/>
  <c r="I89" i="31"/>
  <c r="K89" i="31" s="1"/>
  <c r="I90" i="31"/>
  <c r="K90" i="31" s="1"/>
  <c r="I91" i="31"/>
  <c r="K91" i="31" s="1"/>
  <c r="I92" i="31"/>
  <c r="K92" i="31" s="1"/>
  <c r="I93" i="31"/>
  <c r="K93" i="31" s="1"/>
  <c r="I94" i="31"/>
  <c r="K94" i="31" s="1"/>
  <c r="I95" i="31"/>
  <c r="K95" i="31" s="1"/>
  <c r="I96" i="31"/>
  <c r="K96" i="31" s="1"/>
  <c r="F98" i="31"/>
  <c r="F146" i="31" s="1"/>
  <c r="G98" i="31"/>
  <c r="H98" i="31"/>
  <c r="H146" i="31" s="1"/>
  <c r="J98" i="31"/>
  <c r="J146" i="31" s="1"/>
  <c r="I102" i="31"/>
  <c r="K102" i="31" s="1"/>
  <c r="I103" i="31"/>
  <c r="I104" i="31"/>
  <c r="K104" i="31" s="1"/>
  <c r="I105" i="31"/>
  <c r="K105" i="31" s="1"/>
  <c r="I106" i="31"/>
  <c r="K106" i="31" s="1"/>
  <c r="F108" i="31"/>
  <c r="F147" i="31" s="1"/>
  <c r="G108" i="31"/>
  <c r="H108" i="31"/>
  <c r="H147" i="31" s="1"/>
  <c r="J108" i="31"/>
  <c r="F119" i="31"/>
  <c r="K131" i="31"/>
  <c r="K137" i="31" s="1"/>
  <c r="K149" i="31" s="1"/>
  <c r="K132" i="31"/>
  <c r="K133" i="31"/>
  <c r="K134" i="31"/>
  <c r="K135" i="31"/>
  <c r="F137" i="31"/>
  <c r="G137" i="31"/>
  <c r="G149" i="31" s="1"/>
  <c r="H137" i="31"/>
  <c r="I137" i="31"/>
  <c r="I149" i="31" s="1"/>
  <c r="J137" i="31"/>
  <c r="G141" i="31"/>
  <c r="F142" i="31"/>
  <c r="G142" i="31"/>
  <c r="H142" i="31"/>
  <c r="J142" i="31"/>
  <c r="F143" i="31"/>
  <c r="H143" i="31"/>
  <c r="J143" i="31"/>
  <c r="J152" i="31" s="1"/>
  <c r="G144" i="31"/>
  <c r="I144" i="31"/>
  <c r="G145" i="31"/>
  <c r="J145" i="31"/>
  <c r="G146" i="31"/>
  <c r="G147" i="31"/>
  <c r="J147" i="31"/>
  <c r="K148" i="31"/>
  <c r="F149" i="31"/>
  <c r="H149" i="31"/>
  <c r="J149" i="31"/>
  <c r="H150" i="31"/>
  <c r="I150" i="31"/>
  <c r="J150" i="31"/>
  <c r="K150" i="31"/>
  <c r="K18" i="30"/>
  <c r="I21" i="30"/>
  <c r="K21" i="30" s="1"/>
  <c r="I22" i="30"/>
  <c r="K22" i="30" s="1"/>
  <c r="I23" i="30"/>
  <c r="K23" i="30" s="1"/>
  <c r="I24" i="30"/>
  <c r="K24" i="30" s="1"/>
  <c r="F25" i="30"/>
  <c r="F36" i="30" s="1"/>
  <c r="F141" i="30" s="1"/>
  <c r="G25" i="30"/>
  <c r="H25" i="30"/>
  <c r="I26" i="30"/>
  <c r="K26" i="30" s="1"/>
  <c r="I27" i="30"/>
  <c r="K27" i="30" s="1"/>
  <c r="I28" i="30"/>
  <c r="K28" i="30" s="1"/>
  <c r="I29" i="30"/>
  <c r="K29" i="30" s="1"/>
  <c r="I30" i="30"/>
  <c r="K30" i="30" s="1"/>
  <c r="I31" i="30"/>
  <c r="K31" i="30" s="1"/>
  <c r="I32" i="30"/>
  <c r="K32" i="30" s="1"/>
  <c r="I33" i="30"/>
  <c r="K33" i="30" s="1"/>
  <c r="I34" i="30"/>
  <c r="K34" i="30" s="1"/>
  <c r="G36" i="30"/>
  <c r="J36" i="30"/>
  <c r="I40" i="30"/>
  <c r="K40" i="30" s="1"/>
  <c r="F41" i="30"/>
  <c r="H42" i="30"/>
  <c r="I42" i="30" s="1"/>
  <c r="K42" i="30" s="1"/>
  <c r="I43" i="30"/>
  <c r="K43" i="30" s="1"/>
  <c r="H44" i="30"/>
  <c r="I44" i="30" s="1"/>
  <c r="K44" i="30" s="1"/>
  <c r="H45" i="30"/>
  <c r="I45" i="30" s="1"/>
  <c r="K45" i="30"/>
  <c r="H46" i="30"/>
  <c r="I46" i="30"/>
  <c r="K46" i="30" s="1"/>
  <c r="J46" i="30"/>
  <c r="H47" i="30"/>
  <c r="I47" i="30"/>
  <c r="K47" i="30" s="1"/>
  <c r="G49" i="30"/>
  <c r="G142" i="30" s="1"/>
  <c r="J49" i="30"/>
  <c r="J142" i="30" s="1"/>
  <c r="H53" i="30"/>
  <c r="I53" i="30" s="1"/>
  <c r="I54" i="30"/>
  <c r="K54" i="30" s="1"/>
  <c r="I55" i="30"/>
  <c r="K55" i="30" s="1"/>
  <c r="I56" i="30"/>
  <c r="K56" i="30" s="1"/>
  <c r="I57" i="30"/>
  <c r="K57" i="30" s="1"/>
  <c r="I58" i="30"/>
  <c r="K58" i="30" s="1"/>
  <c r="I59" i="30"/>
  <c r="K59" i="30" s="1"/>
  <c r="I60" i="30"/>
  <c r="K60" i="30" s="1"/>
  <c r="I61" i="30"/>
  <c r="K61" i="30" s="1"/>
  <c r="I62" i="30"/>
  <c r="K62" i="30" s="1"/>
  <c r="F64" i="30"/>
  <c r="G64" i="30"/>
  <c r="H64" i="30"/>
  <c r="H143" i="30" s="1"/>
  <c r="J64" i="30"/>
  <c r="I68" i="30"/>
  <c r="I69" i="30"/>
  <c r="K69" i="30" s="1"/>
  <c r="I70" i="30"/>
  <c r="K70" i="30" s="1"/>
  <c r="I71" i="30"/>
  <c r="K71" i="30" s="1"/>
  <c r="I72" i="30"/>
  <c r="K72" i="30" s="1"/>
  <c r="F74" i="30"/>
  <c r="F144" i="30" s="1"/>
  <c r="G74" i="30"/>
  <c r="G144" i="30" s="1"/>
  <c r="H74" i="30"/>
  <c r="J74" i="30"/>
  <c r="I77" i="30"/>
  <c r="I78" i="30"/>
  <c r="K78" i="30" s="1"/>
  <c r="I79" i="30"/>
  <c r="K79" i="30" s="1"/>
  <c r="I80" i="30"/>
  <c r="K80" i="30" s="1"/>
  <c r="F82" i="30"/>
  <c r="G82" i="30"/>
  <c r="H82" i="30"/>
  <c r="J82" i="30"/>
  <c r="I86" i="30"/>
  <c r="I87" i="30"/>
  <c r="K87" i="30" s="1"/>
  <c r="I88" i="30"/>
  <c r="K88" i="30" s="1"/>
  <c r="I89" i="30"/>
  <c r="K89" i="30" s="1"/>
  <c r="I90" i="30"/>
  <c r="K90" i="30" s="1"/>
  <c r="I91" i="30"/>
  <c r="K91" i="30" s="1"/>
  <c r="I92" i="30"/>
  <c r="K92" i="30" s="1"/>
  <c r="I93" i="30"/>
  <c r="K93" i="30" s="1"/>
  <c r="I94" i="30"/>
  <c r="K94" i="30" s="1"/>
  <c r="I95" i="30"/>
  <c r="K95" i="30" s="1"/>
  <c r="I96" i="30"/>
  <c r="K96" i="30" s="1"/>
  <c r="F98" i="30"/>
  <c r="G98" i="30"/>
  <c r="H98" i="30"/>
  <c r="J98" i="30"/>
  <c r="J146" i="30" s="1"/>
  <c r="J152" i="30" s="1"/>
  <c r="I102" i="30"/>
  <c r="I103" i="30"/>
  <c r="K103" i="30" s="1"/>
  <c r="I104" i="30"/>
  <c r="K104" i="30" s="1"/>
  <c r="I105" i="30"/>
  <c r="K105" i="30" s="1"/>
  <c r="I106" i="30"/>
  <c r="K106" i="30" s="1"/>
  <c r="F108" i="30"/>
  <c r="G108" i="30"/>
  <c r="H108" i="30"/>
  <c r="J108" i="30"/>
  <c r="F119" i="30"/>
  <c r="F123" i="30" s="1"/>
  <c r="K131" i="30"/>
  <c r="K137" i="30" s="1"/>
  <c r="K149" i="30" s="1"/>
  <c r="K132" i="30"/>
  <c r="K133" i="30"/>
  <c r="K134" i="30"/>
  <c r="K135" i="30"/>
  <c r="F137" i="30"/>
  <c r="G137" i="30"/>
  <c r="H137" i="30"/>
  <c r="I137" i="30"/>
  <c r="J137" i="30"/>
  <c r="G141" i="30"/>
  <c r="G152" i="30" s="1"/>
  <c r="J141" i="30"/>
  <c r="F143" i="30"/>
  <c r="G143" i="30"/>
  <c r="J143" i="30"/>
  <c r="H144" i="30"/>
  <c r="J144" i="30"/>
  <c r="F145" i="30"/>
  <c r="G145" i="30"/>
  <c r="H145" i="30"/>
  <c r="J145" i="30"/>
  <c r="F146" i="30"/>
  <c r="G146" i="30"/>
  <c r="H146" i="30"/>
  <c r="F147" i="30"/>
  <c r="G147" i="30"/>
  <c r="H147" i="30"/>
  <c r="J147" i="30"/>
  <c r="K148" i="30"/>
  <c r="F149" i="30"/>
  <c r="G149" i="30"/>
  <c r="H149" i="30"/>
  <c r="I149" i="30"/>
  <c r="J149" i="30"/>
  <c r="H150" i="30"/>
  <c r="I150" i="30"/>
  <c r="J150" i="30"/>
  <c r="K150" i="30"/>
  <c r="K18" i="29"/>
  <c r="K21" i="29"/>
  <c r="K22" i="29"/>
  <c r="K23" i="29"/>
  <c r="K24" i="29"/>
  <c r="K25" i="29"/>
  <c r="K26" i="29"/>
  <c r="K27" i="29"/>
  <c r="K28" i="29"/>
  <c r="K29" i="29"/>
  <c r="K30" i="29"/>
  <c r="K31" i="29"/>
  <c r="K32" i="29"/>
  <c r="K33" i="29"/>
  <c r="K34" i="29"/>
  <c r="F36" i="29"/>
  <c r="F141" i="29" s="1"/>
  <c r="G36" i="29"/>
  <c r="G141" i="29" s="1"/>
  <c r="H36" i="29"/>
  <c r="I36" i="29"/>
  <c r="J36" i="29"/>
  <c r="K40" i="29"/>
  <c r="K41" i="29"/>
  <c r="K42" i="29"/>
  <c r="K43" i="29"/>
  <c r="K44" i="29"/>
  <c r="K45" i="29"/>
  <c r="K46" i="29"/>
  <c r="K47" i="29"/>
  <c r="F49" i="29"/>
  <c r="G49" i="29"/>
  <c r="H49" i="29"/>
  <c r="I49" i="29"/>
  <c r="I142" i="29" s="1"/>
  <c r="I152" i="29" s="1"/>
  <c r="J49" i="29"/>
  <c r="K53" i="29"/>
  <c r="K54" i="29"/>
  <c r="K55" i="29"/>
  <c r="K56" i="29"/>
  <c r="K57" i="29"/>
  <c r="K58" i="29"/>
  <c r="K59" i="29"/>
  <c r="K60" i="29"/>
  <c r="K61" i="29"/>
  <c r="K62" i="29"/>
  <c r="F64" i="29"/>
  <c r="F143" i="29" s="1"/>
  <c r="G64" i="29"/>
  <c r="H64" i="29"/>
  <c r="H143" i="29" s="1"/>
  <c r="I64" i="29"/>
  <c r="J64" i="29"/>
  <c r="J143" i="29" s="1"/>
  <c r="K68" i="29"/>
  <c r="K74" i="29" s="1"/>
  <c r="K144" i="29" s="1"/>
  <c r="K69" i="29"/>
  <c r="K70" i="29"/>
  <c r="K71" i="29"/>
  <c r="K72" i="29"/>
  <c r="F74" i="29"/>
  <c r="G74" i="29"/>
  <c r="G144" i="29" s="1"/>
  <c r="H74" i="29"/>
  <c r="I74" i="29"/>
  <c r="I144" i="29" s="1"/>
  <c r="J74" i="29"/>
  <c r="K77" i="29"/>
  <c r="K78" i="29"/>
  <c r="K79" i="29"/>
  <c r="K80" i="29"/>
  <c r="F82" i="29"/>
  <c r="G82" i="29"/>
  <c r="G145" i="29" s="1"/>
  <c r="H82" i="29"/>
  <c r="I82" i="29"/>
  <c r="I145" i="29" s="1"/>
  <c r="J82" i="29"/>
  <c r="K82" i="29"/>
  <c r="K145" i="29" s="1"/>
  <c r="K86" i="29"/>
  <c r="K87" i="29"/>
  <c r="K88" i="29"/>
  <c r="K89" i="29"/>
  <c r="K90" i="29"/>
  <c r="K91" i="29"/>
  <c r="K92" i="29"/>
  <c r="K93" i="29"/>
  <c r="K94" i="29"/>
  <c r="K95" i="29"/>
  <c r="K96" i="29"/>
  <c r="F98" i="29"/>
  <c r="G98" i="29"/>
  <c r="H98" i="29"/>
  <c r="I98" i="29"/>
  <c r="J98" i="29"/>
  <c r="K102" i="29"/>
  <c r="K108" i="29" s="1"/>
  <c r="K147" i="29" s="1"/>
  <c r="K103" i="29"/>
  <c r="K104" i="29"/>
  <c r="K105" i="29"/>
  <c r="K106" i="29"/>
  <c r="F108" i="29"/>
  <c r="G108" i="29"/>
  <c r="G147" i="29" s="1"/>
  <c r="H108" i="29"/>
  <c r="I108" i="29"/>
  <c r="I147" i="29" s="1"/>
  <c r="J108" i="29"/>
  <c r="F119" i="29"/>
  <c r="F123" i="29" s="1"/>
  <c r="F125" i="29"/>
  <c r="K131" i="29"/>
  <c r="K132" i="29"/>
  <c r="K133" i="29"/>
  <c r="K134" i="29"/>
  <c r="K135" i="29"/>
  <c r="F137" i="29"/>
  <c r="F149" i="29" s="1"/>
  <c r="G137" i="29"/>
  <c r="H137" i="29"/>
  <c r="H149" i="29" s="1"/>
  <c r="I137" i="29"/>
  <c r="J137" i="29"/>
  <c r="J149" i="29" s="1"/>
  <c r="H141" i="29"/>
  <c r="I141" i="29"/>
  <c r="J141" i="29"/>
  <c r="F142" i="29"/>
  <c r="G142" i="29"/>
  <c r="H142" i="29"/>
  <c r="J142" i="29"/>
  <c r="G143" i="29"/>
  <c r="I143" i="29"/>
  <c r="F144" i="29"/>
  <c r="H144" i="29"/>
  <c r="J144" i="29"/>
  <c r="F145" i="29"/>
  <c r="H145" i="29"/>
  <c r="J145" i="29"/>
  <c r="F146" i="29"/>
  <c r="G146" i="29"/>
  <c r="H146" i="29"/>
  <c r="I146" i="29"/>
  <c r="J146" i="29"/>
  <c r="F147" i="29"/>
  <c r="H147" i="29"/>
  <c r="J147" i="29"/>
  <c r="K148" i="29"/>
  <c r="G149" i="29"/>
  <c r="I149" i="29"/>
  <c r="H150" i="29"/>
  <c r="I150" i="29"/>
  <c r="J150" i="29"/>
  <c r="K150" i="29"/>
  <c r="G152" i="29"/>
  <c r="L66" i="52" l="1"/>
  <c r="L60" i="52"/>
  <c r="L61" i="52"/>
  <c r="L14" i="52"/>
  <c r="K144" i="33"/>
  <c r="K36" i="33"/>
  <c r="K141" i="33" s="1"/>
  <c r="L63" i="52"/>
  <c r="K145" i="33"/>
  <c r="L16" i="52"/>
  <c r="L48" i="52"/>
  <c r="K53" i="52"/>
  <c r="K106" i="52" s="1"/>
  <c r="L65" i="52"/>
  <c r="L15" i="52"/>
  <c r="K98" i="33"/>
  <c r="I146" i="33"/>
  <c r="I152" i="33" s="1"/>
  <c r="L64" i="52"/>
  <c r="L59" i="52"/>
  <c r="K71" i="52"/>
  <c r="K107" i="52" s="1"/>
  <c r="L62" i="52"/>
  <c r="I71" i="52"/>
  <c r="I107" i="52" s="1"/>
  <c r="F152" i="31"/>
  <c r="F152" i="29"/>
  <c r="H152" i="31"/>
  <c r="K64" i="29"/>
  <c r="K143" i="29" s="1"/>
  <c r="J152" i="29"/>
  <c r="K137" i="29"/>
  <c r="K149" i="29" s="1"/>
  <c r="K86" i="30"/>
  <c r="K98" i="30" s="1"/>
  <c r="K146" i="30" s="1"/>
  <c r="I98" i="30"/>
  <c r="I146" i="30" s="1"/>
  <c r="I82" i="30"/>
  <c r="I145" i="30" s="1"/>
  <c r="K77" i="30"/>
  <c r="K82" i="30" s="1"/>
  <c r="K145" i="30" s="1"/>
  <c r="G152" i="31"/>
  <c r="K103" i="31"/>
  <c r="I108" i="31"/>
  <c r="I147" i="31" s="1"/>
  <c r="K74" i="31"/>
  <c r="K144" i="31" s="1"/>
  <c r="K21" i="31"/>
  <c r="K36" i="31" s="1"/>
  <c r="K141" i="31" s="1"/>
  <c r="I36" i="31"/>
  <c r="I141" i="31" s="1"/>
  <c r="K98" i="29"/>
  <c r="K146" i="29" s="1"/>
  <c r="K102" i="30"/>
  <c r="K108" i="30" s="1"/>
  <c r="K147" i="30" s="1"/>
  <c r="I108" i="30"/>
  <c r="I147" i="30" s="1"/>
  <c r="K68" i="30"/>
  <c r="K74" i="30" s="1"/>
  <c r="K144" i="30" s="1"/>
  <c r="I74" i="30"/>
  <c r="I144" i="30" s="1"/>
  <c r="H41" i="30"/>
  <c r="F49" i="30"/>
  <c r="F142" i="30" s="1"/>
  <c r="F152" i="30"/>
  <c r="K53" i="31"/>
  <c r="K64" i="31" s="1"/>
  <c r="K143" i="31" s="1"/>
  <c r="I64" i="31"/>
  <c r="I143" i="31" s="1"/>
  <c r="H152" i="29"/>
  <c r="K36" i="29"/>
  <c r="K141" i="29" s="1"/>
  <c r="K152" i="29" s="1"/>
  <c r="F154" i="29" s="1"/>
  <c r="K49" i="29"/>
  <c r="K142" i="29" s="1"/>
  <c r="I25" i="30"/>
  <c r="K25" i="30" s="1"/>
  <c r="K36" i="30" s="1"/>
  <c r="K141" i="30" s="1"/>
  <c r="H36" i="30"/>
  <c r="H141" i="30" s="1"/>
  <c r="I49" i="31"/>
  <c r="I142" i="31" s="1"/>
  <c r="K108" i="32"/>
  <c r="K147" i="32" s="1"/>
  <c r="I152" i="36"/>
  <c r="K152" i="45"/>
  <c r="F154" i="45" s="1"/>
  <c r="F154" i="43"/>
  <c r="F155" i="43"/>
  <c r="I98" i="31"/>
  <c r="I146" i="31" s="1"/>
  <c r="K82" i="31"/>
  <c r="K145" i="31" s="1"/>
  <c r="K152" i="39"/>
  <c r="F155" i="39" s="1"/>
  <c r="I152" i="40"/>
  <c r="I152" i="34"/>
  <c r="F127" i="29"/>
  <c r="F155" i="49"/>
  <c r="F154" i="49"/>
  <c r="I152" i="46"/>
  <c r="F155" i="46"/>
  <c r="F154" i="46"/>
  <c r="I152" i="45"/>
  <c r="F154" i="44"/>
  <c r="F155" i="44"/>
  <c r="K152" i="41"/>
  <c r="I152" i="41"/>
  <c r="K152" i="40"/>
  <c r="I152" i="39"/>
  <c r="F154" i="39"/>
  <c r="K152" i="36"/>
  <c r="F154" i="35"/>
  <c r="F155" i="35"/>
  <c r="F154" i="34"/>
  <c r="F155" i="34"/>
  <c r="I108" i="32"/>
  <c r="I147" i="32" s="1"/>
  <c r="K21" i="32"/>
  <c r="K36" i="32" s="1"/>
  <c r="K141" i="32" s="1"/>
  <c r="K152" i="32" s="1"/>
  <c r="I36" i="32"/>
  <c r="I141" i="32" s="1"/>
  <c r="I98" i="32"/>
  <c r="I146" i="32" s="1"/>
  <c r="K86" i="32"/>
  <c r="K98" i="32" s="1"/>
  <c r="K146" i="32" s="1"/>
  <c r="K108" i="31"/>
  <c r="K147" i="31" s="1"/>
  <c r="K98" i="31"/>
  <c r="K146" i="31" s="1"/>
  <c r="K49" i="31"/>
  <c r="K142" i="31" s="1"/>
  <c r="K53" i="30"/>
  <c r="K64" i="30" s="1"/>
  <c r="K143" i="30" s="1"/>
  <c r="I64" i="30"/>
  <c r="I143" i="30" s="1"/>
  <c r="K18" i="28"/>
  <c r="K150" i="28" s="1"/>
  <c r="I21" i="28"/>
  <c r="I36" i="28" s="1"/>
  <c r="I141" i="28" s="1"/>
  <c r="I22" i="28"/>
  <c r="K22" i="28" s="1"/>
  <c r="I23" i="28"/>
  <c r="K23" i="28" s="1"/>
  <c r="I24" i="28"/>
  <c r="K24" i="28" s="1"/>
  <c r="I25" i="28"/>
  <c r="K25" i="28" s="1"/>
  <c r="I26" i="28"/>
  <c r="K26" i="28" s="1"/>
  <c r="I27" i="28"/>
  <c r="K27" i="28" s="1"/>
  <c r="I28" i="28"/>
  <c r="K28" i="28" s="1"/>
  <c r="I29" i="28"/>
  <c r="K29" i="28" s="1"/>
  <c r="I30" i="28"/>
  <c r="K30" i="28" s="1"/>
  <c r="I31" i="28"/>
  <c r="K31" i="28" s="1"/>
  <c r="I32" i="28"/>
  <c r="K32" i="28" s="1"/>
  <c r="I33" i="28"/>
  <c r="K33" i="28" s="1"/>
  <c r="I34" i="28"/>
  <c r="K34" i="28" s="1"/>
  <c r="F36" i="28"/>
  <c r="F141" i="28" s="1"/>
  <c r="G36" i="28"/>
  <c r="H36" i="28"/>
  <c r="H141" i="28" s="1"/>
  <c r="J36" i="28"/>
  <c r="J141" i="28" s="1"/>
  <c r="K40" i="28"/>
  <c r="K49" i="28" s="1"/>
  <c r="K142" i="28" s="1"/>
  <c r="K41" i="28"/>
  <c r="K42" i="28"/>
  <c r="K43" i="28"/>
  <c r="K44" i="28"/>
  <c r="K45" i="28"/>
  <c r="K46" i="28"/>
  <c r="K47" i="28"/>
  <c r="F49" i="28"/>
  <c r="F142" i="28" s="1"/>
  <c r="G49" i="28"/>
  <c r="H49" i="28"/>
  <c r="H142" i="28" s="1"/>
  <c r="I49" i="28"/>
  <c r="J49" i="28"/>
  <c r="J142" i="28" s="1"/>
  <c r="K53" i="28"/>
  <c r="K64" i="28" s="1"/>
  <c r="K143" i="28" s="1"/>
  <c r="K54" i="28"/>
  <c r="K55" i="28"/>
  <c r="K56" i="28"/>
  <c r="K57" i="28"/>
  <c r="K58" i="28"/>
  <c r="K59" i="28"/>
  <c r="K60" i="28"/>
  <c r="K61" i="28"/>
  <c r="K62" i="28"/>
  <c r="F64" i="28"/>
  <c r="F143" i="28" s="1"/>
  <c r="G64" i="28"/>
  <c r="H64" i="28"/>
  <c r="H143" i="28" s="1"/>
  <c r="I64" i="28"/>
  <c r="J64" i="28"/>
  <c r="J143" i="28" s="1"/>
  <c r="I68" i="28"/>
  <c r="K68" i="28" s="1"/>
  <c r="K69" i="28"/>
  <c r="K70" i="28"/>
  <c r="K71" i="28"/>
  <c r="K72" i="28"/>
  <c r="F74" i="28"/>
  <c r="G74" i="28"/>
  <c r="H74" i="28"/>
  <c r="H144" i="28" s="1"/>
  <c r="I74" i="28"/>
  <c r="I144" i="28" s="1"/>
  <c r="J74" i="28"/>
  <c r="K77" i="28"/>
  <c r="I78" i="28"/>
  <c r="K78" i="28" s="1"/>
  <c r="K79" i="28"/>
  <c r="K80" i="28"/>
  <c r="F82" i="28"/>
  <c r="G82" i="28"/>
  <c r="G145" i="28" s="1"/>
  <c r="H82" i="28"/>
  <c r="H145" i="28" s="1"/>
  <c r="J82" i="28"/>
  <c r="I86" i="28"/>
  <c r="K86" i="28" s="1"/>
  <c r="I87" i="28"/>
  <c r="K87" i="28" s="1"/>
  <c r="I88" i="28"/>
  <c r="K88" i="28" s="1"/>
  <c r="I89" i="28"/>
  <c r="K89" i="28" s="1"/>
  <c r="I90" i="28"/>
  <c r="K90" i="28" s="1"/>
  <c r="I91" i="28"/>
  <c r="K91" i="28" s="1"/>
  <c r="I92" i="28"/>
  <c r="K92" i="28" s="1"/>
  <c r="I93" i="28"/>
  <c r="K93" i="28" s="1"/>
  <c r="I94" i="28"/>
  <c r="K94" i="28" s="1"/>
  <c r="I95" i="28"/>
  <c r="K95" i="28" s="1"/>
  <c r="I96" i="28"/>
  <c r="K96" i="28" s="1"/>
  <c r="F98" i="28"/>
  <c r="F146" i="28" s="1"/>
  <c r="G98" i="28"/>
  <c r="H98" i="28"/>
  <c r="H146" i="28" s="1"/>
  <c r="J98" i="28"/>
  <c r="J146" i="28" s="1"/>
  <c r="I102" i="28"/>
  <c r="K102" i="28" s="1"/>
  <c r="I103" i="28"/>
  <c r="K103" i="28" s="1"/>
  <c r="I104" i="28"/>
  <c r="K104" i="28" s="1"/>
  <c r="I105" i="28"/>
  <c r="K105" i="28" s="1"/>
  <c r="I106" i="28"/>
  <c r="K106" i="28" s="1"/>
  <c r="F108" i="28"/>
  <c r="F147" i="28" s="1"/>
  <c r="G108" i="28"/>
  <c r="H108" i="28"/>
  <c r="J108" i="28"/>
  <c r="J147" i="28" s="1"/>
  <c r="F119" i="28"/>
  <c r="K131" i="28"/>
  <c r="K132" i="28"/>
  <c r="K133" i="28"/>
  <c r="K134" i="28"/>
  <c r="K135" i="28"/>
  <c r="F137" i="28"/>
  <c r="G137" i="28"/>
  <c r="G149" i="28" s="1"/>
  <c r="H137" i="28"/>
  <c r="I137" i="28"/>
  <c r="I149" i="28" s="1"/>
  <c r="J137" i="28"/>
  <c r="K137" i="28"/>
  <c r="K149" i="28" s="1"/>
  <c r="G141" i="28"/>
  <c r="G152" i="28" s="1"/>
  <c r="G142" i="28"/>
  <c r="I142" i="28"/>
  <c r="G143" i="28"/>
  <c r="I143" i="28"/>
  <c r="F144" i="28"/>
  <c r="G144" i="28"/>
  <c r="J144" i="28"/>
  <c r="F145" i="28"/>
  <c r="J145" i="28"/>
  <c r="G146" i="28"/>
  <c r="G147" i="28"/>
  <c r="H147" i="28"/>
  <c r="K148" i="28"/>
  <c r="F149" i="28"/>
  <c r="H149" i="28"/>
  <c r="J149" i="28"/>
  <c r="H150" i="28"/>
  <c r="I150" i="28"/>
  <c r="J150" i="28"/>
  <c r="K18" i="27"/>
  <c r="K150" i="27" s="1"/>
  <c r="I21" i="27"/>
  <c r="I36" i="27" s="1"/>
  <c r="I141" i="27" s="1"/>
  <c r="I22" i="27"/>
  <c r="K22" i="27" s="1"/>
  <c r="I23" i="27"/>
  <c r="K23" i="27" s="1"/>
  <c r="I24" i="27"/>
  <c r="K24" i="27" s="1"/>
  <c r="I25" i="27"/>
  <c r="K25" i="27" s="1"/>
  <c r="I26" i="27"/>
  <c r="K26" i="27" s="1"/>
  <c r="I27" i="27"/>
  <c r="K27" i="27" s="1"/>
  <c r="I28" i="27"/>
  <c r="K28" i="27" s="1"/>
  <c r="I29" i="27"/>
  <c r="K29" i="27" s="1"/>
  <c r="I30" i="27"/>
  <c r="K30" i="27" s="1"/>
  <c r="I31" i="27"/>
  <c r="K31" i="27" s="1"/>
  <c r="I32" i="27"/>
  <c r="K32" i="27" s="1"/>
  <c r="I33" i="27"/>
  <c r="K33" i="27" s="1"/>
  <c r="I34" i="27"/>
  <c r="K34" i="27" s="1"/>
  <c r="F36" i="27"/>
  <c r="F141" i="27" s="1"/>
  <c r="G36" i="27"/>
  <c r="G141" i="27" s="1"/>
  <c r="H36" i="27"/>
  <c r="J36" i="27"/>
  <c r="J141" i="27" s="1"/>
  <c r="K40" i="27"/>
  <c r="K49" i="27" s="1"/>
  <c r="K142" i="27" s="1"/>
  <c r="K41" i="27"/>
  <c r="K42" i="27"/>
  <c r="K43" i="27"/>
  <c r="K44" i="27"/>
  <c r="K45" i="27"/>
  <c r="K46" i="27"/>
  <c r="K47" i="27"/>
  <c r="F49" i="27"/>
  <c r="G49" i="27"/>
  <c r="G142" i="27" s="1"/>
  <c r="H49" i="27"/>
  <c r="H142" i="27" s="1"/>
  <c r="I49" i="27"/>
  <c r="I142" i="27" s="1"/>
  <c r="J49" i="27"/>
  <c r="K53" i="27"/>
  <c r="K64" i="27" s="1"/>
  <c r="K143" i="27" s="1"/>
  <c r="K54" i="27"/>
  <c r="K55" i="27"/>
  <c r="K56" i="27"/>
  <c r="K57" i="27"/>
  <c r="K58" i="27"/>
  <c r="K59" i="27"/>
  <c r="K60" i="27"/>
  <c r="K61" i="27"/>
  <c r="K62" i="27"/>
  <c r="F64" i="27"/>
  <c r="F143" i="27" s="1"/>
  <c r="G64" i="27"/>
  <c r="G143" i="27" s="1"/>
  <c r="H64" i="27"/>
  <c r="H143" i="27" s="1"/>
  <c r="I64" i="27"/>
  <c r="I143" i="27" s="1"/>
  <c r="J64" i="27"/>
  <c r="J143" i="27" s="1"/>
  <c r="I68" i="27"/>
  <c r="K68" i="27" s="1"/>
  <c r="K74" i="27" s="1"/>
  <c r="K144" i="27" s="1"/>
  <c r="K69" i="27"/>
  <c r="K70" i="27"/>
  <c r="K71" i="27"/>
  <c r="K72" i="27"/>
  <c r="F74" i="27"/>
  <c r="G74" i="27"/>
  <c r="G144" i="27" s="1"/>
  <c r="H74" i="27"/>
  <c r="H144" i="27" s="1"/>
  <c r="J74" i="27"/>
  <c r="K77" i="27"/>
  <c r="I78" i="27"/>
  <c r="K78" i="27" s="1"/>
  <c r="K79" i="27"/>
  <c r="K80" i="27"/>
  <c r="F82" i="27"/>
  <c r="F145" i="27" s="1"/>
  <c r="G82" i="27"/>
  <c r="H82" i="27"/>
  <c r="H145" i="27" s="1"/>
  <c r="J82" i="27"/>
  <c r="I86" i="27"/>
  <c r="K86" i="27" s="1"/>
  <c r="I87" i="27"/>
  <c r="K87" i="27" s="1"/>
  <c r="I88" i="27"/>
  <c r="K88" i="27" s="1"/>
  <c r="I89" i="27"/>
  <c r="K89" i="27" s="1"/>
  <c r="I90" i="27"/>
  <c r="K90" i="27" s="1"/>
  <c r="I91" i="27"/>
  <c r="K91" i="27" s="1"/>
  <c r="I92" i="27"/>
  <c r="K92" i="27" s="1"/>
  <c r="I93" i="27"/>
  <c r="K93" i="27" s="1"/>
  <c r="I94" i="27"/>
  <c r="K94" i="27" s="1"/>
  <c r="I95" i="27"/>
  <c r="K95" i="27" s="1"/>
  <c r="I96" i="27"/>
  <c r="K96" i="27" s="1"/>
  <c r="F98" i="27"/>
  <c r="G98" i="27"/>
  <c r="H98" i="27"/>
  <c r="J98" i="27"/>
  <c r="I102" i="27"/>
  <c r="K102" i="27" s="1"/>
  <c r="I103" i="27"/>
  <c r="K103" i="27" s="1"/>
  <c r="I104" i="27"/>
  <c r="K104" i="27" s="1"/>
  <c r="I105" i="27"/>
  <c r="K105" i="27" s="1"/>
  <c r="I106" i="27"/>
  <c r="K106" i="27" s="1"/>
  <c r="F108" i="27"/>
  <c r="F147" i="27" s="1"/>
  <c r="G108" i="27"/>
  <c r="H108" i="27"/>
  <c r="H147" i="27" s="1"/>
  <c r="J108" i="27"/>
  <c r="F119" i="27"/>
  <c r="K131" i="27"/>
  <c r="K132" i="27"/>
  <c r="K133" i="27"/>
  <c r="K134" i="27"/>
  <c r="K135" i="27"/>
  <c r="F137" i="27"/>
  <c r="F149" i="27" s="1"/>
  <c r="G137" i="27"/>
  <c r="H137" i="27"/>
  <c r="H149" i="27" s="1"/>
  <c r="I137" i="27"/>
  <c r="J137" i="27"/>
  <c r="J149" i="27" s="1"/>
  <c r="H141" i="27"/>
  <c r="F142" i="27"/>
  <c r="J142" i="27"/>
  <c r="F144" i="27"/>
  <c r="J144" i="27"/>
  <c r="G145" i="27"/>
  <c r="J145" i="27"/>
  <c r="F146" i="27"/>
  <c r="G146" i="27"/>
  <c r="H146" i="27"/>
  <c r="J146" i="27"/>
  <c r="G147" i="27"/>
  <c r="J147" i="27"/>
  <c r="K148" i="27"/>
  <c r="G149" i="27"/>
  <c r="I149" i="27"/>
  <c r="H150" i="27"/>
  <c r="I150" i="27"/>
  <c r="J150" i="27"/>
  <c r="K18" i="26"/>
  <c r="K150" i="26" s="1"/>
  <c r="I21" i="26"/>
  <c r="K21" i="26"/>
  <c r="I22" i="26"/>
  <c r="K22" i="26"/>
  <c r="I23" i="26"/>
  <c r="K23" i="26"/>
  <c r="I24" i="26"/>
  <c r="K24" i="26"/>
  <c r="I25" i="26"/>
  <c r="K25" i="26"/>
  <c r="I26" i="26"/>
  <c r="K26" i="26"/>
  <c r="I27" i="26"/>
  <c r="K27" i="26"/>
  <c r="I28" i="26"/>
  <c r="K28" i="26"/>
  <c r="I29" i="26"/>
  <c r="K29" i="26"/>
  <c r="I30" i="26"/>
  <c r="K30" i="26"/>
  <c r="I31" i="26"/>
  <c r="K31" i="26"/>
  <c r="I32" i="26"/>
  <c r="K32" i="26"/>
  <c r="I33" i="26"/>
  <c r="K33" i="26"/>
  <c r="I34" i="26"/>
  <c r="K34" i="26"/>
  <c r="F36" i="26"/>
  <c r="G36" i="26"/>
  <c r="G141" i="26" s="1"/>
  <c r="G152" i="26" s="1"/>
  <c r="H36" i="26"/>
  <c r="I36" i="26"/>
  <c r="I141" i="26" s="1"/>
  <c r="J36" i="26"/>
  <c r="K36" i="26"/>
  <c r="K141" i="26" s="1"/>
  <c r="K40" i="26"/>
  <c r="K41" i="26"/>
  <c r="K42" i="26"/>
  <c r="K43" i="26"/>
  <c r="K49" i="26" s="1"/>
  <c r="K142" i="26" s="1"/>
  <c r="K44" i="26"/>
  <c r="K45" i="26"/>
  <c r="K46" i="26"/>
  <c r="K47" i="26"/>
  <c r="F49" i="26"/>
  <c r="G49" i="26"/>
  <c r="G142" i="26" s="1"/>
  <c r="H49" i="26"/>
  <c r="I49" i="26"/>
  <c r="I142" i="26" s="1"/>
  <c r="J49" i="26"/>
  <c r="K53" i="26"/>
  <c r="K54" i="26"/>
  <c r="K64" i="26" s="1"/>
  <c r="K143" i="26" s="1"/>
  <c r="K55" i="26"/>
  <c r="K56" i="26"/>
  <c r="K57" i="26"/>
  <c r="K58" i="26"/>
  <c r="K59" i="26"/>
  <c r="K60" i="26"/>
  <c r="K61" i="26"/>
  <c r="K62" i="26"/>
  <c r="F64" i="26"/>
  <c r="F143" i="26" s="1"/>
  <c r="G64" i="26"/>
  <c r="G143" i="26" s="1"/>
  <c r="H64" i="26"/>
  <c r="I64" i="26"/>
  <c r="I143" i="26" s="1"/>
  <c r="J64" i="26"/>
  <c r="K68" i="26"/>
  <c r="K74" i="26" s="1"/>
  <c r="K144" i="26" s="1"/>
  <c r="K69" i="26"/>
  <c r="K70" i="26"/>
  <c r="K71" i="26"/>
  <c r="K72" i="26"/>
  <c r="F74" i="26"/>
  <c r="G74" i="26"/>
  <c r="H74" i="26"/>
  <c r="I74" i="26"/>
  <c r="J74" i="26"/>
  <c r="K77" i="26"/>
  <c r="K82" i="26" s="1"/>
  <c r="K145" i="26" s="1"/>
  <c r="K78" i="26"/>
  <c r="K79" i="26"/>
  <c r="K80" i="26"/>
  <c r="F82" i="26"/>
  <c r="G82" i="26"/>
  <c r="H82" i="26"/>
  <c r="I82" i="26"/>
  <c r="J82" i="26"/>
  <c r="I86" i="26"/>
  <c r="K86" i="26" s="1"/>
  <c r="I87" i="26"/>
  <c r="K87" i="26"/>
  <c r="I88" i="26"/>
  <c r="K88" i="26"/>
  <c r="I89" i="26"/>
  <c r="K89" i="26"/>
  <c r="I90" i="26"/>
  <c r="K90" i="26"/>
  <c r="I91" i="26"/>
  <c r="K91" i="26"/>
  <c r="I92" i="26"/>
  <c r="K92" i="26"/>
  <c r="I93" i="26"/>
  <c r="K93" i="26"/>
  <c r="I94" i="26"/>
  <c r="K94" i="26"/>
  <c r="I95" i="26"/>
  <c r="K95" i="26"/>
  <c r="I96" i="26"/>
  <c r="K96" i="26"/>
  <c r="F98" i="26"/>
  <c r="G98" i="26"/>
  <c r="G146" i="26" s="1"/>
  <c r="H98" i="26"/>
  <c r="I98" i="26"/>
  <c r="I146" i="26" s="1"/>
  <c r="J98" i="26"/>
  <c r="I102" i="26"/>
  <c r="K102" i="26" s="1"/>
  <c r="I103" i="26"/>
  <c r="K103" i="26" s="1"/>
  <c r="I104" i="26"/>
  <c r="K104" i="26" s="1"/>
  <c r="I105" i="26"/>
  <c r="K105" i="26" s="1"/>
  <c r="I106" i="26"/>
  <c r="K106" i="26" s="1"/>
  <c r="F108" i="26"/>
  <c r="F147" i="26" s="1"/>
  <c r="G108" i="26"/>
  <c r="H108" i="26"/>
  <c r="H147" i="26" s="1"/>
  <c r="H152" i="26" s="1"/>
  <c r="J108" i="26"/>
  <c r="J147" i="26" s="1"/>
  <c r="F119" i="26"/>
  <c r="K131" i="26"/>
  <c r="K137" i="26" s="1"/>
  <c r="K149" i="26" s="1"/>
  <c r="K132" i="26"/>
  <c r="K133" i="26"/>
  <c r="K134" i="26"/>
  <c r="K135" i="26"/>
  <c r="F137" i="26"/>
  <c r="G137" i="26"/>
  <c r="H137" i="26"/>
  <c r="I137" i="26"/>
  <c r="J137" i="26"/>
  <c r="F141" i="26"/>
  <c r="H141" i="26"/>
  <c r="J141" i="26"/>
  <c r="F142" i="26"/>
  <c r="H142" i="26"/>
  <c r="J142" i="26"/>
  <c r="J152" i="26" s="1"/>
  <c r="H143" i="26"/>
  <c r="J143" i="26"/>
  <c r="F144" i="26"/>
  <c r="G144" i="26"/>
  <c r="H144" i="26"/>
  <c r="I144" i="26"/>
  <c r="J144" i="26"/>
  <c r="F145" i="26"/>
  <c r="G145" i="26"/>
  <c r="H145" i="26"/>
  <c r="I145" i="26"/>
  <c r="J145" i="26"/>
  <c r="F146" i="26"/>
  <c r="H146" i="26"/>
  <c r="J146" i="26"/>
  <c r="G147" i="26"/>
  <c r="K148" i="26"/>
  <c r="F149" i="26"/>
  <c r="G149" i="26"/>
  <c r="H149" i="26"/>
  <c r="I149" i="26"/>
  <c r="J149" i="26"/>
  <c r="H150" i="26"/>
  <c r="I150" i="26"/>
  <c r="J150" i="26"/>
  <c r="K18" i="25"/>
  <c r="K21" i="25"/>
  <c r="I22" i="25"/>
  <c r="K22" i="25" s="1"/>
  <c r="I23" i="25"/>
  <c r="K23" i="25" s="1"/>
  <c r="K24" i="25"/>
  <c r="I25" i="25"/>
  <c r="K25" i="25" s="1"/>
  <c r="I26" i="25"/>
  <c r="K26" i="25" s="1"/>
  <c r="I27" i="25"/>
  <c r="K27" i="25" s="1"/>
  <c r="I28" i="25"/>
  <c r="K28" i="25" s="1"/>
  <c r="K29" i="25"/>
  <c r="I30" i="25"/>
  <c r="K30" i="25" s="1"/>
  <c r="I31" i="25"/>
  <c r="K31" i="25" s="1"/>
  <c r="I32" i="25"/>
  <c r="K32" i="25" s="1"/>
  <c r="I33" i="25"/>
  <c r="K33" i="25" s="1"/>
  <c r="I34" i="25"/>
  <c r="K34" i="25" s="1"/>
  <c r="F36" i="25"/>
  <c r="G36" i="25"/>
  <c r="H36" i="25"/>
  <c r="J36" i="25"/>
  <c r="K40" i="25"/>
  <c r="K41" i="25"/>
  <c r="K42" i="25"/>
  <c r="K43" i="25"/>
  <c r="K44" i="25"/>
  <c r="K45" i="25"/>
  <c r="K46" i="25"/>
  <c r="K49" i="25" s="1"/>
  <c r="K142" i="25" s="1"/>
  <c r="K47" i="25"/>
  <c r="F49" i="25"/>
  <c r="G49" i="25"/>
  <c r="H49" i="25"/>
  <c r="I49" i="25"/>
  <c r="J49" i="25"/>
  <c r="K53" i="25"/>
  <c r="K54" i="25"/>
  <c r="K64" i="25" s="1"/>
  <c r="K143" i="25" s="1"/>
  <c r="K55" i="25"/>
  <c r="K56" i="25"/>
  <c r="K57" i="25"/>
  <c r="K58" i="25"/>
  <c r="K59" i="25"/>
  <c r="K60" i="25"/>
  <c r="K61" i="25"/>
  <c r="K62" i="25"/>
  <c r="F64" i="25"/>
  <c r="F143" i="25" s="1"/>
  <c r="G64" i="25"/>
  <c r="H64" i="25"/>
  <c r="H143" i="25" s="1"/>
  <c r="I64" i="25"/>
  <c r="I143" i="25" s="1"/>
  <c r="J64" i="25"/>
  <c r="K68" i="25"/>
  <c r="K74" i="25" s="1"/>
  <c r="K144" i="25" s="1"/>
  <c r="K69" i="25"/>
  <c r="K70" i="25"/>
  <c r="K71" i="25"/>
  <c r="K72" i="25"/>
  <c r="F74" i="25"/>
  <c r="F144" i="25" s="1"/>
  <c r="G74" i="25"/>
  <c r="H74" i="25"/>
  <c r="H144" i="25" s="1"/>
  <c r="I74" i="25"/>
  <c r="J74" i="25"/>
  <c r="J144" i="25" s="1"/>
  <c r="K77" i="25"/>
  <c r="K82" i="25" s="1"/>
  <c r="K145" i="25" s="1"/>
  <c r="K78" i="25"/>
  <c r="K79" i="25"/>
  <c r="K80" i="25"/>
  <c r="F82" i="25"/>
  <c r="F145" i="25" s="1"/>
  <c r="G82" i="25"/>
  <c r="H82" i="25"/>
  <c r="H145" i="25" s="1"/>
  <c r="I82" i="25"/>
  <c r="J82" i="25"/>
  <c r="J145" i="25" s="1"/>
  <c r="I86" i="25"/>
  <c r="K86" i="25" s="1"/>
  <c r="K87" i="25"/>
  <c r="K88" i="25"/>
  <c r="I89" i="25"/>
  <c r="K89" i="25" s="1"/>
  <c r="I90" i="25"/>
  <c r="K90" i="25" s="1"/>
  <c r="K91" i="25"/>
  <c r="I92" i="25"/>
  <c r="K92" i="25" s="1"/>
  <c r="K93" i="25"/>
  <c r="I94" i="25"/>
  <c r="K94" i="25"/>
  <c r="I95" i="25"/>
  <c r="K95" i="25"/>
  <c r="I96" i="25"/>
  <c r="K96" i="25"/>
  <c r="F98" i="25"/>
  <c r="G98" i="25"/>
  <c r="H98" i="25"/>
  <c r="I98" i="25"/>
  <c r="J98" i="25"/>
  <c r="K102" i="25"/>
  <c r="K103" i="25"/>
  <c r="K104" i="25"/>
  <c r="K105" i="25"/>
  <c r="I106" i="25"/>
  <c r="K106" i="25" s="1"/>
  <c r="F108" i="25"/>
  <c r="F147" i="25" s="1"/>
  <c r="G108" i="25"/>
  <c r="H108" i="25"/>
  <c r="J108" i="25"/>
  <c r="J147" i="25" s="1"/>
  <c r="F119" i="25"/>
  <c r="K131" i="25"/>
  <c r="K137" i="25" s="1"/>
  <c r="K149" i="25" s="1"/>
  <c r="K132" i="25"/>
  <c r="K133" i="25"/>
  <c r="K134" i="25"/>
  <c r="K135" i="25"/>
  <c r="F137" i="25"/>
  <c r="F149" i="25" s="1"/>
  <c r="G137" i="25"/>
  <c r="G149" i="25" s="1"/>
  <c r="H137" i="25"/>
  <c r="I137" i="25"/>
  <c r="I149" i="25" s="1"/>
  <c r="J137" i="25"/>
  <c r="J149" i="25" s="1"/>
  <c r="F141" i="25"/>
  <c r="G141" i="25"/>
  <c r="H141" i="25"/>
  <c r="J141" i="25"/>
  <c r="F142" i="25"/>
  <c r="G142" i="25"/>
  <c r="H142" i="25"/>
  <c r="I142" i="25"/>
  <c r="J142" i="25"/>
  <c r="G143" i="25"/>
  <c r="J143" i="25"/>
  <c r="G144" i="25"/>
  <c r="I144" i="25"/>
  <c r="G145" i="25"/>
  <c r="I145" i="25"/>
  <c r="F146" i="25"/>
  <c r="G146" i="25"/>
  <c r="H146" i="25"/>
  <c r="I146" i="25"/>
  <c r="J146" i="25"/>
  <c r="G147" i="25"/>
  <c r="H147" i="25"/>
  <c r="K148" i="25"/>
  <c r="H149" i="25"/>
  <c r="H150" i="25"/>
  <c r="I150" i="25"/>
  <c r="J150" i="25"/>
  <c r="K150" i="25"/>
  <c r="K18" i="24"/>
  <c r="K6" i="52" s="1"/>
  <c r="I21" i="24"/>
  <c r="I22" i="24"/>
  <c r="I23" i="24"/>
  <c r="K24" i="24"/>
  <c r="K12" i="52" s="1"/>
  <c r="L12" i="52" s="1"/>
  <c r="I25" i="24"/>
  <c r="I29" i="24"/>
  <c r="F36" i="24"/>
  <c r="G36" i="24"/>
  <c r="H36" i="24"/>
  <c r="J36" i="24"/>
  <c r="K40" i="24"/>
  <c r="K25" i="52" s="1"/>
  <c r="I41" i="24"/>
  <c r="K42" i="24"/>
  <c r="K27" i="52" s="1"/>
  <c r="L27" i="52" s="1"/>
  <c r="K43" i="24"/>
  <c r="K28" i="52" s="1"/>
  <c r="L28" i="52" s="1"/>
  <c r="I44" i="24"/>
  <c r="I45" i="24"/>
  <c r="K45" i="24" s="1"/>
  <c r="I46" i="24"/>
  <c r="K46" i="24" s="1"/>
  <c r="F49" i="24"/>
  <c r="G49" i="24"/>
  <c r="H49" i="24"/>
  <c r="K53" i="24"/>
  <c r="K54" i="24"/>
  <c r="K55" i="24"/>
  <c r="K56" i="24"/>
  <c r="I57" i="24"/>
  <c r="K57" i="24" s="1"/>
  <c r="I58" i="24"/>
  <c r="K58" i="24" s="1"/>
  <c r="K59" i="24"/>
  <c r="I60" i="24"/>
  <c r="K60" i="24" s="1"/>
  <c r="I61" i="24"/>
  <c r="K61" i="24" s="1"/>
  <c r="K62" i="24"/>
  <c r="K63" i="24"/>
  <c r="F64" i="24"/>
  <c r="F143" i="24" s="1"/>
  <c r="G64" i="24"/>
  <c r="H64" i="24"/>
  <c r="H143" i="24" s="1"/>
  <c r="J64" i="24"/>
  <c r="J143" i="24" s="1"/>
  <c r="K68" i="24"/>
  <c r="K69" i="24"/>
  <c r="F74" i="24"/>
  <c r="G74" i="24"/>
  <c r="H74" i="24"/>
  <c r="I74" i="24"/>
  <c r="J74" i="24"/>
  <c r="K77" i="24"/>
  <c r="I78" i="24"/>
  <c r="K78" i="24" s="1"/>
  <c r="I79" i="24"/>
  <c r="K79" i="24"/>
  <c r="F82" i="24"/>
  <c r="F145" i="24" s="1"/>
  <c r="G82" i="24"/>
  <c r="G145" i="24" s="1"/>
  <c r="H82" i="24"/>
  <c r="H145" i="24" s="1"/>
  <c r="I87" i="24"/>
  <c r="K87" i="24" s="1"/>
  <c r="I88" i="24"/>
  <c r="K88" i="24" s="1"/>
  <c r="I89" i="24"/>
  <c r="K89" i="24" s="1"/>
  <c r="K90" i="24"/>
  <c r="I91" i="24"/>
  <c r="K91" i="24" s="1"/>
  <c r="K93" i="24"/>
  <c r="I94" i="24"/>
  <c r="K94" i="24" s="1"/>
  <c r="I95" i="24"/>
  <c r="K95" i="24" s="1"/>
  <c r="F98" i="24"/>
  <c r="G98" i="24"/>
  <c r="H98" i="24"/>
  <c r="H146" i="24" s="1"/>
  <c r="I102" i="24"/>
  <c r="K102" i="24" s="1"/>
  <c r="K103" i="24"/>
  <c r="K104" i="24"/>
  <c r="F108" i="24"/>
  <c r="F147" i="24" s="1"/>
  <c r="H108" i="24"/>
  <c r="H147" i="24" s="1"/>
  <c r="I108" i="24"/>
  <c r="I147" i="24" s="1"/>
  <c r="F119" i="24"/>
  <c r="G143" i="24"/>
  <c r="I144" i="24"/>
  <c r="F146" i="24"/>
  <c r="G146" i="24"/>
  <c r="G147" i="24"/>
  <c r="K148" i="24"/>
  <c r="H150" i="24"/>
  <c r="J150" i="24"/>
  <c r="L6" i="52" l="1"/>
  <c r="L111" i="52" s="1"/>
  <c r="K111" i="52"/>
  <c r="L53" i="52"/>
  <c r="L106" i="52" s="1"/>
  <c r="L71" i="52"/>
  <c r="L107" i="52" s="1"/>
  <c r="K146" i="33"/>
  <c r="K152" i="33" s="1"/>
  <c r="H144" i="24"/>
  <c r="H44" i="52"/>
  <c r="H105" i="52" s="1"/>
  <c r="H142" i="24"/>
  <c r="K41" i="24"/>
  <c r="K26" i="52" s="1"/>
  <c r="I26" i="52"/>
  <c r="J144" i="24"/>
  <c r="J44" i="52"/>
  <c r="J105" i="52" s="1"/>
  <c r="F144" i="24"/>
  <c r="F44" i="52"/>
  <c r="F105" i="52" s="1"/>
  <c r="F142" i="24"/>
  <c r="I44" i="52"/>
  <c r="I105" i="52" s="1"/>
  <c r="G144" i="24"/>
  <c r="G44" i="52"/>
  <c r="G105" i="52" s="1"/>
  <c r="G142" i="24"/>
  <c r="K44" i="24"/>
  <c r="K29" i="52" s="1"/>
  <c r="I29" i="52"/>
  <c r="L25" i="52"/>
  <c r="G141" i="24"/>
  <c r="G152" i="24" s="1"/>
  <c r="F141" i="24"/>
  <c r="F20" i="52"/>
  <c r="F102" i="52" s="1"/>
  <c r="I98" i="24"/>
  <c r="I146" i="24" s="1"/>
  <c r="I82" i="24"/>
  <c r="I145" i="24" s="1"/>
  <c r="J141" i="24"/>
  <c r="H141" i="24"/>
  <c r="H152" i="24" s="1"/>
  <c r="K108" i="24"/>
  <c r="K147" i="24" s="1"/>
  <c r="K74" i="24"/>
  <c r="K25" i="24"/>
  <c r="K13" i="52" s="1"/>
  <c r="I13" i="52"/>
  <c r="I36" i="24"/>
  <c r="I9" i="52"/>
  <c r="K82" i="24"/>
  <c r="K145" i="24" s="1"/>
  <c r="I64" i="24"/>
  <c r="I143" i="24" s="1"/>
  <c r="F152" i="24"/>
  <c r="K23" i="24"/>
  <c r="K11" i="52" s="1"/>
  <c r="I11" i="52"/>
  <c r="K150" i="24"/>
  <c r="J152" i="24"/>
  <c r="K29" i="24"/>
  <c r="K17" i="52" s="1"/>
  <c r="I17" i="52"/>
  <c r="K22" i="24"/>
  <c r="K10" i="52" s="1"/>
  <c r="I10" i="52"/>
  <c r="F155" i="45"/>
  <c r="H152" i="28"/>
  <c r="K108" i="25"/>
  <c r="K147" i="25" s="1"/>
  <c r="J152" i="25"/>
  <c r="F152" i="25"/>
  <c r="K108" i="26"/>
  <c r="K147" i="26" s="1"/>
  <c r="I152" i="26"/>
  <c r="F152" i="28"/>
  <c r="H152" i="25"/>
  <c r="F152" i="26"/>
  <c r="J152" i="28"/>
  <c r="K137" i="27"/>
  <c r="K149" i="27" s="1"/>
  <c r="I152" i="31"/>
  <c r="K21" i="24"/>
  <c r="K9" i="52" s="1"/>
  <c r="K98" i="25"/>
  <c r="K146" i="25" s="1"/>
  <c r="K82" i="27"/>
  <c r="K145" i="27" s="1"/>
  <c r="K152" i="27" s="1"/>
  <c r="I74" i="27"/>
  <c r="I144" i="27" s="1"/>
  <c r="K21" i="27"/>
  <c r="K36" i="27" s="1"/>
  <c r="K141" i="27" s="1"/>
  <c r="I98" i="28"/>
  <c r="I146" i="28" s="1"/>
  <c r="I82" i="28"/>
  <c r="I145" i="28" s="1"/>
  <c r="I152" i="28" s="1"/>
  <c r="K21" i="28"/>
  <c r="K36" i="28" s="1"/>
  <c r="K141" i="28" s="1"/>
  <c r="F155" i="29"/>
  <c r="K98" i="26"/>
  <c r="K146" i="26" s="1"/>
  <c r="K152" i="26" s="1"/>
  <c r="F154" i="26" s="1"/>
  <c r="H152" i="27"/>
  <c r="K74" i="28"/>
  <c r="K144" i="28" s="1"/>
  <c r="I41" i="30"/>
  <c r="H49" i="30"/>
  <c r="H142" i="30" s="1"/>
  <c r="H152" i="30" s="1"/>
  <c r="I36" i="30"/>
  <c r="I141" i="30" s="1"/>
  <c r="I49" i="24"/>
  <c r="G152" i="25"/>
  <c r="I108" i="25"/>
  <c r="I147" i="25" s="1"/>
  <c r="I108" i="26"/>
  <c r="I147" i="26" s="1"/>
  <c r="I108" i="28"/>
  <c r="I147" i="28" s="1"/>
  <c r="K82" i="28"/>
  <c r="K145" i="28" s="1"/>
  <c r="F154" i="41"/>
  <c r="F155" i="41"/>
  <c r="F154" i="40"/>
  <c r="F155" i="40"/>
  <c r="F154" i="36"/>
  <c r="F155" i="36"/>
  <c r="I152" i="32"/>
  <c r="F154" i="32"/>
  <c r="F155" i="32"/>
  <c r="K152" i="31"/>
  <c r="K108" i="28"/>
  <c r="K147" i="28" s="1"/>
  <c r="K98" i="28"/>
  <c r="K146" i="28" s="1"/>
  <c r="J152" i="27"/>
  <c r="F152" i="27"/>
  <c r="K108" i="27"/>
  <c r="K147" i="27" s="1"/>
  <c r="G152" i="27"/>
  <c r="K98" i="27"/>
  <c r="K146" i="27" s="1"/>
  <c r="I108" i="27"/>
  <c r="I147" i="27" s="1"/>
  <c r="I98" i="27"/>
  <c r="I146" i="27" s="1"/>
  <c r="I82" i="27"/>
  <c r="I145" i="27" s="1"/>
  <c r="F155" i="26"/>
  <c r="K36" i="25"/>
  <c r="K141" i="25" s="1"/>
  <c r="I36" i="25"/>
  <c r="I141" i="25" s="1"/>
  <c r="K64" i="24"/>
  <c r="K143" i="24" s="1"/>
  <c r="K98" i="24"/>
  <c r="K146" i="24" s="1"/>
  <c r="K49" i="24"/>
  <c r="K18" i="23"/>
  <c r="I21" i="23"/>
  <c r="K21" i="23" s="1"/>
  <c r="I22" i="23"/>
  <c r="K22" i="23"/>
  <c r="F23" i="23"/>
  <c r="F36" i="23" s="1"/>
  <c r="F141" i="23" s="1"/>
  <c r="G23" i="23"/>
  <c r="H23" i="23"/>
  <c r="I23" i="23"/>
  <c r="K23" i="23" s="1"/>
  <c r="G24" i="23"/>
  <c r="I24" i="23"/>
  <c r="K24" i="23" s="1"/>
  <c r="I25" i="23"/>
  <c r="K25" i="23"/>
  <c r="I26" i="23"/>
  <c r="K26" i="23" s="1"/>
  <c r="I27" i="23"/>
  <c r="K27" i="23"/>
  <c r="I28" i="23"/>
  <c r="K28" i="23" s="1"/>
  <c r="I29" i="23"/>
  <c r="K29" i="23"/>
  <c r="I30" i="23"/>
  <c r="K30" i="23" s="1"/>
  <c r="I31" i="23"/>
  <c r="K31" i="23"/>
  <c r="I32" i="23"/>
  <c r="K32" i="23" s="1"/>
  <c r="I33" i="23"/>
  <c r="K33" i="23"/>
  <c r="I34" i="23"/>
  <c r="K34" i="23" s="1"/>
  <c r="G36" i="23"/>
  <c r="H36" i="23"/>
  <c r="J36" i="23"/>
  <c r="K40" i="23"/>
  <c r="I41" i="23"/>
  <c r="K41" i="23" s="1"/>
  <c r="K42" i="23"/>
  <c r="I43" i="23"/>
  <c r="K43" i="23"/>
  <c r="K44" i="23"/>
  <c r="I45" i="23"/>
  <c r="K45" i="23" s="1"/>
  <c r="I46" i="23"/>
  <c r="K46" i="23" s="1"/>
  <c r="I47" i="23"/>
  <c r="K47" i="23" s="1"/>
  <c r="F49" i="23"/>
  <c r="G49" i="23"/>
  <c r="H49" i="23"/>
  <c r="H142" i="23" s="1"/>
  <c r="J49" i="23"/>
  <c r="J142" i="23" s="1"/>
  <c r="K53" i="23"/>
  <c r="K54" i="23"/>
  <c r="K55" i="23"/>
  <c r="K56" i="23"/>
  <c r="K57" i="23"/>
  <c r="K58" i="23"/>
  <c r="K59" i="23"/>
  <c r="K60" i="23"/>
  <c r="K61" i="23"/>
  <c r="K62" i="23"/>
  <c r="F64" i="23"/>
  <c r="G64" i="23"/>
  <c r="H64" i="23"/>
  <c r="I64" i="23"/>
  <c r="I36" i="52" s="1"/>
  <c r="I104" i="52" s="1"/>
  <c r="J64" i="23"/>
  <c r="J36" i="52" s="1"/>
  <c r="J104" i="52" s="1"/>
  <c r="K68" i="23"/>
  <c r="K74" i="23" s="1"/>
  <c r="K144" i="23" s="1"/>
  <c r="K69" i="23"/>
  <c r="K70" i="23"/>
  <c r="K71" i="23"/>
  <c r="K72" i="23"/>
  <c r="F74" i="23"/>
  <c r="G74" i="23"/>
  <c r="H74" i="23"/>
  <c r="I74" i="23"/>
  <c r="J74" i="23"/>
  <c r="K77" i="23"/>
  <c r="K78" i="23"/>
  <c r="K79" i="23"/>
  <c r="K80" i="23"/>
  <c r="F82" i="23"/>
  <c r="G82" i="23"/>
  <c r="H82" i="23"/>
  <c r="I82" i="23"/>
  <c r="J82" i="23"/>
  <c r="K82" i="23"/>
  <c r="I86" i="23"/>
  <c r="K86" i="23" s="1"/>
  <c r="I87" i="23"/>
  <c r="K87" i="23"/>
  <c r="I88" i="23"/>
  <c r="K88" i="23" s="1"/>
  <c r="I89" i="23"/>
  <c r="K89" i="23"/>
  <c r="I90" i="23"/>
  <c r="K90" i="23" s="1"/>
  <c r="I91" i="23"/>
  <c r="K91" i="23"/>
  <c r="I92" i="23"/>
  <c r="K92" i="23" s="1"/>
  <c r="I93" i="23"/>
  <c r="K93" i="23"/>
  <c r="I94" i="23"/>
  <c r="K94" i="23" s="1"/>
  <c r="I95" i="23"/>
  <c r="K95" i="23"/>
  <c r="I96" i="23"/>
  <c r="K96" i="23" s="1"/>
  <c r="F98" i="23"/>
  <c r="F146" i="23" s="1"/>
  <c r="G98" i="23"/>
  <c r="G146" i="23" s="1"/>
  <c r="H98" i="23"/>
  <c r="J98" i="23"/>
  <c r="J146" i="23" s="1"/>
  <c r="I102" i="23"/>
  <c r="K102" i="23" s="1"/>
  <c r="I103" i="23"/>
  <c r="K103" i="23"/>
  <c r="I104" i="23"/>
  <c r="K104" i="23" s="1"/>
  <c r="I105" i="23"/>
  <c r="K105" i="23"/>
  <c r="I106" i="23"/>
  <c r="K106" i="23" s="1"/>
  <c r="F108" i="23"/>
  <c r="G108" i="23"/>
  <c r="G147" i="23" s="1"/>
  <c r="H108" i="23"/>
  <c r="J108" i="23"/>
  <c r="J147" i="23" s="1"/>
  <c r="F119" i="23"/>
  <c r="F123" i="23" s="1"/>
  <c r="F127" i="23" s="1"/>
  <c r="F125" i="23"/>
  <c r="K131" i="23"/>
  <c r="K132" i="23"/>
  <c r="K133" i="23"/>
  <c r="K134" i="23"/>
  <c r="K135" i="23"/>
  <c r="F137" i="23"/>
  <c r="F149" i="23" s="1"/>
  <c r="G137" i="23"/>
  <c r="H137" i="23"/>
  <c r="H149" i="23" s="1"/>
  <c r="I137" i="23"/>
  <c r="J137" i="23"/>
  <c r="J149" i="23" s="1"/>
  <c r="G141" i="23"/>
  <c r="H141" i="23"/>
  <c r="J141" i="23"/>
  <c r="F142" i="23"/>
  <c r="G142" i="23"/>
  <c r="F144" i="23"/>
  <c r="G144" i="23"/>
  <c r="H144" i="23"/>
  <c r="I144" i="23"/>
  <c r="J144" i="23"/>
  <c r="F145" i="23"/>
  <c r="G145" i="23"/>
  <c r="H145" i="23"/>
  <c r="I145" i="23"/>
  <c r="J145" i="23"/>
  <c r="K145" i="23"/>
  <c r="H146" i="23"/>
  <c r="F147" i="23"/>
  <c r="H147" i="23"/>
  <c r="K148" i="23"/>
  <c r="G149" i="23"/>
  <c r="I149" i="23"/>
  <c r="H150" i="23"/>
  <c r="I150" i="23"/>
  <c r="J150" i="23"/>
  <c r="K150" i="23"/>
  <c r="F154" i="33" l="1"/>
  <c r="F155" i="33"/>
  <c r="K20" i="52"/>
  <c r="K102" i="52" s="1"/>
  <c r="J143" i="23"/>
  <c r="F143" i="23"/>
  <c r="I143" i="23"/>
  <c r="G143" i="23"/>
  <c r="G152" i="23" s="1"/>
  <c r="G36" i="52"/>
  <c r="G104" i="52" s="1"/>
  <c r="G113" i="52" s="1"/>
  <c r="H143" i="23"/>
  <c r="H36" i="52"/>
  <c r="H104" i="52" s="1"/>
  <c r="H113" i="52" s="1"/>
  <c r="L29" i="52"/>
  <c r="I142" i="24"/>
  <c r="K142" i="24"/>
  <c r="K144" i="24"/>
  <c r="J113" i="52"/>
  <c r="K31" i="52"/>
  <c r="K103" i="52" s="1"/>
  <c r="I31" i="52"/>
  <c r="I103" i="52" s="1"/>
  <c r="I141" i="24"/>
  <c r="L26" i="52"/>
  <c r="I20" i="52"/>
  <c r="L10" i="52"/>
  <c r="I152" i="24"/>
  <c r="L17" i="52"/>
  <c r="L9" i="52"/>
  <c r="L13" i="52"/>
  <c r="K36" i="24"/>
  <c r="L11" i="52"/>
  <c r="K108" i="23"/>
  <c r="K147" i="23" s="1"/>
  <c r="K98" i="23"/>
  <c r="K146" i="23" s="1"/>
  <c r="F152" i="23"/>
  <c r="J152" i="23"/>
  <c r="K36" i="23"/>
  <c r="K141" i="23" s="1"/>
  <c r="K41" i="30"/>
  <c r="K49" i="30" s="1"/>
  <c r="K142" i="30" s="1"/>
  <c r="K152" i="30" s="1"/>
  <c r="I49" i="30"/>
  <c r="I142" i="30" s="1"/>
  <c r="I152" i="30" s="1"/>
  <c r="K137" i="23"/>
  <c r="K149" i="23" s="1"/>
  <c r="I108" i="23"/>
  <c r="I147" i="23" s="1"/>
  <c r="I98" i="23"/>
  <c r="I146" i="23" s="1"/>
  <c r="I36" i="23"/>
  <c r="I141" i="23" s="1"/>
  <c r="I152" i="25"/>
  <c r="I152" i="27"/>
  <c r="H152" i="23"/>
  <c r="K64" i="23"/>
  <c r="K152" i="25"/>
  <c r="K152" i="28"/>
  <c r="F154" i="28" s="1"/>
  <c r="F154" i="31"/>
  <c r="F155" i="31"/>
  <c r="F155" i="28"/>
  <c r="F154" i="27"/>
  <c r="F155" i="27"/>
  <c r="F155" i="25"/>
  <c r="F154" i="25"/>
  <c r="K49" i="23"/>
  <c r="K142" i="23" s="1"/>
  <c r="I49" i="23"/>
  <c r="I142" i="23" s="1"/>
  <c r="I152" i="23" s="1"/>
  <c r="K18" i="21"/>
  <c r="I21" i="21"/>
  <c r="K21" i="21" s="1"/>
  <c r="I22" i="21"/>
  <c r="K22" i="21" s="1"/>
  <c r="I23" i="21"/>
  <c r="K23" i="21" s="1"/>
  <c r="I24" i="21"/>
  <c r="K24" i="21" s="1"/>
  <c r="I25" i="21"/>
  <c r="K25" i="21" s="1"/>
  <c r="I26" i="21"/>
  <c r="K26" i="21" s="1"/>
  <c r="I27" i="21"/>
  <c r="K27" i="21" s="1"/>
  <c r="I28" i="21"/>
  <c r="K28" i="21" s="1"/>
  <c r="I29" i="21"/>
  <c r="K29" i="21" s="1"/>
  <c r="I30" i="21"/>
  <c r="K30" i="21" s="1"/>
  <c r="I31" i="21"/>
  <c r="K31" i="21" s="1"/>
  <c r="I32" i="21"/>
  <c r="K32" i="21" s="1"/>
  <c r="I33" i="21"/>
  <c r="K33" i="21" s="1"/>
  <c r="I34" i="21"/>
  <c r="K34" i="21" s="1"/>
  <c r="F36" i="21"/>
  <c r="F141" i="21" s="1"/>
  <c r="G36" i="21"/>
  <c r="H36" i="21"/>
  <c r="H141" i="21" s="1"/>
  <c r="H152" i="21" s="1"/>
  <c r="J36" i="21"/>
  <c r="J141" i="21" s="1"/>
  <c r="I40" i="21"/>
  <c r="K40" i="21" s="1"/>
  <c r="I41" i="21"/>
  <c r="K41" i="21" s="1"/>
  <c r="I42" i="21"/>
  <c r="K42" i="21"/>
  <c r="K43" i="21"/>
  <c r="K44" i="21"/>
  <c r="K45" i="21"/>
  <c r="K46" i="21"/>
  <c r="K47" i="21"/>
  <c r="F49" i="21"/>
  <c r="F142" i="21" s="1"/>
  <c r="G49" i="21"/>
  <c r="H49" i="21"/>
  <c r="H142" i="21" s="1"/>
  <c r="J49" i="21"/>
  <c r="J142" i="21" s="1"/>
  <c r="H53" i="21"/>
  <c r="I53" i="21" s="1"/>
  <c r="I54" i="21"/>
  <c r="K54" i="21" s="1"/>
  <c r="I55" i="21"/>
  <c r="K55" i="21" s="1"/>
  <c r="K56" i="21"/>
  <c r="K57" i="21"/>
  <c r="K58" i="21"/>
  <c r="K59" i="21"/>
  <c r="K60" i="21"/>
  <c r="K61" i="21"/>
  <c r="K62" i="21"/>
  <c r="F64" i="21"/>
  <c r="G64" i="21"/>
  <c r="G143" i="21" s="1"/>
  <c r="G152" i="21" s="1"/>
  <c r="H64" i="21"/>
  <c r="J64" i="21"/>
  <c r="J143" i="21" s="1"/>
  <c r="K68" i="21"/>
  <c r="I69" i="21"/>
  <c r="I74" i="21" s="1"/>
  <c r="I144" i="21" s="1"/>
  <c r="I70" i="21"/>
  <c r="K70" i="21" s="1"/>
  <c r="I71" i="21"/>
  <c r="K71" i="21" s="1"/>
  <c r="I72" i="21"/>
  <c r="K72" i="21" s="1"/>
  <c r="F74" i="21"/>
  <c r="G74" i="21"/>
  <c r="H74" i="21"/>
  <c r="J74" i="21"/>
  <c r="K77" i="21"/>
  <c r="K78" i="21"/>
  <c r="K79" i="21"/>
  <c r="I80" i="21"/>
  <c r="K80" i="21" s="1"/>
  <c r="F82" i="21"/>
  <c r="G82" i="21"/>
  <c r="H82" i="21"/>
  <c r="J82" i="21"/>
  <c r="I86" i="21"/>
  <c r="K86" i="21" s="1"/>
  <c r="I87" i="21"/>
  <c r="K87" i="21" s="1"/>
  <c r="I88" i="21"/>
  <c r="K88" i="21" s="1"/>
  <c r="K89" i="21"/>
  <c r="I90" i="21"/>
  <c r="K90" i="21" s="1"/>
  <c r="I91" i="21"/>
  <c r="K91" i="21" s="1"/>
  <c r="I92" i="21"/>
  <c r="K92" i="21" s="1"/>
  <c r="I93" i="21"/>
  <c r="K93" i="21" s="1"/>
  <c r="I94" i="21"/>
  <c r="K94" i="21" s="1"/>
  <c r="I95" i="21"/>
  <c r="K95" i="21" s="1"/>
  <c r="I96" i="21"/>
  <c r="K96" i="21" s="1"/>
  <c r="F98" i="21"/>
  <c r="G98" i="21"/>
  <c r="H98" i="21"/>
  <c r="J98" i="21"/>
  <c r="I102" i="21"/>
  <c r="K102" i="21"/>
  <c r="I103" i="21"/>
  <c r="K103" i="21"/>
  <c r="I104" i="21"/>
  <c r="K104" i="21"/>
  <c r="I105" i="21"/>
  <c r="K105" i="21"/>
  <c r="I106" i="21"/>
  <c r="K106" i="21"/>
  <c r="F108" i="21"/>
  <c r="G108" i="21"/>
  <c r="H108" i="21"/>
  <c r="I108" i="21"/>
  <c r="J108" i="21"/>
  <c r="K108" i="21"/>
  <c r="F119" i="21"/>
  <c r="F123" i="21"/>
  <c r="F127" i="21" s="1"/>
  <c r="I131" i="21"/>
  <c r="K131" i="21" s="1"/>
  <c r="I132" i="21"/>
  <c r="K132" i="21" s="1"/>
  <c r="K133" i="21"/>
  <c r="K134" i="21"/>
  <c r="K135" i="21"/>
  <c r="F137" i="21"/>
  <c r="F149" i="21" s="1"/>
  <c r="G137" i="21"/>
  <c r="H137" i="21"/>
  <c r="J137" i="21"/>
  <c r="J149" i="21" s="1"/>
  <c r="G141" i="21"/>
  <c r="G142" i="21"/>
  <c r="F143" i="21"/>
  <c r="H143" i="21"/>
  <c r="F144" i="21"/>
  <c r="G144" i="21"/>
  <c r="H144" i="21"/>
  <c r="J144" i="21"/>
  <c r="F145" i="21"/>
  <c r="G145" i="21"/>
  <c r="H145" i="21"/>
  <c r="J145" i="21"/>
  <c r="F146" i="21"/>
  <c r="G146" i="21"/>
  <c r="H146" i="21"/>
  <c r="J146" i="21"/>
  <c r="F147" i="21"/>
  <c r="G147" i="21"/>
  <c r="H147" i="21"/>
  <c r="I147" i="21"/>
  <c r="J147" i="21"/>
  <c r="K147" i="21"/>
  <c r="K148" i="21"/>
  <c r="G149" i="21"/>
  <c r="H149" i="21"/>
  <c r="H150" i="21"/>
  <c r="I150" i="21"/>
  <c r="J150" i="21"/>
  <c r="K150" i="21"/>
  <c r="K18" i="20"/>
  <c r="F21" i="20"/>
  <c r="F36" i="20" s="1"/>
  <c r="F141" i="20" s="1"/>
  <c r="I21" i="20"/>
  <c r="K21" i="20" s="1"/>
  <c r="F22" i="20"/>
  <c r="G22" i="20"/>
  <c r="H22" i="20"/>
  <c r="H36" i="20" s="1"/>
  <c r="H141" i="20" s="1"/>
  <c r="I23" i="20"/>
  <c r="K23" i="20" s="1"/>
  <c r="F24" i="20"/>
  <c r="I24" i="20"/>
  <c r="K24" i="20" s="1"/>
  <c r="I25" i="20"/>
  <c r="K25" i="20" s="1"/>
  <c r="I26" i="20"/>
  <c r="K26" i="20" s="1"/>
  <c r="I27" i="20"/>
  <c r="K27" i="20" s="1"/>
  <c r="I28" i="20"/>
  <c r="K28" i="20" s="1"/>
  <c r="F29" i="20"/>
  <c r="I29" i="20"/>
  <c r="K29" i="20" s="1"/>
  <c r="I30" i="20"/>
  <c r="K30" i="20" s="1"/>
  <c r="I31" i="20"/>
  <c r="K31" i="20" s="1"/>
  <c r="I32" i="20"/>
  <c r="K32" i="20" s="1"/>
  <c r="I33" i="20"/>
  <c r="K33" i="20" s="1"/>
  <c r="I34" i="20"/>
  <c r="K34" i="20" s="1"/>
  <c r="G36" i="20"/>
  <c r="J36" i="20"/>
  <c r="I40" i="20"/>
  <c r="K40" i="20" s="1"/>
  <c r="I41" i="20"/>
  <c r="K41" i="20" s="1"/>
  <c r="F42" i="20"/>
  <c r="F49" i="20" s="1"/>
  <c r="F142" i="20" s="1"/>
  <c r="I42" i="20"/>
  <c r="K42" i="20" s="1"/>
  <c r="I43" i="20"/>
  <c r="K43" i="20" s="1"/>
  <c r="K44" i="20"/>
  <c r="K45" i="20"/>
  <c r="K46" i="20"/>
  <c r="K47" i="20"/>
  <c r="G49" i="20"/>
  <c r="G142" i="20" s="1"/>
  <c r="H49" i="20"/>
  <c r="I49" i="20"/>
  <c r="I142" i="20" s="1"/>
  <c r="J49" i="20"/>
  <c r="I53" i="20"/>
  <c r="K53" i="20" s="1"/>
  <c r="I54" i="20"/>
  <c r="K54" i="20" s="1"/>
  <c r="K55" i="20"/>
  <c r="I56" i="20"/>
  <c r="K56" i="20"/>
  <c r="I57" i="20"/>
  <c r="K57" i="20"/>
  <c r="I58" i="20"/>
  <c r="K58" i="20"/>
  <c r="I59" i="20"/>
  <c r="K59" i="20"/>
  <c r="I60" i="20"/>
  <c r="K60" i="20"/>
  <c r="I61" i="20"/>
  <c r="K61" i="20"/>
  <c r="H62" i="20"/>
  <c r="I62" i="20"/>
  <c r="K62" i="20" s="1"/>
  <c r="F64" i="20"/>
  <c r="G64" i="20"/>
  <c r="H64" i="20"/>
  <c r="I64" i="20"/>
  <c r="J64" i="20"/>
  <c r="I68" i="20"/>
  <c r="K68" i="20" s="1"/>
  <c r="K69" i="20"/>
  <c r="I70" i="20"/>
  <c r="K70" i="20" s="1"/>
  <c r="I71" i="20"/>
  <c r="K71" i="20" s="1"/>
  <c r="K72" i="20"/>
  <c r="F74" i="20"/>
  <c r="G74" i="20"/>
  <c r="G144" i="20" s="1"/>
  <c r="H74" i="20"/>
  <c r="J74" i="20"/>
  <c r="H77" i="20"/>
  <c r="K77" i="20" s="1"/>
  <c r="K78" i="20"/>
  <c r="F79" i="20"/>
  <c r="F82" i="20" s="1"/>
  <c r="F145" i="20" s="1"/>
  <c r="K79" i="20"/>
  <c r="K80" i="20"/>
  <c r="G82" i="20"/>
  <c r="I82" i="20"/>
  <c r="J82" i="20"/>
  <c r="I86" i="20"/>
  <c r="K86" i="20" s="1"/>
  <c r="I87" i="20"/>
  <c r="K87" i="20" s="1"/>
  <c r="I88" i="20"/>
  <c r="K88" i="20" s="1"/>
  <c r="I89" i="20"/>
  <c r="K89" i="20" s="1"/>
  <c r="I90" i="20"/>
  <c r="K90" i="20" s="1"/>
  <c r="F91" i="20"/>
  <c r="I91" i="20"/>
  <c r="K91" i="20" s="1"/>
  <c r="I92" i="20"/>
  <c r="K92" i="20" s="1"/>
  <c r="F93" i="20"/>
  <c r="I93" i="20"/>
  <c r="K93" i="20" s="1"/>
  <c r="I94" i="20"/>
  <c r="K94" i="20" s="1"/>
  <c r="I95" i="20"/>
  <c r="K95" i="20" s="1"/>
  <c r="I96" i="20"/>
  <c r="K96" i="20" s="1"/>
  <c r="F98" i="20"/>
  <c r="G98" i="20"/>
  <c r="H98" i="20"/>
  <c r="J98" i="20"/>
  <c r="F102" i="20"/>
  <c r="F108" i="20" s="1"/>
  <c r="F147" i="20" s="1"/>
  <c r="I102" i="20"/>
  <c r="K102" i="20" s="1"/>
  <c r="I103" i="20"/>
  <c r="K103" i="20" s="1"/>
  <c r="I104" i="20"/>
  <c r="K104" i="20" s="1"/>
  <c r="I105" i="20"/>
  <c r="K105" i="20" s="1"/>
  <c r="I106" i="20"/>
  <c r="K106" i="20" s="1"/>
  <c r="G108" i="20"/>
  <c r="H108" i="20"/>
  <c r="I108" i="20"/>
  <c r="J108" i="20"/>
  <c r="F118" i="20"/>
  <c r="F119" i="20" s="1"/>
  <c r="F123" i="20" s="1"/>
  <c r="F127" i="20" s="1"/>
  <c r="K131" i="20"/>
  <c r="K137" i="20" s="1"/>
  <c r="K149" i="20" s="1"/>
  <c r="K132" i="20"/>
  <c r="K133" i="20"/>
  <c r="K134" i="20"/>
  <c r="K135" i="20"/>
  <c r="F137" i="20"/>
  <c r="G137" i="20"/>
  <c r="H137" i="20"/>
  <c r="I137" i="20"/>
  <c r="I149" i="20" s="1"/>
  <c r="J137" i="20"/>
  <c r="G141" i="20"/>
  <c r="J141" i="20"/>
  <c r="H142" i="20"/>
  <c r="J142" i="20"/>
  <c r="J152" i="20" s="1"/>
  <c r="F143" i="20"/>
  <c r="G143" i="20"/>
  <c r="H143" i="20"/>
  <c r="I143" i="20"/>
  <c r="J143" i="20"/>
  <c r="F144" i="20"/>
  <c r="H144" i="20"/>
  <c r="J144" i="20"/>
  <c r="G145" i="20"/>
  <c r="I145" i="20"/>
  <c r="J145" i="20"/>
  <c r="F146" i="20"/>
  <c r="G146" i="20"/>
  <c r="H146" i="20"/>
  <c r="J146" i="20"/>
  <c r="G147" i="20"/>
  <c r="H147" i="20"/>
  <c r="I147" i="20"/>
  <c r="J147" i="20"/>
  <c r="K148" i="20"/>
  <c r="F149" i="20"/>
  <c r="G149" i="20"/>
  <c r="H149" i="20"/>
  <c r="J149" i="20"/>
  <c r="H150" i="20"/>
  <c r="I150" i="20"/>
  <c r="J150" i="20"/>
  <c r="K150" i="20"/>
  <c r="I102" i="52" l="1"/>
  <c r="I113" i="52" s="1"/>
  <c r="L31" i="52"/>
  <c r="L103" i="52" s="1"/>
  <c r="K143" i="23"/>
  <c r="K152" i="23" s="1"/>
  <c r="K36" i="52"/>
  <c r="K44" i="52"/>
  <c r="K105" i="52" s="1"/>
  <c r="L42" i="52"/>
  <c r="L44" i="52" s="1"/>
  <c r="L105" i="52" s="1"/>
  <c r="K141" i="24"/>
  <c r="K152" i="24" s="1"/>
  <c r="F155" i="24" s="1"/>
  <c r="H152" i="20"/>
  <c r="F152" i="20"/>
  <c r="F152" i="21"/>
  <c r="G152" i="20"/>
  <c r="J152" i="21"/>
  <c r="K36" i="21"/>
  <c r="K141" i="21" s="1"/>
  <c r="I74" i="20"/>
  <c r="I144" i="20" s="1"/>
  <c r="K49" i="21"/>
  <c r="K142" i="21" s="1"/>
  <c r="I98" i="20"/>
  <c r="I146" i="20" s="1"/>
  <c r="I22" i="20"/>
  <c r="K82" i="21"/>
  <c r="K145" i="21" s="1"/>
  <c r="K69" i="21"/>
  <c r="K74" i="21" s="1"/>
  <c r="K144" i="21" s="1"/>
  <c r="I49" i="21"/>
  <c r="I142" i="21" s="1"/>
  <c r="I36" i="21"/>
  <c r="I141" i="21" s="1"/>
  <c r="K82" i="20"/>
  <c r="K145" i="20" s="1"/>
  <c r="K74" i="20"/>
  <c r="K144" i="20" s="1"/>
  <c r="F154" i="30"/>
  <c r="F155" i="30"/>
  <c r="H82" i="20"/>
  <c r="H145" i="20" s="1"/>
  <c r="I137" i="21"/>
  <c r="I149" i="21" s="1"/>
  <c r="I98" i="21"/>
  <c r="I146" i="21" s="1"/>
  <c r="I64" i="21"/>
  <c r="I143" i="21" s="1"/>
  <c r="K53" i="21"/>
  <c r="K64" i="21" s="1"/>
  <c r="K143" i="21" s="1"/>
  <c r="K137" i="21"/>
  <c r="K149" i="21" s="1"/>
  <c r="K98" i="21"/>
  <c r="K146" i="21" s="1"/>
  <c r="I82" i="21"/>
  <c r="I145" i="21" s="1"/>
  <c r="K49" i="20"/>
  <c r="K142" i="20" s="1"/>
  <c r="K108" i="20"/>
  <c r="K147" i="20" s="1"/>
  <c r="K98" i="20"/>
  <c r="K146" i="20" s="1"/>
  <c r="K64" i="20"/>
  <c r="K143" i="20" s="1"/>
  <c r="H18" i="17"/>
  <c r="K18" i="17" s="1"/>
  <c r="K150" i="17" s="1"/>
  <c r="I18" i="17"/>
  <c r="J18" i="17"/>
  <c r="F21" i="17"/>
  <c r="G21" i="17"/>
  <c r="H21" i="17"/>
  <c r="J21" i="17"/>
  <c r="F22" i="17"/>
  <c r="F36" i="17" s="1"/>
  <c r="F141" i="17" s="1"/>
  <c r="G22" i="17"/>
  <c r="H22" i="17"/>
  <c r="I22" i="17" s="1"/>
  <c r="J22" i="17"/>
  <c r="J36" i="17" s="1"/>
  <c r="J141" i="17" s="1"/>
  <c r="F23" i="17"/>
  <c r="G23" i="17"/>
  <c r="H23" i="17"/>
  <c r="J23" i="17"/>
  <c r="F24" i="17"/>
  <c r="G24" i="17"/>
  <c r="H24" i="17"/>
  <c r="I24" i="17" s="1"/>
  <c r="J24" i="17"/>
  <c r="F25" i="17"/>
  <c r="G25" i="17"/>
  <c r="H25" i="17"/>
  <c r="J25" i="17"/>
  <c r="F26" i="17"/>
  <c r="G26" i="17"/>
  <c r="H26" i="17"/>
  <c r="I26" i="17" s="1"/>
  <c r="J26" i="17"/>
  <c r="I27" i="17"/>
  <c r="K27" i="17" s="1"/>
  <c r="F28" i="17"/>
  <c r="G28" i="17"/>
  <c r="H28" i="17"/>
  <c r="I28" i="17" s="1"/>
  <c r="J28" i="17"/>
  <c r="F29" i="17"/>
  <c r="G29" i="17"/>
  <c r="H29" i="17"/>
  <c r="K29" i="17" s="1"/>
  <c r="I29" i="17"/>
  <c r="J29" i="17"/>
  <c r="F30" i="17"/>
  <c r="G30" i="17"/>
  <c r="H30" i="17"/>
  <c r="I30" i="17" s="1"/>
  <c r="J30" i="17"/>
  <c r="I31" i="17"/>
  <c r="K31" i="17" s="1"/>
  <c r="I32" i="17"/>
  <c r="K32" i="17" s="1"/>
  <c r="I33" i="17"/>
  <c r="K33" i="17" s="1"/>
  <c r="I34" i="17"/>
  <c r="K34" i="17" s="1"/>
  <c r="G36" i="17"/>
  <c r="H36" i="17"/>
  <c r="H141" i="17" s="1"/>
  <c r="F40" i="17"/>
  <c r="F49" i="17" s="1"/>
  <c r="F142" i="17" s="1"/>
  <c r="G40" i="17"/>
  <c r="H40" i="17"/>
  <c r="H49" i="17" s="1"/>
  <c r="H142" i="17" s="1"/>
  <c r="J40" i="17"/>
  <c r="J49" i="17" s="1"/>
  <c r="J142" i="17" s="1"/>
  <c r="F41" i="17"/>
  <c r="G41" i="17"/>
  <c r="H41" i="17"/>
  <c r="J41" i="17"/>
  <c r="K41" i="17"/>
  <c r="F42" i="17"/>
  <c r="G42" i="17"/>
  <c r="H42" i="17"/>
  <c r="J42" i="17"/>
  <c r="K42" i="17" s="1"/>
  <c r="F43" i="17"/>
  <c r="G43" i="17"/>
  <c r="H43" i="17"/>
  <c r="K43" i="17" s="1"/>
  <c r="J43" i="17"/>
  <c r="F44" i="17"/>
  <c r="G44" i="17"/>
  <c r="H44" i="17"/>
  <c r="J44" i="17"/>
  <c r="K45" i="17"/>
  <c r="K46" i="17"/>
  <c r="K47" i="17"/>
  <c r="G49" i="17"/>
  <c r="I49" i="17"/>
  <c r="I142" i="17" s="1"/>
  <c r="F53" i="17"/>
  <c r="G53" i="17"/>
  <c r="H53" i="17"/>
  <c r="J53" i="17"/>
  <c r="F54" i="17"/>
  <c r="G54" i="17"/>
  <c r="H54" i="17"/>
  <c r="K54" i="17" s="1"/>
  <c r="J54" i="17"/>
  <c r="F55" i="17"/>
  <c r="G55" i="17"/>
  <c r="G64" i="17" s="1"/>
  <c r="G143" i="17" s="1"/>
  <c r="G152" i="17" s="1"/>
  <c r="H55" i="17"/>
  <c r="J55" i="17"/>
  <c r="K55" i="17" s="1"/>
  <c r="G56" i="17"/>
  <c r="H56" i="17"/>
  <c r="J56" i="17"/>
  <c r="K56" i="17" s="1"/>
  <c r="F57" i="17"/>
  <c r="G57" i="17"/>
  <c r="H57" i="17"/>
  <c r="J57" i="17"/>
  <c r="F58" i="17"/>
  <c r="G58" i="17"/>
  <c r="H58" i="17"/>
  <c r="J58" i="17"/>
  <c r="K58" i="17"/>
  <c r="F59" i="17"/>
  <c r="G59" i="17"/>
  <c r="H59" i="17"/>
  <c r="J59" i="17"/>
  <c r="K59" i="17" s="1"/>
  <c r="F60" i="17"/>
  <c r="G60" i="17"/>
  <c r="H60" i="17"/>
  <c r="K60" i="17" s="1"/>
  <c r="J60" i="17"/>
  <c r="F61" i="17"/>
  <c r="G61" i="17"/>
  <c r="H61" i="17"/>
  <c r="J61" i="17"/>
  <c r="F62" i="17"/>
  <c r="G62" i="17"/>
  <c r="H62" i="17"/>
  <c r="K62" i="17" s="1"/>
  <c r="J62" i="17"/>
  <c r="H64" i="17"/>
  <c r="I64" i="17"/>
  <c r="K68" i="17"/>
  <c r="K74" i="17" s="1"/>
  <c r="K144" i="17" s="1"/>
  <c r="F69" i="17"/>
  <c r="G69" i="17"/>
  <c r="H69" i="17"/>
  <c r="J69" i="17"/>
  <c r="K69" i="17"/>
  <c r="K70" i="17"/>
  <c r="K71" i="17"/>
  <c r="K72" i="17"/>
  <c r="F74" i="17"/>
  <c r="F144" i="17" s="1"/>
  <c r="G74" i="17"/>
  <c r="H74" i="17"/>
  <c r="H144" i="17" s="1"/>
  <c r="I74" i="17"/>
  <c r="J74" i="17"/>
  <c r="J144" i="17" s="1"/>
  <c r="F77" i="17"/>
  <c r="F82" i="17" s="1"/>
  <c r="F145" i="17" s="1"/>
  <c r="G77" i="17"/>
  <c r="H77" i="17"/>
  <c r="H82" i="17" s="1"/>
  <c r="H145" i="17" s="1"/>
  <c r="J77" i="17"/>
  <c r="K78" i="17"/>
  <c r="F79" i="17"/>
  <c r="G79" i="17"/>
  <c r="H79" i="17"/>
  <c r="J79" i="17"/>
  <c r="K79" i="17"/>
  <c r="F80" i="17"/>
  <c r="G80" i="17"/>
  <c r="H80" i="17"/>
  <c r="I80" i="17"/>
  <c r="K80" i="17" s="1"/>
  <c r="J80" i="17"/>
  <c r="G82" i="17"/>
  <c r="G145" i="17" s="1"/>
  <c r="J82" i="17"/>
  <c r="J145" i="17" s="1"/>
  <c r="F86" i="17"/>
  <c r="G86" i="17"/>
  <c r="H86" i="17"/>
  <c r="I86" i="17"/>
  <c r="K86" i="17" s="1"/>
  <c r="J86" i="17"/>
  <c r="F87" i="17"/>
  <c r="F98" i="17" s="1"/>
  <c r="F146" i="17" s="1"/>
  <c r="G87" i="17"/>
  <c r="G98" i="17" s="1"/>
  <c r="G146" i="17" s="1"/>
  <c r="H87" i="17"/>
  <c r="I87" i="17"/>
  <c r="J87" i="17"/>
  <c r="K87" i="17"/>
  <c r="F88" i="17"/>
  <c r="G88" i="17"/>
  <c r="H88" i="17"/>
  <c r="I88" i="17"/>
  <c r="K88" i="17" s="1"/>
  <c r="J88" i="17"/>
  <c r="F89" i="17"/>
  <c r="G89" i="17"/>
  <c r="H89" i="17"/>
  <c r="I89" i="17"/>
  <c r="J89" i="17"/>
  <c r="K89" i="17"/>
  <c r="F90" i="17"/>
  <c r="G90" i="17"/>
  <c r="H90" i="17"/>
  <c r="I90" i="17"/>
  <c r="K90" i="17" s="1"/>
  <c r="J90" i="17"/>
  <c r="F91" i="17"/>
  <c r="G91" i="17"/>
  <c r="H91" i="17"/>
  <c r="I91" i="17"/>
  <c r="J91" i="17"/>
  <c r="K91" i="17"/>
  <c r="F92" i="17"/>
  <c r="G92" i="17"/>
  <c r="H92" i="17"/>
  <c r="I92" i="17"/>
  <c r="K92" i="17" s="1"/>
  <c r="J92" i="17"/>
  <c r="F93" i="17"/>
  <c r="G93" i="17"/>
  <c r="H93" i="17"/>
  <c r="I93" i="17"/>
  <c r="J93" i="17"/>
  <c r="K93" i="17"/>
  <c r="F94" i="17"/>
  <c r="G94" i="17"/>
  <c r="H94" i="17"/>
  <c r="I94" i="17"/>
  <c r="K94" i="17" s="1"/>
  <c r="J94" i="17"/>
  <c r="K95" i="17"/>
  <c r="I96" i="17"/>
  <c r="K96" i="17" s="1"/>
  <c r="H98" i="17"/>
  <c r="H146" i="17" s="1"/>
  <c r="J98" i="17"/>
  <c r="J146" i="17" s="1"/>
  <c r="F102" i="17"/>
  <c r="G102" i="17"/>
  <c r="G108" i="17" s="1"/>
  <c r="G147" i="17" s="1"/>
  <c r="H102" i="17"/>
  <c r="I102" i="17"/>
  <c r="J102" i="17"/>
  <c r="F103" i="17"/>
  <c r="G103" i="17"/>
  <c r="H103" i="17"/>
  <c r="I103" i="17" s="1"/>
  <c r="J103" i="17"/>
  <c r="F104" i="17"/>
  <c r="G104" i="17"/>
  <c r="H104" i="17"/>
  <c r="I104" i="17" s="1"/>
  <c r="J104" i="17"/>
  <c r="I105" i="17"/>
  <c r="K105" i="17" s="1"/>
  <c r="I106" i="17"/>
  <c r="K106" i="17" s="1"/>
  <c r="F108" i="17"/>
  <c r="F147" i="17" s="1"/>
  <c r="J108" i="17"/>
  <c r="F111" i="17"/>
  <c r="K148" i="17" s="1"/>
  <c r="F117" i="17"/>
  <c r="F118" i="17"/>
  <c r="F119" i="17" s="1"/>
  <c r="F123" i="17" s="1"/>
  <c r="F121" i="17"/>
  <c r="F125" i="17"/>
  <c r="K131" i="17"/>
  <c r="K132" i="17"/>
  <c r="K137" i="17" s="1"/>
  <c r="K149" i="17" s="1"/>
  <c r="K133" i="17"/>
  <c r="K134" i="17"/>
  <c r="K135" i="17"/>
  <c r="F137" i="17"/>
  <c r="G137" i="17"/>
  <c r="G149" i="17" s="1"/>
  <c r="H137" i="17"/>
  <c r="H149" i="17" s="1"/>
  <c r="I137" i="17"/>
  <c r="J137" i="17"/>
  <c r="G141" i="17"/>
  <c r="G142" i="17"/>
  <c r="H143" i="17"/>
  <c r="I143" i="17"/>
  <c r="G144" i="17"/>
  <c r="I144" i="17"/>
  <c r="J147" i="17"/>
  <c r="F149" i="17"/>
  <c r="I149" i="17"/>
  <c r="J149" i="17"/>
  <c r="H150" i="17"/>
  <c r="I150" i="17"/>
  <c r="J150" i="17"/>
  <c r="F155" i="23" l="1"/>
  <c r="F154" i="23"/>
  <c r="L36" i="52"/>
  <c r="L104" i="52" s="1"/>
  <c r="K104" i="52"/>
  <c r="L18" i="52"/>
  <c r="L20" i="52" s="1"/>
  <c r="L102" i="52" s="1"/>
  <c r="F154" i="24"/>
  <c r="H152" i="17"/>
  <c r="K25" i="17"/>
  <c r="K21" i="17"/>
  <c r="J152" i="17"/>
  <c r="K98" i="17"/>
  <c r="K146" i="17" s="1"/>
  <c r="F127" i="17"/>
  <c r="H108" i="17"/>
  <c r="H147" i="17" s="1"/>
  <c r="I82" i="17"/>
  <c r="I145" i="17" s="1"/>
  <c r="K77" i="17"/>
  <c r="K82" i="17" s="1"/>
  <c r="K145" i="17" s="1"/>
  <c r="J64" i="17"/>
  <c r="J143" i="17" s="1"/>
  <c r="F64" i="17"/>
  <c r="F143" i="17" s="1"/>
  <c r="F152" i="17" s="1"/>
  <c r="K61" i="17"/>
  <c r="K53" i="17"/>
  <c r="K64" i="17" s="1"/>
  <c r="K143" i="17" s="1"/>
  <c r="K44" i="17"/>
  <c r="K30" i="17"/>
  <c r="K28" i="17"/>
  <c r="K26" i="17"/>
  <c r="I25" i="17"/>
  <c r="K24" i="17"/>
  <c r="I23" i="17"/>
  <c r="K23" i="17" s="1"/>
  <c r="K22" i="17"/>
  <c r="I21" i="17"/>
  <c r="K152" i="21"/>
  <c r="F154" i="21" s="1"/>
  <c r="K22" i="20"/>
  <c r="K36" i="20" s="1"/>
  <c r="K141" i="20" s="1"/>
  <c r="I36" i="20"/>
  <c r="I141" i="20" s="1"/>
  <c r="I152" i="20" s="1"/>
  <c r="K102" i="17"/>
  <c r="K57" i="17"/>
  <c r="K40" i="17"/>
  <c r="F155" i="21"/>
  <c r="I152" i="21"/>
  <c r="K152" i="20"/>
  <c r="K103" i="17"/>
  <c r="K108" i="17" s="1"/>
  <c r="K147" i="17" s="1"/>
  <c r="I108" i="17"/>
  <c r="I147" i="17" s="1"/>
  <c r="K49" i="17"/>
  <c r="K142" i="17" s="1"/>
  <c r="K104" i="17"/>
  <c r="I98" i="17"/>
  <c r="I146" i="17" s="1"/>
  <c r="K113" i="52" l="1"/>
  <c r="K152" i="17"/>
  <c r="F154" i="17" s="1"/>
  <c r="I152" i="17"/>
  <c r="K36" i="17"/>
  <c r="K141" i="17" s="1"/>
  <c r="I36" i="17"/>
  <c r="I141" i="17" s="1"/>
  <c r="F154" i="20"/>
  <c r="F155" i="20"/>
  <c r="D117" i="52" l="1"/>
  <c r="F117" i="52"/>
  <c r="L113" i="52"/>
  <c r="F155" i="17"/>
  <c r="K18" i="16"/>
  <c r="F21" i="16"/>
  <c r="F36" i="16" s="1"/>
  <c r="F141" i="16" s="1"/>
  <c r="I21" i="16"/>
  <c r="K21" i="16" s="1"/>
  <c r="I22" i="16"/>
  <c r="K22" i="16" s="1"/>
  <c r="I23" i="16"/>
  <c r="K23" i="16" s="1"/>
  <c r="F24" i="16"/>
  <c r="I24" i="16"/>
  <c r="K24" i="16" s="1"/>
  <c r="I25" i="16"/>
  <c r="K25" i="16"/>
  <c r="I26" i="16"/>
  <c r="K26" i="16" s="1"/>
  <c r="I27" i="16"/>
  <c r="K27" i="16"/>
  <c r="I28" i="16"/>
  <c r="K28" i="16" s="1"/>
  <c r="F29" i="16"/>
  <c r="I29" i="16"/>
  <c r="K29" i="16" s="1"/>
  <c r="I30" i="16"/>
  <c r="K30" i="16" s="1"/>
  <c r="I31" i="16"/>
  <c r="K31" i="16" s="1"/>
  <c r="I32" i="16"/>
  <c r="K32" i="16" s="1"/>
  <c r="I33" i="16"/>
  <c r="K33" i="16" s="1"/>
  <c r="I34" i="16"/>
  <c r="K34" i="16" s="1"/>
  <c r="G36" i="16"/>
  <c r="H36" i="16"/>
  <c r="I36" i="16"/>
  <c r="I141" i="16" s="1"/>
  <c r="J36" i="16"/>
  <c r="I40" i="16"/>
  <c r="I49" i="16" s="1"/>
  <c r="I142" i="16" s="1"/>
  <c r="K40" i="16"/>
  <c r="I41" i="16"/>
  <c r="K41" i="16" s="1"/>
  <c r="K49" i="16" s="1"/>
  <c r="K142" i="16" s="1"/>
  <c r="I42" i="16"/>
  <c r="K42" i="16"/>
  <c r="I43" i="16"/>
  <c r="K43" i="16" s="1"/>
  <c r="K44" i="16"/>
  <c r="K45" i="16"/>
  <c r="K46" i="16"/>
  <c r="K47" i="16"/>
  <c r="F49" i="16"/>
  <c r="G49" i="16"/>
  <c r="H49" i="16"/>
  <c r="H142" i="16" s="1"/>
  <c r="J49" i="16"/>
  <c r="I53" i="16"/>
  <c r="K53" i="16" s="1"/>
  <c r="I54" i="16"/>
  <c r="K54" i="16"/>
  <c r="I55" i="16"/>
  <c r="K55" i="16" s="1"/>
  <c r="I56" i="16"/>
  <c r="K56" i="16"/>
  <c r="I57" i="16"/>
  <c r="K57" i="16" s="1"/>
  <c r="I58" i="16"/>
  <c r="K58" i="16"/>
  <c r="I59" i="16"/>
  <c r="K59" i="16" s="1"/>
  <c r="I60" i="16"/>
  <c r="K60" i="16"/>
  <c r="I61" i="16"/>
  <c r="K61" i="16" s="1"/>
  <c r="K62" i="16"/>
  <c r="F64" i="16"/>
  <c r="F143" i="16" s="1"/>
  <c r="G64" i="16"/>
  <c r="G143" i="16" s="1"/>
  <c r="H64" i="16"/>
  <c r="J64" i="16"/>
  <c r="J143" i="16" s="1"/>
  <c r="I68" i="16"/>
  <c r="K68" i="16" s="1"/>
  <c r="K69" i="16"/>
  <c r="I70" i="16"/>
  <c r="K70" i="16"/>
  <c r="I71" i="16"/>
  <c r="K71" i="16" s="1"/>
  <c r="K72" i="16"/>
  <c r="F74" i="16"/>
  <c r="F144" i="16" s="1"/>
  <c r="G74" i="16"/>
  <c r="G144" i="16" s="1"/>
  <c r="H74" i="16"/>
  <c r="J74" i="16"/>
  <c r="J144" i="16" s="1"/>
  <c r="K77" i="16"/>
  <c r="K82" i="16" s="1"/>
  <c r="K145" i="16" s="1"/>
  <c r="K78" i="16"/>
  <c r="K79" i="16"/>
  <c r="K80" i="16"/>
  <c r="F82" i="16"/>
  <c r="F145" i="16" s="1"/>
  <c r="G82" i="16"/>
  <c r="H82" i="16"/>
  <c r="I82" i="16"/>
  <c r="I145" i="16" s="1"/>
  <c r="J82" i="16"/>
  <c r="J145" i="16" s="1"/>
  <c r="I86" i="16"/>
  <c r="K86" i="16" s="1"/>
  <c r="I87" i="16"/>
  <c r="K87" i="16" s="1"/>
  <c r="H88" i="16"/>
  <c r="I88" i="16" s="1"/>
  <c r="I89" i="16"/>
  <c r="K89" i="16"/>
  <c r="I90" i="16"/>
  <c r="K90" i="16"/>
  <c r="I91" i="16"/>
  <c r="K91" i="16"/>
  <c r="I92" i="16"/>
  <c r="K92" i="16"/>
  <c r="I93" i="16"/>
  <c r="K93" i="16"/>
  <c r="I94" i="16"/>
  <c r="K94" i="16"/>
  <c r="I95" i="16"/>
  <c r="K95" i="16"/>
  <c r="I96" i="16"/>
  <c r="K96" i="16"/>
  <c r="F98" i="16"/>
  <c r="G98" i="16"/>
  <c r="J98" i="16"/>
  <c r="I102" i="16"/>
  <c r="K102" i="16"/>
  <c r="I103" i="16"/>
  <c r="I108" i="16" s="1"/>
  <c r="I147" i="16" s="1"/>
  <c r="K103" i="16"/>
  <c r="I104" i="16"/>
  <c r="K104" i="16"/>
  <c r="I105" i="16"/>
  <c r="K105" i="16"/>
  <c r="I106" i="16"/>
  <c r="K106" i="16"/>
  <c r="F108" i="16"/>
  <c r="F147" i="16" s="1"/>
  <c r="G108" i="16"/>
  <c r="G147" i="16" s="1"/>
  <c r="H108" i="16"/>
  <c r="J108" i="16"/>
  <c r="J147" i="16" s="1"/>
  <c r="K108" i="16"/>
  <c r="K147" i="16" s="1"/>
  <c r="F119" i="16"/>
  <c r="F127" i="16"/>
  <c r="K131" i="16"/>
  <c r="K137" i="16" s="1"/>
  <c r="K149" i="16" s="1"/>
  <c r="K132" i="16"/>
  <c r="K133" i="16"/>
  <c r="K134" i="16"/>
  <c r="K135" i="16"/>
  <c r="F137" i="16"/>
  <c r="G137" i="16"/>
  <c r="H137" i="16"/>
  <c r="I137" i="16"/>
  <c r="J137" i="16"/>
  <c r="G141" i="16"/>
  <c r="H141" i="16"/>
  <c r="J141" i="16"/>
  <c r="F142" i="16"/>
  <c r="G142" i="16"/>
  <c r="J142" i="16"/>
  <c r="H143" i="16"/>
  <c r="H144" i="16"/>
  <c r="G145" i="16"/>
  <c r="H145" i="16"/>
  <c r="F146" i="16"/>
  <c r="G146" i="16"/>
  <c r="J146" i="16"/>
  <c r="H147" i="16"/>
  <c r="K148" i="16"/>
  <c r="F149" i="16"/>
  <c r="G149" i="16"/>
  <c r="H149" i="16"/>
  <c r="I149" i="16"/>
  <c r="J149" i="16"/>
  <c r="H150" i="16"/>
  <c r="I150" i="16"/>
  <c r="J150" i="16"/>
  <c r="K150" i="16"/>
  <c r="K18" i="15"/>
  <c r="K21" i="15"/>
  <c r="I22" i="15"/>
  <c r="K22" i="15" s="1"/>
  <c r="I23" i="15"/>
  <c r="K23" i="15" s="1"/>
  <c r="K24" i="15"/>
  <c r="I25" i="15"/>
  <c r="K25" i="15"/>
  <c r="I26" i="15"/>
  <c r="K26" i="15"/>
  <c r="I27" i="15"/>
  <c r="K27" i="15"/>
  <c r="I28" i="15"/>
  <c r="K28" i="15"/>
  <c r="K29" i="15"/>
  <c r="K30" i="15"/>
  <c r="I31" i="15"/>
  <c r="K31" i="15"/>
  <c r="I32" i="15"/>
  <c r="K32" i="15"/>
  <c r="I33" i="15"/>
  <c r="K33" i="15"/>
  <c r="I34" i="15"/>
  <c r="K34" i="15"/>
  <c r="F36" i="15"/>
  <c r="G36" i="15"/>
  <c r="H36" i="15"/>
  <c r="H141" i="15" s="1"/>
  <c r="I36" i="15"/>
  <c r="I141" i="15" s="1"/>
  <c r="J36" i="15"/>
  <c r="K40" i="15"/>
  <c r="J41" i="15"/>
  <c r="K41" i="15" s="1"/>
  <c r="K42" i="15"/>
  <c r="K43" i="15"/>
  <c r="K44" i="15"/>
  <c r="K45" i="15"/>
  <c r="K46" i="15"/>
  <c r="K47" i="15"/>
  <c r="F49" i="15"/>
  <c r="G49" i="15"/>
  <c r="G142" i="15" s="1"/>
  <c r="H49" i="15"/>
  <c r="H142" i="15" s="1"/>
  <c r="I49" i="15"/>
  <c r="K53" i="15"/>
  <c r="K54" i="15"/>
  <c r="K55" i="15"/>
  <c r="K56" i="15"/>
  <c r="K57" i="15"/>
  <c r="K58" i="15"/>
  <c r="K59" i="15"/>
  <c r="K60" i="15"/>
  <c r="K61" i="15"/>
  <c r="K62" i="15"/>
  <c r="F64" i="15"/>
  <c r="G64" i="15"/>
  <c r="H64" i="15"/>
  <c r="I64" i="15"/>
  <c r="I143" i="15" s="1"/>
  <c r="J64" i="15"/>
  <c r="K68" i="15"/>
  <c r="K69" i="15"/>
  <c r="K70" i="15"/>
  <c r="K74" i="15" s="1"/>
  <c r="K144" i="15" s="1"/>
  <c r="K71" i="15"/>
  <c r="K72" i="15"/>
  <c r="F74" i="15"/>
  <c r="G74" i="15"/>
  <c r="H74" i="15"/>
  <c r="I74" i="15"/>
  <c r="J74" i="15"/>
  <c r="K77" i="15"/>
  <c r="K78" i="15"/>
  <c r="K79" i="15"/>
  <c r="K82" i="15" s="1"/>
  <c r="K145" i="15" s="1"/>
  <c r="K80" i="15"/>
  <c r="F82" i="15"/>
  <c r="G82" i="15"/>
  <c r="H82" i="15"/>
  <c r="I82" i="15"/>
  <c r="J82" i="15"/>
  <c r="K86" i="15"/>
  <c r="K87" i="15"/>
  <c r="K88" i="15"/>
  <c r="I89" i="15"/>
  <c r="K89" i="15" s="1"/>
  <c r="I90" i="15"/>
  <c r="K90" i="15" s="1"/>
  <c r="I91" i="15"/>
  <c r="K91" i="15" s="1"/>
  <c r="K92" i="15"/>
  <c r="I93" i="15"/>
  <c r="K93" i="15"/>
  <c r="I94" i="15"/>
  <c r="K94" i="15" s="1"/>
  <c r="I95" i="15"/>
  <c r="K95" i="15"/>
  <c r="I96" i="15"/>
  <c r="K96" i="15" s="1"/>
  <c r="F98" i="15"/>
  <c r="G98" i="15"/>
  <c r="H98" i="15"/>
  <c r="H146" i="15" s="1"/>
  <c r="J98" i="15"/>
  <c r="K102" i="15"/>
  <c r="K103" i="15"/>
  <c r="K104" i="15"/>
  <c r="I105" i="15"/>
  <c r="K105" i="15" s="1"/>
  <c r="I106" i="15"/>
  <c r="K106" i="15" s="1"/>
  <c r="F108" i="15"/>
  <c r="F147" i="15" s="1"/>
  <c r="G108" i="15"/>
  <c r="H108" i="15"/>
  <c r="H147" i="15" s="1"/>
  <c r="J108" i="15"/>
  <c r="J147" i="15" s="1"/>
  <c r="F119" i="15"/>
  <c r="F123" i="15" s="1"/>
  <c r="K131" i="15"/>
  <c r="K132" i="15"/>
  <c r="K133" i="15"/>
  <c r="K134" i="15"/>
  <c r="K137" i="15" s="1"/>
  <c r="K149" i="15" s="1"/>
  <c r="K135" i="15"/>
  <c r="F137" i="15"/>
  <c r="G137" i="15"/>
  <c r="G149" i="15" s="1"/>
  <c r="H137" i="15"/>
  <c r="H149" i="15" s="1"/>
  <c r="I137" i="15"/>
  <c r="I149" i="15" s="1"/>
  <c r="J137" i="15"/>
  <c r="F141" i="15"/>
  <c r="G141" i="15"/>
  <c r="J141" i="15"/>
  <c r="F142" i="15"/>
  <c r="I142" i="15"/>
  <c r="F143" i="15"/>
  <c r="G143" i="15"/>
  <c r="H143" i="15"/>
  <c r="J143" i="15"/>
  <c r="F144" i="15"/>
  <c r="G144" i="15"/>
  <c r="H144" i="15"/>
  <c r="I144" i="15"/>
  <c r="J144" i="15"/>
  <c r="F145" i="15"/>
  <c r="G145" i="15"/>
  <c r="H145" i="15"/>
  <c r="I145" i="15"/>
  <c r="J145" i="15"/>
  <c r="F146" i="15"/>
  <c r="G146" i="15"/>
  <c r="J146" i="15"/>
  <c r="G147" i="15"/>
  <c r="K148" i="15"/>
  <c r="F149" i="15"/>
  <c r="J149" i="15"/>
  <c r="H150" i="15"/>
  <c r="I150" i="15"/>
  <c r="J150" i="15"/>
  <c r="K150" i="15"/>
  <c r="K18" i="14"/>
  <c r="K21" i="14"/>
  <c r="K22" i="14"/>
  <c r="I23" i="14"/>
  <c r="K23" i="14" s="1"/>
  <c r="K24" i="14"/>
  <c r="I25" i="14"/>
  <c r="K25" i="14" s="1"/>
  <c r="I26" i="14"/>
  <c r="K26" i="14" s="1"/>
  <c r="I27" i="14"/>
  <c r="K27" i="14" s="1"/>
  <c r="I28" i="14"/>
  <c r="K28" i="14" s="1"/>
  <c r="K29" i="14"/>
  <c r="I30" i="14"/>
  <c r="K30" i="14"/>
  <c r="I31" i="14"/>
  <c r="K31" i="14"/>
  <c r="I32" i="14"/>
  <c r="K32" i="14"/>
  <c r="I33" i="14"/>
  <c r="K33" i="14"/>
  <c r="I34" i="14"/>
  <c r="K34" i="14"/>
  <c r="F36" i="14"/>
  <c r="G36" i="14"/>
  <c r="H36" i="14"/>
  <c r="H141" i="14" s="1"/>
  <c r="I36" i="14"/>
  <c r="I141" i="14" s="1"/>
  <c r="J36" i="14"/>
  <c r="K40" i="14"/>
  <c r="K41" i="14"/>
  <c r="K42" i="14"/>
  <c r="K49" i="14" s="1"/>
  <c r="K142" i="14" s="1"/>
  <c r="K43" i="14"/>
  <c r="K44" i="14"/>
  <c r="K45" i="14"/>
  <c r="K46" i="14"/>
  <c r="K47" i="14"/>
  <c r="F49" i="14"/>
  <c r="G49" i="14"/>
  <c r="G142" i="14" s="1"/>
  <c r="H49" i="14"/>
  <c r="H142" i="14" s="1"/>
  <c r="I49" i="14"/>
  <c r="J49" i="14"/>
  <c r="K53" i="14"/>
  <c r="K64" i="14" s="1"/>
  <c r="K143" i="14" s="1"/>
  <c r="K54" i="14"/>
  <c r="K55" i="14"/>
  <c r="K56" i="14"/>
  <c r="K57" i="14"/>
  <c r="K58" i="14"/>
  <c r="K59" i="14"/>
  <c r="K60" i="14"/>
  <c r="K61" i="14"/>
  <c r="K62" i="14"/>
  <c r="F64" i="14"/>
  <c r="G64" i="14"/>
  <c r="H64" i="14"/>
  <c r="I64" i="14"/>
  <c r="J64" i="14"/>
  <c r="K68" i="14"/>
  <c r="K74" i="14" s="1"/>
  <c r="K144" i="14" s="1"/>
  <c r="K69" i="14"/>
  <c r="K70" i="14"/>
  <c r="K71" i="14"/>
  <c r="K72" i="14"/>
  <c r="F74" i="14"/>
  <c r="G74" i="14"/>
  <c r="H74" i="14"/>
  <c r="H144" i="14" s="1"/>
  <c r="I74" i="14"/>
  <c r="I144" i="14" s="1"/>
  <c r="J74" i="14"/>
  <c r="K77" i="14"/>
  <c r="K78" i="14"/>
  <c r="K79" i="14"/>
  <c r="K80" i="14"/>
  <c r="F82" i="14"/>
  <c r="F145" i="14" s="1"/>
  <c r="G82" i="14"/>
  <c r="G145" i="14" s="1"/>
  <c r="H82" i="14"/>
  <c r="I82" i="14"/>
  <c r="J82" i="14"/>
  <c r="J145" i="14" s="1"/>
  <c r="K82" i="14"/>
  <c r="K145" i="14" s="1"/>
  <c r="K86" i="14"/>
  <c r="I87" i="14"/>
  <c r="K87" i="14"/>
  <c r="K88" i="14"/>
  <c r="I89" i="14"/>
  <c r="K89" i="14" s="1"/>
  <c r="K90" i="14"/>
  <c r="K91" i="14"/>
  <c r="K92" i="14"/>
  <c r="K93" i="14"/>
  <c r="I94" i="14"/>
  <c r="K94" i="14" s="1"/>
  <c r="I95" i="14"/>
  <c r="K95" i="14" s="1"/>
  <c r="I96" i="14"/>
  <c r="K96" i="14" s="1"/>
  <c r="F98" i="14"/>
  <c r="G98" i="14"/>
  <c r="H98" i="14"/>
  <c r="H146" i="14" s="1"/>
  <c r="I98" i="14"/>
  <c r="I146" i="14" s="1"/>
  <c r="J98" i="14"/>
  <c r="K102" i="14"/>
  <c r="K103" i="14"/>
  <c r="K104" i="14"/>
  <c r="I105" i="14"/>
  <c r="K105" i="14" s="1"/>
  <c r="I106" i="14"/>
  <c r="K106" i="14"/>
  <c r="F108" i="14"/>
  <c r="G108" i="14"/>
  <c r="H108" i="14"/>
  <c r="I108" i="14"/>
  <c r="J108" i="14"/>
  <c r="F119" i="14"/>
  <c r="K131" i="14"/>
  <c r="K137" i="14" s="1"/>
  <c r="K149" i="14" s="1"/>
  <c r="K132" i="14"/>
  <c r="K133" i="14"/>
  <c r="K134" i="14"/>
  <c r="K135" i="14"/>
  <c r="F137" i="14"/>
  <c r="G137" i="14"/>
  <c r="H137" i="14"/>
  <c r="H149" i="14" s="1"/>
  <c r="I137" i="14"/>
  <c r="I149" i="14" s="1"/>
  <c r="J137" i="14"/>
  <c r="F141" i="14"/>
  <c r="G141" i="14"/>
  <c r="G152" i="14" s="1"/>
  <c r="J141" i="14"/>
  <c r="F142" i="14"/>
  <c r="I142" i="14"/>
  <c r="J142" i="14"/>
  <c r="F143" i="14"/>
  <c r="G143" i="14"/>
  <c r="H143" i="14"/>
  <c r="I143" i="14"/>
  <c r="J143" i="14"/>
  <c r="F144" i="14"/>
  <c r="G144" i="14"/>
  <c r="J144" i="14"/>
  <c r="H145" i="14"/>
  <c r="I145" i="14"/>
  <c r="F146" i="14"/>
  <c r="G146" i="14"/>
  <c r="J146" i="14"/>
  <c r="F147" i="14"/>
  <c r="G147" i="14"/>
  <c r="H147" i="14"/>
  <c r="I147" i="14"/>
  <c r="J147" i="14"/>
  <c r="K148" i="14"/>
  <c r="F149" i="14"/>
  <c r="G149" i="14"/>
  <c r="J149" i="14"/>
  <c r="H150" i="14"/>
  <c r="I150" i="14"/>
  <c r="J150" i="14"/>
  <c r="K150" i="14"/>
  <c r="K18" i="13"/>
  <c r="K150" i="13" s="1"/>
  <c r="K21" i="13"/>
  <c r="K36" i="13" s="1"/>
  <c r="K141" i="13" s="1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F36" i="13"/>
  <c r="G36" i="13"/>
  <c r="H36" i="13"/>
  <c r="I36" i="13"/>
  <c r="J36" i="13"/>
  <c r="K40" i="13"/>
  <c r="K49" i="13" s="1"/>
  <c r="K142" i="13" s="1"/>
  <c r="K41" i="13"/>
  <c r="K42" i="13"/>
  <c r="K43" i="13"/>
  <c r="K44" i="13"/>
  <c r="K45" i="13"/>
  <c r="K46" i="13"/>
  <c r="K47" i="13"/>
  <c r="F49" i="13"/>
  <c r="G49" i="13"/>
  <c r="H49" i="13"/>
  <c r="I49" i="13"/>
  <c r="J49" i="13"/>
  <c r="K53" i="13"/>
  <c r="K54" i="13"/>
  <c r="K64" i="13" s="1"/>
  <c r="K143" i="13" s="1"/>
  <c r="K55" i="13"/>
  <c r="K56" i="13"/>
  <c r="K57" i="13"/>
  <c r="K58" i="13"/>
  <c r="K59" i="13"/>
  <c r="K60" i="13"/>
  <c r="K61" i="13"/>
  <c r="K62" i="13"/>
  <c r="F64" i="13"/>
  <c r="F143" i="13" s="1"/>
  <c r="G64" i="13"/>
  <c r="H64" i="13"/>
  <c r="I64" i="13"/>
  <c r="I143" i="13" s="1"/>
  <c r="J64" i="13"/>
  <c r="J143" i="13" s="1"/>
  <c r="K68" i="13"/>
  <c r="K69" i="13"/>
  <c r="K70" i="13"/>
  <c r="K71" i="13"/>
  <c r="K72" i="13"/>
  <c r="F74" i="13"/>
  <c r="G74" i="13"/>
  <c r="G144" i="13" s="1"/>
  <c r="H74" i="13"/>
  <c r="I74" i="13"/>
  <c r="J74" i="13"/>
  <c r="K74" i="13"/>
  <c r="K144" i="13" s="1"/>
  <c r="K77" i="13"/>
  <c r="K78" i="13"/>
  <c r="K79" i="13"/>
  <c r="K82" i="13" s="1"/>
  <c r="K145" i="13" s="1"/>
  <c r="K80" i="13"/>
  <c r="F82" i="13"/>
  <c r="G82" i="13"/>
  <c r="H82" i="13"/>
  <c r="I82" i="13"/>
  <c r="I145" i="13" s="1"/>
  <c r="J82" i="13"/>
  <c r="K86" i="13"/>
  <c r="K87" i="13"/>
  <c r="K98" i="13" s="1"/>
  <c r="K146" i="13" s="1"/>
  <c r="K88" i="13"/>
  <c r="K89" i="13"/>
  <c r="K90" i="13"/>
  <c r="K91" i="13"/>
  <c r="K92" i="13"/>
  <c r="K93" i="13"/>
  <c r="K94" i="13"/>
  <c r="K95" i="13"/>
  <c r="K96" i="13"/>
  <c r="F98" i="13"/>
  <c r="G98" i="13"/>
  <c r="G146" i="13" s="1"/>
  <c r="H98" i="13"/>
  <c r="H146" i="13" s="1"/>
  <c r="H152" i="13" s="1"/>
  <c r="I98" i="13"/>
  <c r="J98" i="13"/>
  <c r="K102" i="13"/>
  <c r="K103" i="13"/>
  <c r="K104" i="13"/>
  <c r="K105" i="13"/>
  <c r="K106" i="13"/>
  <c r="F108" i="13"/>
  <c r="G108" i="13"/>
  <c r="H108" i="13"/>
  <c r="I108" i="13"/>
  <c r="I147" i="13" s="1"/>
  <c r="J108" i="13"/>
  <c r="F119" i="13"/>
  <c r="F123" i="13" s="1"/>
  <c r="F127" i="13" s="1"/>
  <c r="K131" i="13"/>
  <c r="K137" i="13" s="1"/>
  <c r="K149" i="13" s="1"/>
  <c r="K132" i="13"/>
  <c r="K133" i="13"/>
  <c r="K134" i="13"/>
  <c r="K135" i="13"/>
  <c r="F137" i="13"/>
  <c r="G137" i="13"/>
  <c r="H137" i="13"/>
  <c r="I137" i="13"/>
  <c r="J137" i="13"/>
  <c r="F141" i="13"/>
  <c r="G141" i="13"/>
  <c r="H141" i="13"/>
  <c r="I141" i="13"/>
  <c r="J141" i="13"/>
  <c r="F142" i="13"/>
  <c r="G142" i="13"/>
  <c r="H142" i="13"/>
  <c r="I142" i="13"/>
  <c r="I152" i="13" s="1"/>
  <c r="J142" i="13"/>
  <c r="G143" i="13"/>
  <c r="H143" i="13"/>
  <c r="F144" i="13"/>
  <c r="H144" i="13"/>
  <c r="I144" i="13"/>
  <c r="J144" i="13"/>
  <c r="F145" i="13"/>
  <c r="G145" i="13"/>
  <c r="H145" i="13"/>
  <c r="J145" i="13"/>
  <c r="F146" i="13"/>
  <c r="I146" i="13"/>
  <c r="J146" i="13"/>
  <c r="F147" i="13"/>
  <c r="G147" i="13"/>
  <c r="H147" i="13"/>
  <c r="J147" i="13"/>
  <c r="K148" i="13"/>
  <c r="F149" i="13"/>
  <c r="G149" i="13"/>
  <c r="H149" i="13"/>
  <c r="I149" i="13"/>
  <c r="J149" i="13"/>
  <c r="H150" i="13"/>
  <c r="I150" i="13"/>
  <c r="J150" i="13"/>
  <c r="K18" i="12"/>
  <c r="K150" i="12" s="1"/>
  <c r="K21" i="12"/>
  <c r="K22" i="12"/>
  <c r="I23" i="12"/>
  <c r="K23" i="12" s="1"/>
  <c r="K24" i="12"/>
  <c r="I25" i="12"/>
  <c r="K25" i="12" s="1"/>
  <c r="I26" i="12"/>
  <c r="K26" i="12" s="1"/>
  <c r="I27" i="12"/>
  <c r="K27" i="12" s="1"/>
  <c r="I28" i="12"/>
  <c r="K28" i="12" s="1"/>
  <c r="K29" i="12"/>
  <c r="I30" i="12"/>
  <c r="K30" i="12"/>
  <c r="I31" i="12"/>
  <c r="K31" i="12"/>
  <c r="I32" i="12"/>
  <c r="K32" i="12"/>
  <c r="I33" i="12"/>
  <c r="K33" i="12"/>
  <c r="I34" i="12"/>
  <c r="K34" i="12"/>
  <c r="F36" i="12"/>
  <c r="G36" i="12"/>
  <c r="H36" i="12"/>
  <c r="J36" i="12"/>
  <c r="I40" i="12"/>
  <c r="K40" i="12" s="1"/>
  <c r="K49" i="12" s="1"/>
  <c r="K142" i="12" s="1"/>
  <c r="I41" i="12"/>
  <c r="K41" i="12"/>
  <c r="K42" i="12"/>
  <c r="K43" i="12"/>
  <c r="K44" i="12"/>
  <c r="K45" i="12"/>
  <c r="K46" i="12"/>
  <c r="K47" i="12"/>
  <c r="F49" i="12"/>
  <c r="G49" i="12"/>
  <c r="G142" i="12" s="1"/>
  <c r="H49" i="12"/>
  <c r="H142" i="12" s="1"/>
  <c r="J49" i="12"/>
  <c r="K53" i="12"/>
  <c r="K64" i="12" s="1"/>
  <c r="K143" i="12" s="1"/>
  <c r="K54" i="12"/>
  <c r="K55" i="12"/>
  <c r="K56" i="12"/>
  <c r="K57" i="12"/>
  <c r="K58" i="12"/>
  <c r="K59" i="12"/>
  <c r="K60" i="12"/>
  <c r="K61" i="12"/>
  <c r="K62" i="12"/>
  <c r="F64" i="12"/>
  <c r="G64" i="12"/>
  <c r="H64" i="12"/>
  <c r="I64" i="12"/>
  <c r="J64" i="12"/>
  <c r="K68" i="12"/>
  <c r="K74" i="12" s="1"/>
  <c r="K144" i="12" s="1"/>
  <c r="K69" i="12"/>
  <c r="K70" i="12"/>
  <c r="K71" i="12"/>
  <c r="K72" i="12"/>
  <c r="F74" i="12"/>
  <c r="G74" i="12"/>
  <c r="H74" i="12"/>
  <c r="H144" i="12" s="1"/>
  <c r="I74" i="12"/>
  <c r="I144" i="12" s="1"/>
  <c r="J74" i="12"/>
  <c r="K77" i="12"/>
  <c r="K78" i="12"/>
  <c r="K79" i="12"/>
  <c r="K80" i="12"/>
  <c r="F82" i="12"/>
  <c r="F145" i="12" s="1"/>
  <c r="G82" i="12"/>
  <c r="G145" i="12" s="1"/>
  <c r="H82" i="12"/>
  <c r="I82" i="12"/>
  <c r="J82" i="12"/>
  <c r="J145" i="12" s="1"/>
  <c r="K82" i="12"/>
  <c r="K145" i="12" s="1"/>
  <c r="I86" i="12"/>
  <c r="K86" i="12" s="1"/>
  <c r="I87" i="12"/>
  <c r="K87" i="12" s="1"/>
  <c r="I88" i="12"/>
  <c r="K88" i="12" s="1"/>
  <c r="I89" i="12"/>
  <c r="K89" i="12" s="1"/>
  <c r="I90" i="12"/>
  <c r="K90" i="12" s="1"/>
  <c r="I91" i="12"/>
  <c r="K91" i="12" s="1"/>
  <c r="K92" i="12"/>
  <c r="K93" i="12"/>
  <c r="I94" i="12"/>
  <c r="K94" i="12" s="1"/>
  <c r="I95" i="12"/>
  <c r="K95" i="12" s="1"/>
  <c r="I96" i="12"/>
  <c r="K96" i="12" s="1"/>
  <c r="F98" i="12"/>
  <c r="G98" i="12"/>
  <c r="H98" i="12"/>
  <c r="J98" i="12"/>
  <c r="K102" i="12"/>
  <c r="K103" i="12"/>
  <c r="K104" i="12"/>
  <c r="I105" i="12"/>
  <c r="K105" i="12" s="1"/>
  <c r="I106" i="12"/>
  <c r="K106" i="12"/>
  <c r="F108" i="12"/>
  <c r="F147" i="12" s="1"/>
  <c r="G108" i="12"/>
  <c r="H108" i="12"/>
  <c r="J108" i="12"/>
  <c r="J147" i="12" s="1"/>
  <c r="F119" i="12"/>
  <c r="F123" i="12"/>
  <c r="K131" i="12"/>
  <c r="K137" i="12" s="1"/>
  <c r="K149" i="12" s="1"/>
  <c r="K132" i="12"/>
  <c r="K133" i="12"/>
  <c r="K134" i="12"/>
  <c r="K135" i="12"/>
  <c r="F137" i="12"/>
  <c r="G137" i="12"/>
  <c r="H137" i="12"/>
  <c r="H149" i="12" s="1"/>
  <c r="I137" i="12"/>
  <c r="I149" i="12" s="1"/>
  <c r="J137" i="12"/>
  <c r="F141" i="12"/>
  <c r="G141" i="12"/>
  <c r="H141" i="12"/>
  <c r="J141" i="12"/>
  <c r="J152" i="12" s="1"/>
  <c r="F142" i="12"/>
  <c r="J142" i="12"/>
  <c r="F143" i="12"/>
  <c r="G143" i="12"/>
  <c r="H143" i="12"/>
  <c r="I143" i="12"/>
  <c r="J143" i="12"/>
  <c r="F144" i="12"/>
  <c r="G144" i="12"/>
  <c r="J144" i="12"/>
  <c r="H145" i="12"/>
  <c r="I145" i="12"/>
  <c r="F146" i="12"/>
  <c r="G146" i="12"/>
  <c r="H146" i="12"/>
  <c r="J146" i="12"/>
  <c r="G147" i="12"/>
  <c r="H147" i="12"/>
  <c r="K148" i="12"/>
  <c r="F149" i="12"/>
  <c r="G149" i="12"/>
  <c r="J149" i="12"/>
  <c r="H150" i="12"/>
  <c r="I150" i="12"/>
  <c r="J150" i="12"/>
  <c r="K18" i="11"/>
  <c r="K150" i="11" s="1"/>
  <c r="K21" i="11"/>
  <c r="I22" i="11"/>
  <c r="K22" i="11" s="1"/>
  <c r="I23" i="11"/>
  <c r="K23" i="11" s="1"/>
  <c r="K24" i="11"/>
  <c r="I25" i="11"/>
  <c r="K25" i="11" s="1"/>
  <c r="I26" i="11"/>
  <c r="K26" i="11"/>
  <c r="I27" i="11"/>
  <c r="K27" i="11" s="1"/>
  <c r="I28" i="11"/>
  <c r="K28" i="11"/>
  <c r="K29" i="11"/>
  <c r="I30" i="11"/>
  <c r="K30" i="11" s="1"/>
  <c r="I31" i="11"/>
  <c r="K31" i="11" s="1"/>
  <c r="I32" i="11"/>
  <c r="K32" i="11" s="1"/>
  <c r="I33" i="11"/>
  <c r="K33" i="11" s="1"/>
  <c r="I34" i="11"/>
  <c r="K34" i="11" s="1"/>
  <c r="F36" i="11"/>
  <c r="G36" i="11"/>
  <c r="G141" i="11" s="1"/>
  <c r="H36" i="11"/>
  <c r="H141" i="11" s="1"/>
  <c r="J36" i="11"/>
  <c r="K40" i="11"/>
  <c r="J41" i="11"/>
  <c r="K41" i="11" s="1"/>
  <c r="K42" i="11"/>
  <c r="K43" i="11"/>
  <c r="K44" i="11"/>
  <c r="K45" i="11"/>
  <c r="K46" i="11"/>
  <c r="K47" i="11"/>
  <c r="F49" i="11"/>
  <c r="F142" i="11" s="1"/>
  <c r="G49" i="11"/>
  <c r="H49" i="11"/>
  <c r="I49" i="11"/>
  <c r="I142" i="11" s="1"/>
  <c r="J49" i="11"/>
  <c r="J142" i="11" s="1"/>
  <c r="K53" i="11"/>
  <c r="K54" i="11"/>
  <c r="K64" i="11" s="1"/>
  <c r="K143" i="11" s="1"/>
  <c r="K55" i="11"/>
  <c r="K56" i="11"/>
  <c r="K57" i="11"/>
  <c r="K58" i="11"/>
  <c r="K59" i="11"/>
  <c r="K60" i="11"/>
  <c r="K61" i="11"/>
  <c r="K62" i="11"/>
  <c r="F64" i="11"/>
  <c r="F143" i="11" s="1"/>
  <c r="G64" i="11"/>
  <c r="H64" i="11"/>
  <c r="I64" i="11"/>
  <c r="J64" i="11"/>
  <c r="K68" i="11"/>
  <c r="K69" i="11"/>
  <c r="K70" i="11"/>
  <c r="K71" i="11"/>
  <c r="K72" i="11"/>
  <c r="F74" i="11"/>
  <c r="F144" i="11" s="1"/>
  <c r="G74" i="11"/>
  <c r="G144" i="11" s="1"/>
  <c r="H74" i="11"/>
  <c r="I74" i="11"/>
  <c r="J74" i="11"/>
  <c r="J144" i="11" s="1"/>
  <c r="K74" i="11"/>
  <c r="K144" i="11" s="1"/>
  <c r="K77" i="11"/>
  <c r="K78" i="11"/>
  <c r="K79" i="11"/>
  <c r="K82" i="11" s="1"/>
  <c r="K145" i="11" s="1"/>
  <c r="K80" i="11"/>
  <c r="F82" i="11"/>
  <c r="G82" i="11"/>
  <c r="H82" i="11"/>
  <c r="H145" i="11" s="1"/>
  <c r="I82" i="11"/>
  <c r="I145" i="11" s="1"/>
  <c r="J82" i="11"/>
  <c r="I86" i="11"/>
  <c r="K86" i="11"/>
  <c r="I87" i="11"/>
  <c r="K87" i="11"/>
  <c r="K88" i="11"/>
  <c r="I89" i="11"/>
  <c r="K89" i="11" s="1"/>
  <c r="I90" i="11"/>
  <c r="K90" i="11"/>
  <c r="I91" i="11"/>
  <c r="K91" i="11"/>
  <c r="I92" i="11"/>
  <c r="K92" i="11"/>
  <c r="K93" i="11"/>
  <c r="I94" i="11"/>
  <c r="K94" i="11" s="1"/>
  <c r="I95" i="11"/>
  <c r="K95" i="11"/>
  <c r="I96" i="11"/>
  <c r="K96" i="11"/>
  <c r="F98" i="11"/>
  <c r="G98" i="11"/>
  <c r="H98" i="11"/>
  <c r="I98" i="11"/>
  <c r="I146" i="11" s="1"/>
  <c r="J98" i="11"/>
  <c r="K102" i="11"/>
  <c r="I103" i="11"/>
  <c r="K103" i="11"/>
  <c r="K104" i="11"/>
  <c r="I105" i="11"/>
  <c r="K105" i="11" s="1"/>
  <c r="I106" i="11"/>
  <c r="K106" i="11" s="1"/>
  <c r="F108" i="11"/>
  <c r="F147" i="11" s="1"/>
  <c r="G108" i="11"/>
  <c r="H108" i="11"/>
  <c r="I108" i="11"/>
  <c r="I147" i="11" s="1"/>
  <c r="J108" i="11"/>
  <c r="J147" i="11" s="1"/>
  <c r="F119" i="11"/>
  <c r="F123" i="11" s="1"/>
  <c r="F127" i="11" s="1"/>
  <c r="K131" i="11"/>
  <c r="K132" i="11"/>
  <c r="K133" i="11"/>
  <c r="K134" i="11"/>
  <c r="K135" i="11"/>
  <c r="F137" i="11"/>
  <c r="F149" i="11" s="1"/>
  <c r="G137" i="11"/>
  <c r="G149" i="11" s="1"/>
  <c r="H137" i="11"/>
  <c r="I137" i="11"/>
  <c r="J137" i="11"/>
  <c r="J149" i="11" s="1"/>
  <c r="K137" i="11"/>
  <c r="K149" i="11" s="1"/>
  <c r="F141" i="11"/>
  <c r="J141" i="11"/>
  <c r="G142" i="11"/>
  <c r="H142" i="11"/>
  <c r="G143" i="11"/>
  <c r="H143" i="11"/>
  <c r="I143" i="11"/>
  <c r="J143" i="11"/>
  <c r="H144" i="11"/>
  <c r="I144" i="11"/>
  <c r="F145" i="11"/>
  <c r="G145" i="11"/>
  <c r="J145" i="11"/>
  <c r="F146" i="11"/>
  <c r="G146" i="11"/>
  <c r="H146" i="11"/>
  <c r="J146" i="11"/>
  <c r="G147" i="11"/>
  <c r="H147" i="11"/>
  <c r="K148" i="11"/>
  <c r="H149" i="11"/>
  <c r="I149" i="11"/>
  <c r="H150" i="11"/>
  <c r="I150" i="11"/>
  <c r="J150" i="11"/>
  <c r="K18" i="10"/>
  <c r="K150" i="10" s="1"/>
  <c r="K21" i="10"/>
  <c r="I22" i="10"/>
  <c r="K22" i="10" s="1"/>
  <c r="I23" i="10"/>
  <c r="I36" i="10" s="1"/>
  <c r="I141" i="10" s="1"/>
  <c r="K23" i="10"/>
  <c r="K24" i="10"/>
  <c r="I25" i="10"/>
  <c r="K25" i="10" s="1"/>
  <c r="I26" i="10"/>
  <c r="K26" i="10"/>
  <c r="I27" i="10"/>
  <c r="K27" i="10"/>
  <c r="I28" i="10"/>
  <c r="K28" i="10"/>
  <c r="K29" i="10"/>
  <c r="K30" i="10"/>
  <c r="I31" i="10"/>
  <c r="K31" i="10"/>
  <c r="I32" i="10"/>
  <c r="K32" i="10"/>
  <c r="I33" i="10"/>
  <c r="K33" i="10"/>
  <c r="I34" i="10"/>
  <c r="K34" i="10"/>
  <c r="F36" i="10"/>
  <c r="G36" i="10"/>
  <c r="G141" i="10" s="1"/>
  <c r="H36" i="10"/>
  <c r="J36" i="10"/>
  <c r="K40" i="10"/>
  <c r="K49" i="10" s="1"/>
  <c r="K142" i="10" s="1"/>
  <c r="K41" i="10"/>
  <c r="K42" i="10"/>
  <c r="K43" i="10"/>
  <c r="K44" i="10"/>
  <c r="K45" i="10"/>
  <c r="K46" i="10"/>
  <c r="K47" i="10"/>
  <c r="F49" i="10"/>
  <c r="F142" i="10" s="1"/>
  <c r="G49" i="10"/>
  <c r="H49" i="10"/>
  <c r="I49" i="10"/>
  <c r="J49" i="10"/>
  <c r="J142" i="10" s="1"/>
  <c r="K53" i="10"/>
  <c r="K54" i="10"/>
  <c r="K64" i="10" s="1"/>
  <c r="K143" i="10" s="1"/>
  <c r="K55" i="10"/>
  <c r="K56" i="10"/>
  <c r="K57" i="10"/>
  <c r="K58" i="10"/>
  <c r="K59" i="10"/>
  <c r="K60" i="10"/>
  <c r="K61" i="10"/>
  <c r="K62" i="10"/>
  <c r="F64" i="10"/>
  <c r="F143" i="10" s="1"/>
  <c r="G64" i="10"/>
  <c r="H64" i="10"/>
  <c r="I64" i="10"/>
  <c r="I143" i="10" s="1"/>
  <c r="J64" i="10"/>
  <c r="J143" i="10" s="1"/>
  <c r="K68" i="10"/>
  <c r="K69" i="10"/>
  <c r="K70" i="10"/>
  <c r="K71" i="10"/>
  <c r="K72" i="10"/>
  <c r="F74" i="10"/>
  <c r="F144" i="10" s="1"/>
  <c r="G74" i="10"/>
  <c r="G144" i="10" s="1"/>
  <c r="H74" i="10"/>
  <c r="I74" i="10"/>
  <c r="J74" i="10"/>
  <c r="J144" i="10" s="1"/>
  <c r="K74" i="10"/>
  <c r="K144" i="10" s="1"/>
  <c r="K77" i="10"/>
  <c r="K78" i="10"/>
  <c r="K79" i="10"/>
  <c r="K82" i="10" s="1"/>
  <c r="K145" i="10" s="1"/>
  <c r="K80" i="10"/>
  <c r="F82" i="10"/>
  <c r="G82" i="10"/>
  <c r="H82" i="10"/>
  <c r="H145" i="10" s="1"/>
  <c r="I82" i="10"/>
  <c r="I145" i="10" s="1"/>
  <c r="J82" i="10"/>
  <c r="K86" i="10"/>
  <c r="I87" i="10"/>
  <c r="K87" i="10" s="1"/>
  <c r="K98" i="10" s="1"/>
  <c r="K146" i="10" s="1"/>
  <c r="K88" i="10"/>
  <c r="I89" i="10"/>
  <c r="K89" i="10"/>
  <c r="K90" i="10"/>
  <c r="I91" i="10"/>
  <c r="K91" i="10" s="1"/>
  <c r="K92" i="10"/>
  <c r="I93" i="10"/>
  <c r="K93" i="10"/>
  <c r="I94" i="10"/>
  <c r="K94" i="10"/>
  <c r="I95" i="10"/>
  <c r="K95" i="10"/>
  <c r="I96" i="10"/>
  <c r="K96" i="10"/>
  <c r="F98" i="10"/>
  <c r="F146" i="10" s="1"/>
  <c r="G98" i="10"/>
  <c r="G146" i="10" s="1"/>
  <c r="H98" i="10"/>
  <c r="J98" i="10"/>
  <c r="J146" i="10" s="1"/>
  <c r="K102" i="10"/>
  <c r="K103" i="10"/>
  <c r="K104" i="10"/>
  <c r="I105" i="10"/>
  <c r="K105" i="10" s="1"/>
  <c r="I106" i="10"/>
  <c r="K106" i="10" s="1"/>
  <c r="F108" i="10"/>
  <c r="G108" i="10"/>
  <c r="H108" i="10"/>
  <c r="J108" i="10"/>
  <c r="J147" i="10" s="1"/>
  <c r="F119" i="10"/>
  <c r="F123" i="10" s="1"/>
  <c r="F127" i="10" s="1"/>
  <c r="K131" i="10"/>
  <c r="K132" i="10"/>
  <c r="K133" i="10"/>
  <c r="K134" i="10"/>
  <c r="K135" i="10"/>
  <c r="F137" i="10"/>
  <c r="G137" i="10"/>
  <c r="H137" i="10"/>
  <c r="I137" i="10"/>
  <c r="J137" i="10"/>
  <c r="F141" i="10"/>
  <c r="H141" i="10"/>
  <c r="J141" i="10"/>
  <c r="J152" i="10" s="1"/>
  <c r="G142" i="10"/>
  <c r="H142" i="10"/>
  <c r="I142" i="10"/>
  <c r="G143" i="10"/>
  <c r="H143" i="10"/>
  <c r="H144" i="10"/>
  <c r="I144" i="10"/>
  <c r="F145" i="10"/>
  <c r="G145" i="10"/>
  <c r="J145" i="10"/>
  <c r="H146" i="10"/>
  <c r="F147" i="10"/>
  <c r="G147" i="10"/>
  <c r="H147" i="10"/>
  <c r="K148" i="10"/>
  <c r="F149" i="10"/>
  <c r="G149" i="10"/>
  <c r="H149" i="10"/>
  <c r="I149" i="10"/>
  <c r="J149" i="10"/>
  <c r="H150" i="10"/>
  <c r="I150" i="10"/>
  <c r="J150" i="10"/>
  <c r="D119" i="52" l="1"/>
  <c r="F119" i="52"/>
  <c r="F152" i="14"/>
  <c r="G152" i="11"/>
  <c r="F152" i="11"/>
  <c r="H152" i="12"/>
  <c r="F152" i="16"/>
  <c r="G152" i="12"/>
  <c r="K108" i="14"/>
  <c r="K147" i="14" s="1"/>
  <c r="I152" i="14"/>
  <c r="G152" i="16"/>
  <c r="G152" i="10"/>
  <c r="J152" i="11"/>
  <c r="K49" i="11"/>
  <c r="K142" i="11" s="1"/>
  <c r="J152" i="16"/>
  <c r="H152" i="10"/>
  <c r="F152" i="10"/>
  <c r="H152" i="11"/>
  <c r="F152" i="12"/>
  <c r="K108" i="12"/>
  <c r="K147" i="12" s="1"/>
  <c r="J152" i="13"/>
  <c r="F152" i="13"/>
  <c r="G152" i="13"/>
  <c r="J152" i="14"/>
  <c r="H152" i="14"/>
  <c r="F152" i="15"/>
  <c r="K74" i="16"/>
  <c r="K144" i="16" s="1"/>
  <c r="K108" i="13"/>
  <c r="K147" i="13" s="1"/>
  <c r="K152" i="13" s="1"/>
  <c r="J152" i="15"/>
  <c r="K64" i="16"/>
  <c r="K143" i="16" s="1"/>
  <c r="I98" i="10"/>
  <c r="I146" i="10" s="1"/>
  <c r="K108" i="11"/>
  <c r="K147" i="11" s="1"/>
  <c r="I36" i="12"/>
  <c r="I141" i="12" s="1"/>
  <c r="H152" i="15"/>
  <c r="J49" i="15"/>
  <c r="J142" i="15" s="1"/>
  <c r="I74" i="16"/>
  <c r="I144" i="16" s="1"/>
  <c r="I64" i="16"/>
  <c r="I143" i="16" s="1"/>
  <c r="I108" i="12"/>
  <c r="I147" i="12" s="1"/>
  <c r="I98" i="12"/>
  <c r="I146" i="12" s="1"/>
  <c r="K64" i="15"/>
  <c r="K143" i="15" s="1"/>
  <c r="K49" i="15"/>
  <c r="K142" i="15" s="1"/>
  <c r="H98" i="16"/>
  <c r="H146" i="16" s="1"/>
  <c r="H152" i="16" s="1"/>
  <c r="K137" i="10"/>
  <c r="K149" i="10" s="1"/>
  <c r="I36" i="11"/>
  <c r="I141" i="11" s="1"/>
  <c r="I152" i="11" s="1"/>
  <c r="I49" i="12"/>
  <c r="I142" i="12" s="1"/>
  <c r="G152" i="15"/>
  <c r="I98" i="15"/>
  <c r="I146" i="15" s="1"/>
  <c r="K88" i="16"/>
  <c r="I98" i="16"/>
  <c r="I146" i="16" s="1"/>
  <c r="I152" i="16" s="1"/>
  <c r="K98" i="16"/>
  <c r="K146" i="16" s="1"/>
  <c r="K36" i="16"/>
  <c r="K141" i="16" s="1"/>
  <c r="K108" i="15"/>
  <c r="K147" i="15" s="1"/>
  <c r="K98" i="15"/>
  <c r="K146" i="15" s="1"/>
  <c r="K36" i="15"/>
  <c r="K141" i="15" s="1"/>
  <c r="I108" i="15"/>
  <c r="I147" i="15" s="1"/>
  <c r="I152" i="15" s="1"/>
  <c r="K98" i="14"/>
  <c r="K146" i="14" s="1"/>
  <c r="K36" i="14"/>
  <c r="K141" i="14" s="1"/>
  <c r="K152" i="14" s="1"/>
  <c r="F154" i="13"/>
  <c r="F155" i="13"/>
  <c r="K98" i="12"/>
  <c r="K146" i="12" s="1"/>
  <c r="K36" i="12"/>
  <c r="K141" i="12" s="1"/>
  <c r="K36" i="11"/>
  <c r="K141" i="11" s="1"/>
  <c r="K98" i="11"/>
  <c r="K146" i="11" s="1"/>
  <c r="K36" i="10"/>
  <c r="K141" i="10" s="1"/>
  <c r="K108" i="10"/>
  <c r="K147" i="10" s="1"/>
  <c r="I108" i="10"/>
  <c r="I147" i="10" s="1"/>
  <c r="I152" i="10" s="1"/>
  <c r="K152" i="10" l="1"/>
  <c r="I152" i="12"/>
  <c r="K152" i="11"/>
  <c r="F154" i="11" s="1"/>
  <c r="K152" i="16"/>
  <c r="K152" i="15"/>
  <c r="F155" i="14"/>
  <c r="F154" i="14"/>
  <c r="K152" i="12"/>
  <c r="F155" i="10"/>
  <c r="F154" i="10"/>
  <c r="F155" i="11" l="1"/>
  <c r="F155" i="16"/>
  <c r="F154" i="16"/>
  <c r="F155" i="15"/>
  <c r="F154" i="15"/>
  <c r="F154" i="12"/>
  <c r="F155" i="12"/>
  <c r="K15" i="8" l="1"/>
  <c r="K18" i="8"/>
  <c r="K150" i="8" s="1"/>
  <c r="I21" i="8"/>
  <c r="K21" i="8" s="1"/>
  <c r="K36" i="8" s="1"/>
  <c r="K141" i="8" s="1"/>
  <c r="I22" i="8"/>
  <c r="K22" i="8"/>
  <c r="I23" i="8"/>
  <c r="K23" i="8" s="1"/>
  <c r="I24" i="8"/>
  <c r="K24" i="8"/>
  <c r="I25" i="8"/>
  <c r="K25" i="8" s="1"/>
  <c r="I26" i="8"/>
  <c r="K26" i="8"/>
  <c r="I27" i="8"/>
  <c r="K27" i="8" s="1"/>
  <c r="I28" i="8"/>
  <c r="K28" i="8"/>
  <c r="I29" i="8"/>
  <c r="K29" i="8" s="1"/>
  <c r="I30" i="8"/>
  <c r="K30" i="8"/>
  <c r="I31" i="8"/>
  <c r="K31" i="8" s="1"/>
  <c r="I32" i="8"/>
  <c r="K32" i="8"/>
  <c r="I33" i="8"/>
  <c r="K33" i="8" s="1"/>
  <c r="I34" i="8"/>
  <c r="K34" i="8"/>
  <c r="F36" i="8"/>
  <c r="F141" i="8" s="1"/>
  <c r="G36" i="8"/>
  <c r="H36" i="8"/>
  <c r="J36" i="8"/>
  <c r="J141" i="8" s="1"/>
  <c r="I40" i="8"/>
  <c r="K40" i="8"/>
  <c r="I41" i="8"/>
  <c r="K41" i="8" s="1"/>
  <c r="I42" i="8"/>
  <c r="K42" i="8"/>
  <c r="I43" i="8"/>
  <c r="K43" i="8" s="1"/>
  <c r="I44" i="8"/>
  <c r="K44" i="8"/>
  <c r="I45" i="8"/>
  <c r="K45" i="8" s="1"/>
  <c r="I46" i="8"/>
  <c r="K46" i="8"/>
  <c r="I47" i="8"/>
  <c r="K47" i="8" s="1"/>
  <c r="F49" i="8"/>
  <c r="G49" i="8"/>
  <c r="H49" i="8"/>
  <c r="H142" i="8" s="1"/>
  <c r="J49" i="8"/>
  <c r="I53" i="8"/>
  <c r="K53" i="8" s="1"/>
  <c r="I54" i="8"/>
  <c r="K54" i="8"/>
  <c r="I55" i="8"/>
  <c r="K55" i="8" s="1"/>
  <c r="I56" i="8"/>
  <c r="K56" i="8"/>
  <c r="I57" i="8"/>
  <c r="K57" i="8" s="1"/>
  <c r="I58" i="8"/>
  <c r="K58" i="8"/>
  <c r="I59" i="8"/>
  <c r="K59" i="8" s="1"/>
  <c r="I60" i="8"/>
  <c r="K60" i="8"/>
  <c r="I61" i="8"/>
  <c r="K61" i="8" s="1"/>
  <c r="I62" i="8"/>
  <c r="K62" i="8"/>
  <c r="F64" i="8"/>
  <c r="F143" i="8" s="1"/>
  <c r="G64" i="8"/>
  <c r="H64" i="8"/>
  <c r="J64" i="8"/>
  <c r="J143" i="8" s="1"/>
  <c r="I68" i="8"/>
  <c r="K68" i="8"/>
  <c r="I69" i="8"/>
  <c r="K69" i="8" s="1"/>
  <c r="I70" i="8"/>
  <c r="K70" i="8"/>
  <c r="I71" i="8"/>
  <c r="K71" i="8" s="1"/>
  <c r="I72" i="8"/>
  <c r="K72" i="8"/>
  <c r="F74" i="8"/>
  <c r="F144" i="8" s="1"/>
  <c r="G74" i="8"/>
  <c r="H74" i="8"/>
  <c r="J74" i="8"/>
  <c r="J144" i="8" s="1"/>
  <c r="I77" i="8"/>
  <c r="K77" i="8"/>
  <c r="I78" i="8"/>
  <c r="K78" i="8" s="1"/>
  <c r="I79" i="8"/>
  <c r="K79" i="8"/>
  <c r="I80" i="8"/>
  <c r="K80" i="8" s="1"/>
  <c r="F82" i="8"/>
  <c r="G82" i="8"/>
  <c r="G145" i="8" s="1"/>
  <c r="H82" i="8"/>
  <c r="H145" i="8" s="1"/>
  <c r="J82" i="8"/>
  <c r="I86" i="8"/>
  <c r="K86" i="8" s="1"/>
  <c r="I87" i="8"/>
  <c r="K87" i="8"/>
  <c r="I88" i="8"/>
  <c r="K88" i="8" s="1"/>
  <c r="I89" i="8"/>
  <c r="K89" i="8"/>
  <c r="I90" i="8"/>
  <c r="K90" i="8" s="1"/>
  <c r="I91" i="8"/>
  <c r="K91" i="8"/>
  <c r="I92" i="8"/>
  <c r="K92" i="8" s="1"/>
  <c r="I93" i="8"/>
  <c r="K93" i="8"/>
  <c r="I94" i="8"/>
  <c r="K94" i="8" s="1"/>
  <c r="I95" i="8"/>
  <c r="K95" i="8"/>
  <c r="I96" i="8"/>
  <c r="K96" i="8" s="1"/>
  <c r="F98" i="8"/>
  <c r="G98" i="8"/>
  <c r="H98" i="8"/>
  <c r="H146" i="8" s="1"/>
  <c r="J98" i="8"/>
  <c r="I102" i="8"/>
  <c r="K102" i="8" s="1"/>
  <c r="I103" i="8"/>
  <c r="K103" i="8"/>
  <c r="I104" i="8"/>
  <c r="K104" i="8" s="1"/>
  <c r="I105" i="8"/>
  <c r="K105" i="8"/>
  <c r="I106" i="8"/>
  <c r="K106" i="8" s="1"/>
  <c r="F108" i="8"/>
  <c r="G108" i="8"/>
  <c r="G147" i="8" s="1"/>
  <c r="H108" i="8"/>
  <c r="H147" i="8" s="1"/>
  <c r="J108" i="8"/>
  <c r="F119" i="8"/>
  <c r="F123" i="8" s="1"/>
  <c r="F127" i="8" s="1"/>
  <c r="K131" i="8"/>
  <c r="K132" i="8"/>
  <c r="K133" i="8"/>
  <c r="K134" i="8"/>
  <c r="K135" i="8"/>
  <c r="F137" i="8"/>
  <c r="G137" i="8"/>
  <c r="G149" i="8" s="1"/>
  <c r="H137" i="8"/>
  <c r="I137" i="8"/>
  <c r="I149" i="8" s="1"/>
  <c r="J137" i="8"/>
  <c r="J149" i="8" s="1"/>
  <c r="K137" i="8"/>
  <c r="K149" i="8" s="1"/>
  <c r="G141" i="8"/>
  <c r="H141" i="8"/>
  <c r="F142" i="8"/>
  <c r="G142" i="8"/>
  <c r="J142" i="8"/>
  <c r="G143" i="8"/>
  <c r="H143" i="8"/>
  <c r="G144" i="8"/>
  <c r="H144" i="8"/>
  <c r="F145" i="8"/>
  <c r="J145" i="8"/>
  <c r="F146" i="8"/>
  <c r="G146" i="8"/>
  <c r="J146" i="8"/>
  <c r="F147" i="8"/>
  <c r="J147" i="8"/>
  <c r="K148" i="8"/>
  <c r="F149" i="8"/>
  <c r="H149" i="8"/>
  <c r="H150" i="8"/>
  <c r="I150" i="8"/>
  <c r="H152" i="8" l="1"/>
  <c r="K108" i="8"/>
  <c r="K147" i="8" s="1"/>
  <c r="K98" i="8"/>
  <c r="K146" i="8" s="1"/>
  <c r="K82" i="8"/>
  <c r="K145" i="8" s="1"/>
  <c r="K49" i="8"/>
  <c r="K142" i="8" s="1"/>
  <c r="K152" i="8" s="1"/>
  <c r="K74" i="8"/>
  <c r="K144" i="8" s="1"/>
  <c r="K64" i="8"/>
  <c r="K143" i="8" s="1"/>
  <c r="F152" i="8"/>
  <c r="I74" i="8"/>
  <c r="I144" i="8" s="1"/>
  <c r="I64" i="8"/>
  <c r="I143" i="8" s="1"/>
  <c r="G152" i="8"/>
  <c r="I36" i="8"/>
  <c r="I141" i="8" s="1"/>
  <c r="J150" i="8"/>
  <c r="J152" i="8" s="1"/>
  <c r="I108" i="8"/>
  <c r="I147" i="8" s="1"/>
  <c r="I98" i="8"/>
  <c r="I146" i="8" s="1"/>
  <c r="I82" i="8"/>
  <c r="I145" i="8" s="1"/>
  <c r="I49" i="8"/>
  <c r="I142" i="8" s="1"/>
  <c r="K18" i="7"/>
  <c r="I21" i="7"/>
  <c r="I36" i="7" s="1"/>
  <c r="I141" i="7" s="1"/>
  <c r="K21" i="7"/>
  <c r="I22" i="7"/>
  <c r="K22" i="7"/>
  <c r="I23" i="7"/>
  <c r="K23" i="7"/>
  <c r="I24" i="7"/>
  <c r="K24" i="7"/>
  <c r="I25" i="7"/>
  <c r="K25" i="7"/>
  <c r="I26" i="7"/>
  <c r="K26" i="7"/>
  <c r="I27" i="7"/>
  <c r="K27" i="7"/>
  <c r="I28" i="7"/>
  <c r="K28" i="7"/>
  <c r="I29" i="7"/>
  <c r="K29" i="7"/>
  <c r="I30" i="7"/>
  <c r="K30" i="7"/>
  <c r="I31" i="7"/>
  <c r="K31" i="7"/>
  <c r="I32" i="7"/>
  <c r="K32" i="7"/>
  <c r="I33" i="7"/>
  <c r="K33" i="7"/>
  <c r="I34" i="7"/>
  <c r="K34" i="7"/>
  <c r="F36" i="7"/>
  <c r="G36" i="7"/>
  <c r="G141" i="7" s="1"/>
  <c r="H36" i="7"/>
  <c r="J36" i="7"/>
  <c r="K36" i="7"/>
  <c r="K141" i="7" s="1"/>
  <c r="I40" i="7"/>
  <c r="K40" i="7"/>
  <c r="I41" i="7"/>
  <c r="K41" i="7"/>
  <c r="I42" i="7"/>
  <c r="K42" i="7"/>
  <c r="K43" i="7"/>
  <c r="K44" i="7"/>
  <c r="K45" i="7"/>
  <c r="K46" i="7"/>
  <c r="K47" i="7"/>
  <c r="F49" i="7"/>
  <c r="F142" i="7" s="1"/>
  <c r="G49" i="7"/>
  <c r="H49" i="7"/>
  <c r="I49" i="7"/>
  <c r="I142" i="7" s="1"/>
  <c r="J49" i="7"/>
  <c r="J142" i="7" s="1"/>
  <c r="K53" i="7"/>
  <c r="I54" i="7"/>
  <c r="K54" i="7"/>
  <c r="K64" i="7" s="1"/>
  <c r="K143" i="7" s="1"/>
  <c r="K55" i="7"/>
  <c r="K56" i="7"/>
  <c r="K57" i="7"/>
  <c r="K58" i="7"/>
  <c r="K59" i="7"/>
  <c r="K60" i="7"/>
  <c r="K61" i="7"/>
  <c r="K62" i="7"/>
  <c r="F64" i="7"/>
  <c r="G64" i="7"/>
  <c r="H64" i="7"/>
  <c r="I64" i="7"/>
  <c r="I143" i="7" s="1"/>
  <c r="J64" i="7"/>
  <c r="J143" i="7" s="1"/>
  <c r="I68" i="7"/>
  <c r="K68" i="7"/>
  <c r="K74" i="7" s="1"/>
  <c r="K144" i="7" s="1"/>
  <c r="K69" i="7"/>
  <c r="K70" i="7"/>
  <c r="K71" i="7"/>
  <c r="K72" i="7"/>
  <c r="F74" i="7"/>
  <c r="F144" i="7" s="1"/>
  <c r="G74" i="7"/>
  <c r="H74" i="7"/>
  <c r="I74" i="7"/>
  <c r="J74" i="7"/>
  <c r="J144" i="7" s="1"/>
  <c r="I77" i="7"/>
  <c r="K77" i="7"/>
  <c r="K78" i="7"/>
  <c r="I79" i="7"/>
  <c r="K79" i="7" s="1"/>
  <c r="K80" i="7"/>
  <c r="F82" i="7"/>
  <c r="G82" i="7"/>
  <c r="H82" i="7"/>
  <c r="I82" i="7"/>
  <c r="J82" i="7"/>
  <c r="I86" i="7"/>
  <c r="K86" i="7" s="1"/>
  <c r="I87" i="7"/>
  <c r="K87" i="7"/>
  <c r="I88" i="7"/>
  <c r="K88" i="7" s="1"/>
  <c r="I89" i="7"/>
  <c r="K89" i="7"/>
  <c r="I90" i="7"/>
  <c r="K90" i="7" s="1"/>
  <c r="I91" i="7"/>
  <c r="K91" i="7"/>
  <c r="I92" i="7"/>
  <c r="K92" i="7" s="1"/>
  <c r="I93" i="7"/>
  <c r="K93" i="7"/>
  <c r="I94" i="7"/>
  <c r="K94" i="7" s="1"/>
  <c r="I95" i="7"/>
  <c r="K95" i="7"/>
  <c r="I96" i="7"/>
  <c r="K96" i="7" s="1"/>
  <c r="F98" i="7"/>
  <c r="G98" i="7"/>
  <c r="G146" i="7" s="1"/>
  <c r="H98" i="7"/>
  <c r="H146" i="7" s="1"/>
  <c r="J98" i="7"/>
  <c r="I102" i="7"/>
  <c r="K102" i="7" s="1"/>
  <c r="K108" i="7" s="1"/>
  <c r="K147" i="7" s="1"/>
  <c r="I103" i="7"/>
  <c r="K103" i="7"/>
  <c r="I104" i="7"/>
  <c r="K104" i="7" s="1"/>
  <c r="I105" i="7"/>
  <c r="K105" i="7"/>
  <c r="I106" i="7"/>
  <c r="K106" i="7" s="1"/>
  <c r="F108" i="7"/>
  <c r="G108" i="7"/>
  <c r="H108" i="7"/>
  <c r="J108" i="7"/>
  <c r="F119" i="7"/>
  <c r="K131" i="7"/>
  <c r="I132" i="7"/>
  <c r="K132" i="7"/>
  <c r="K133" i="7"/>
  <c r="K134" i="7"/>
  <c r="K135" i="7"/>
  <c r="F137" i="7"/>
  <c r="F149" i="7" s="1"/>
  <c r="G137" i="7"/>
  <c r="G149" i="7" s="1"/>
  <c r="H137" i="7"/>
  <c r="I137" i="7"/>
  <c r="J137" i="7"/>
  <c r="J149" i="7" s="1"/>
  <c r="F141" i="7"/>
  <c r="H141" i="7"/>
  <c r="J141" i="7"/>
  <c r="G142" i="7"/>
  <c r="H142" i="7"/>
  <c r="G143" i="7"/>
  <c r="H143" i="7"/>
  <c r="G144" i="7"/>
  <c r="H144" i="7"/>
  <c r="I144" i="7"/>
  <c r="F145" i="7"/>
  <c r="G145" i="7"/>
  <c r="H145" i="7"/>
  <c r="I145" i="7"/>
  <c r="J145" i="7"/>
  <c r="F146" i="7"/>
  <c r="J146" i="7"/>
  <c r="F147" i="7"/>
  <c r="G147" i="7"/>
  <c r="H147" i="7"/>
  <c r="J147" i="7"/>
  <c r="K148" i="7"/>
  <c r="H149" i="7"/>
  <c r="I149" i="7"/>
  <c r="H150" i="7"/>
  <c r="I150" i="7"/>
  <c r="J150" i="7"/>
  <c r="K150" i="7"/>
  <c r="F143" i="7" l="1"/>
  <c r="F152" i="7" s="1"/>
  <c r="G152" i="7"/>
  <c r="K98" i="7"/>
  <c r="K146" i="7" s="1"/>
  <c r="F154" i="8"/>
  <c r="F155" i="8"/>
  <c r="J152" i="7"/>
  <c r="K49" i="7"/>
  <c r="K142" i="7" s="1"/>
  <c r="K152" i="7" s="1"/>
  <c r="I152" i="8"/>
  <c r="H152" i="7"/>
  <c r="K137" i="7"/>
  <c r="K149" i="7" s="1"/>
  <c r="I108" i="7"/>
  <c r="I147" i="7" s="1"/>
  <c r="I98" i="7"/>
  <c r="I146" i="7" s="1"/>
  <c r="I152" i="7" s="1"/>
  <c r="K82" i="7"/>
  <c r="K145" i="7" s="1"/>
  <c r="K18" i="6"/>
  <c r="K21" i="6"/>
  <c r="K36" i="6" s="1"/>
  <c r="K141" i="6" s="1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F36" i="6"/>
  <c r="G36" i="6"/>
  <c r="H36" i="6"/>
  <c r="H141" i="6" s="1"/>
  <c r="I36" i="6"/>
  <c r="J36" i="6"/>
  <c r="K40" i="6"/>
  <c r="K49" i="6" s="1"/>
  <c r="K142" i="6" s="1"/>
  <c r="K41" i="6"/>
  <c r="K42" i="6"/>
  <c r="K43" i="6"/>
  <c r="K44" i="6"/>
  <c r="K45" i="6"/>
  <c r="K46" i="6"/>
  <c r="K47" i="6"/>
  <c r="F49" i="6"/>
  <c r="F142" i="6" s="1"/>
  <c r="G49" i="6"/>
  <c r="H49" i="6"/>
  <c r="I49" i="6"/>
  <c r="J49" i="6"/>
  <c r="J142" i="6" s="1"/>
  <c r="K53" i="6"/>
  <c r="K54" i="6"/>
  <c r="K64" i="6" s="1"/>
  <c r="K143" i="6" s="1"/>
  <c r="K55" i="6"/>
  <c r="K56" i="6"/>
  <c r="K57" i="6"/>
  <c r="K58" i="6"/>
  <c r="K59" i="6"/>
  <c r="K60" i="6"/>
  <c r="K61" i="6"/>
  <c r="K62" i="6"/>
  <c r="F64" i="6"/>
  <c r="F143" i="6" s="1"/>
  <c r="G64" i="6"/>
  <c r="H64" i="6"/>
  <c r="I64" i="6"/>
  <c r="I143" i="6" s="1"/>
  <c r="J64" i="6"/>
  <c r="J143" i="6" s="1"/>
  <c r="K68" i="6"/>
  <c r="K69" i="6"/>
  <c r="K70" i="6"/>
  <c r="K71" i="6"/>
  <c r="K72" i="6"/>
  <c r="F74" i="6"/>
  <c r="F144" i="6" s="1"/>
  <c r="G74" i="6"/>
  <c r="G144" i="6" s="1"/>
  <c r="H74" i="6"/>
  <c r="I74" i="6"/>
  <c r="J74" i="6"/>
  <c r="J144" i="6" s="1"/>
  <c r="K74" i="6"/>
  <c r="K144" i="6" s="1"/>
  <c r="K77" i="6"/>
  <c r="K78" i="6"/>
  <c r="K79" i="6"/>
  <c r="K82" i="6" s="1"/>
  <c r="K145" i="6" s="1"/>
  <c r="K80" i="6"/>
  <c r="F82" i="6"/>
  <c r="G82" i="6"/>
  <c r="H82" i="6"/>
  <c r="H145" i="6" s="1"/>
  <c r="I82" i="6"/>
  <c r="I145" i="6" s="1"/>
  <c r="J82" i="6"/>
  <c r="K86" i="6"/>
  <c r="K87" i="6"/>
  <c r="K98" i="6" s="1"/>
  <c r="K146" i="6" s="1"/>
  <c r="K88" i="6"/>
  <c r="K89" i="6"/>
  <c r="K90" i="6"/>
  <c r="K91" i="6"/>
  <c r="K92" i="6"/>
  <c r="K93" i="6"/>
  <c r="K94" i="6"/>
  <c r="K95" i="6"/>
  <c r="K96" i="6"/>
  <c r="F98" i="6"/>
  <c r="G98" i="6"/>
  <c r="G146" i="6" s="1"/>
  <c r="H98" i="6"/>
  <c r="H146" i="6" s="1"/>
  <c r="I98" i="6"/>
  <c r="J98" i="6"/>
  <c r="K102" i="6"/>
  <c r="K108" i="6" s="1"/>
  <c r="K147" i="6" s="1"/>
  <c r="K103" i="6"/>
  <c r="K104" i="6"/>
  <c r="K105" i="6"/>
  <c r="K106" i="6"/>
  <c r="F108" i="6"/>
  <c r="G108" i="6"/>
  <c r="H108" i="6"/>
  <c r="H147" i="6" s="1"/>
  <c r="I108" i="6"/>
  <c r="I147" i="6" s="1"/>
  <c r="J108" i="6"/>
  <c r="F119" i="6"/>
  <c r="K131" i="6"/>
  <c r="K137" i="6" s="1"/>
  <c r="K149" i="6" s="1"/>
  <c r="K132" i="6"/>
  <c r="K133" i="6"/>
  <c r="K134" i="6"/>
  <c r="K135" i="6"/>
  <c r="F137" i="6"/>
  <c r="G137" i="6"/>
  <c r="H137" i="6"/>
  <c r="I137" i="6"/>
  <c r="I149" i="6" s="1"/>
  <c r="J137" i="6"/>
  <c r="F141" i="6"/>
  <c r="G141" i="6"/>
  <c r="G152" i="6" s="1"/>
  <c r="I141" i="6"/>
  <c r="J141" i="6"/>
  <c r="G142" i="6"/>
  <c r="H142" i="6"/>
  <c r="I142" i="6"/>
  <c r="I152" i="6" s="1"/>
  <c r="G143" i="6"/>
  <c r="H143" i="6"/>
  <c r="H144" i="6"/>
  <c r="I144" i="6"/>
  <c r="F145" i="6"/>
  <c r="G145" i="6"/>
  <c r="J145" i="6"/>
  <c r="F146" i="6"/>
  <c r="I146" i="6"/>
  <c r="J146" i="6"/>
  <c r="F147" i="6"/>
  <c r="G147" i="6"/>
  <c r="J147" i="6"/>
  <c r="K148" i="6"/>
  <c r="F149" i="6"/>
  <c r="G149" i="6"/>
  <c r="H149" i="6"/>
  <c r="J149" i="6"/>
  <c r="H150" i="6"/>
  <c r="I150" i="6"/>
  <c r="J150" i="6"/>
  <c r="K150" i="6"/>
  <c r="H152" i="6" l="1"/>
  <c r="K152" i="6"/>
  <c r="J152" i="6"/>
  <c r="F152" i="6"/>
  <c r="F154" i="7"/>
  <c r="F155" i="7"/>
  <c r="K18" i="5"/>
  <c r="I21" i="5"/>
  <c r="K21" i="5" s="1"/>
  <c r="I22" i="5"/>
  <c r="K22" i="5" s="1"/>
  <c r="I23" i="5"/>
  <c r="K23" i="5" s="1"/>
  <c r="I24" i="5"/>
  <c r="K24" i="5" s="1"/>
  <c r="I25" i="5"/>
  <c r="K25" i="5" s="1"/>
  <c r="I26" i="5"/>
  <c r="K26" i="5" s="1"/>
  <c r="I27" i="5"/>
  <c r="K27" i="5" s="1"/>
  <c r="I28" i="5"/>
  <c r="K28" i="5" s="1"/>
  <c r="I29" i="5"/>
  <c r="K29" i="5" s="1"/>
  <c r="I30" i="5"/>
  <c r="K30" i="5" s="1"/>
  <c r="I31" i="5"/>
  <c r="K31" i="5" s="1"/>
  <c r="I32" i="5"/>
  <c r="K32" i="5" s="1"/>
  <c r="I33" i="5"/>
  <c r="K33" i="5" s="1"/>
  <c r="I34" i="5"/>
  <c r="K34" i="5" s="1"/>
  <c r="F36" i="5"/>
  <c r="G36" i="5"/>
  <c r="H36" i="5"/>
  <c r="J36" i="5"/>
  <c r="F40" i="5"/>
  <c r="F49" i="5" s="1"/>
  <c r="F142" i="5" s="1"/>
  <c r="I40" i="5"/>
  <c r="K40" i="5" s="1"/>
  <c r="I41" i="5"/>
  <c r="K41" i="5" s="1"/>
  <c r="I42" i="5"/>
  <c r="K42" i="5" s="1"/>
  <c r="K43" i="5"/>
  <c r="K44" i="5"/>
  <c r="K45" i="5"/>
  <c r="K46" i="5"/>
  <c r="K47" i="5"/>
  <c r="G49" i="5"/>
  <c r="G142" i="5" s="1"/>
  <c r="H49" i="5"/>
  <c r="I49" i="5"/>
  <c r="I142" i="5" s="1"/>
  <c r="J49" i="5"/>
  <c r="I53" i="5"/>
  <c r="K53" i="5" s="1"/>
  <c r="I54" i="5"/>
  <c r="K54" i="5" s="1"/>
  <c r="I55" i="5"/>
  <c r="K55" i="5" s="1"/>
  <c r="I56" i="5"/>
  <c r="K56" i="5" s="1"/>
  <c r="I57" i="5"/>
  <c r="K57" i="5" s="1"/>
  <c r="I58" i="5"/>
  <c r="K58" i="5" s="1"/>
  <c r="I59" i="5"/>
  <c r="K59" i="5" s="1"/>
  <c r="K60" i="5"/>
  <c r="K61" i="5"/>
  <c r="K62" i="5"/>
  <c r="F64" i="5"/>
  <c r="F143" i="5" s="1"/>
  <c r="G64" i="5"/>
  <c r="H64" i="5"/>
  <c r="J64" i="5"/>
  <c r="I68" i="5"/>
  <c r="K68" i="5" s="1"/>
  <c r="K69" i="5"/>
  <c r="K70" i="5"/>
  <c r="K71" i="5"/>
  <c r="K72" i="5"/>
  <c r="F74" i="5"/>
  <c r="G74" i="5"/>
  <c r="G144" i="5" s="1"/>
  <c r="H74" i="5"/>
  <c r="J74" i="5"/>
  <c r="J144" i="5" s="1"/>
  <c r="H77" i="5"/>
  <c r="K77" i="5" s="1"/>
  <c r="K78" i="5"/>
  <c r="H79" i="5"/>
  <c r="I79" i="5"/>
  <c r="K79" i="5" s="1"/>
  <c r="I80" i="5"/>
  <c r="K80" i="5" s="1"/>
  <c r="F82" i="5"/>
  <c r="G82" i="5"/>
  <c r="H82" i="5"/>
  <c r="J82" i="5"/>
  <c r="I86" i="5"/>
  <c r="K86" i="5" s="1"/>
  <c r="I87" i="5"/>
  <c r="K87" i="5" s="1"/>
  <c r="I88" i="5"/>
  <c r="K88" i="5" s="1"/>
  <c r="I89" i="5"/>
  <c r="K89" i="5" s="1"/>
  <c r="I90" i="5"/>
  <c r="K90" i="5" s="1"/>
  <c r="I91" i="5"/>
  <c r="K91" i="5" s="1"/>
  <c r="I92" i="5"/>
  <c r="K92" i="5" s="1"/>
  <c r="I93" i="5"/>
  <c r="K93" i="5" s="1"/>
  <c r="I94" i="5"/>
  <c r="K94" i="5" s="1"/>
  <c r="I95" i="5"/>
  <c r="K95" i="5" s="1"/>
  <c r="I96" i="5"/>
  <c r="K96" i="5" s="1"/>
  <c r="F98" i="5"/>
  <c r="G98" i="5"/>
  <c r="G146" i="5" s="1"/>
  <c r="H98" i="5"/>
  <c r="J98" i="5"/>
  <c r="J146" i="5" s="1"/>
  <c r="I102" i="5"/>
  <c r="K102" i="5" s="1"/>
  <c r="I103" i="5"/>
  <c r="K103" i="5" s="1"/>
  <c r="I104" i="5"/>
  <c r="K104" i="5" s="1"/>
  <c r="I105" i="5"/>
  <c r="K105" i="5" s="1"/>
  <c r="I106" i="5"/>
  <c r="K106" i="5" s="1"/>
  <c r="F108" i="5"/>
  <c r="G108" i="5"/>
  <c r="H108" i="5"/>
  <c r="J108" i="5"/>
  <c r="F118" i="5"/>
  <c r="F119" i="5" s="1"/>
  <c r="F123" i="5" s="1"/>
  <c r="F127" i="5" s="1"/>
  <c r="K131" i="5"/>
  <c r="K137" i="5" s="1"/>
  <c r="K149" i="5" s="1"/>
  <c r="K132" i="5"/>
  <c r="K133" i="5"/>
  <c r="K134" i="5"/>
  <c r="K135" i="5"/>
  <c r="F137" i="5"/>
  <c r="F149" i="5" s="1"/>
  <c r="G137" i="5"/>
  <c r="G149" i="5" s="1"/>
  <c r="H137" i="5"/>
  <c r="I137" i="5"/>
  <c r="I149" i="5" s="1"/>
  <c r="J137" i="5"/>
  <c r="J149" i="5" s="1"/>
  <c r="F141" i="5"/>
  <c r="G141" i="5"/>
  <c r="H141" i="5"/>
  <c r="H152" i="5" s="1"/>
  <c r="J141" i="5"/>
  <c r="H142" i="5"/>
  <c r="J142" i="5"/>
  <c r="G143" i="5"/>
  <c r="H143" i="5"/>
  <c r="J143" i="5"/>
  <c r="F144" i="5"/>
  <c r="H144" i="5"/>
  <c r="F145" i="5"/>
  <c r="G145" i="5"/>
  <c r="H145" i="5"/>
  <c r="J145" i="5"/>
  <c r="F146" i="5"/>
  <c r="H146" i="5"/>
  <c r="F147" i="5"/>
  <c r="G147" i="5"/>
  <c r="H147" i="5"/>
  <c r="J147" i="5"/>
  <c r="K148" i="5"/>
  <c r="H149" i="5"/>
  <c r="H150" i="5"/>
  <c r="I150" i="5"/>
  <c r="J150" i="5"/>
  <c r="K150" i="5"/>
  <c r="K18" i="3"/>
  <c r="I21" i="3"/>
  <c r="K21" i="3" s="1"/>
  <c r="I22" i="3"/>
  <c r="K22" i="3" s="1"/>
  <c r="I23" i="3"/>
  <c r="K23" i="3" s="1"/>
  <c r="K24" i="3"/>
  <c r="I25" i="3"/>
  <c r="K25" i="3" s="1"/>
  <c r="I26" i="3"/>
  <c r="K26" i="3" s="1"/>
  <c r="I27" i="3"/>
  <c r="K27" i="3" s="1"/>
  <c r="I28" i="3"/>
  <c r="K28" i="3" s="1"/>
  <c r="I29" i="3"/>
  <c r="K29" i="3" s="1"/>
  <c r="I30" i="3"/>
  <c r="K30" i="3" s="1"/>
  <c r="I31" i="3"/>
  <c r="K31" i="3" s="1"/>
  <c r="I32" i="3"/>
  <c r="K32" i="3" s="1"/>
  <c r="I33" i="3"/>
  <c r="K33" i="3" s="1"/>
  <c r="I34" i="3"/>
  <c r="K34" i="3" s="1"/>
  <c r="F36" i="3"/>
  <c r="G36" i="3"/>
  <c r="H36" i="3"/>
  <c r="J36" i="3"/>
  <c r="K40" i="3"/>
  <c r="K41" i="3"/>
  <c r="K42" i="3"/>
  <c r="K43" i="3"/>
  <c r="K49" i="3" s="1"/>
  <c r="K142" i="3" s="1"/>
  <c r="K44" i="3"/>
  <c r="K45" i="3"/>
  <c r="K46" i="3"/>
  <c r="K47" i="3"/>
  <c r="F49" i="3"/>
  <c r="G49" i="3"/>
  <c r="H49" i="3"/>
  <c r="I49" i="3"/>
  <c r="J49" i="3"/>
  <c r="I53" i="3"/>
  <c r="K53" i="3" s="1"/>
  <c r="K54" i="3"/>
  <c r="I55" i="3"/>
  <c r="K55" i="3"/>
  <c r="I56" i="3"/>
  <c r="K56" i="3"/>
  <c r="I57" i="3"/>
  <c r="K57" i="3"/>
  <c r="I58" i="3"/>
  <c r="K58" i="3"/>
  <c r="I59" i="3"/>
  <c r="K59" i="3"/>
  <c r="I60" i="3"/>
  <c r="K60" i="3"/>
  <c r="K61" i="3"/>
  <c r="K62" i="3"/>
  <c r="F64" i="3"/>
  <c r="F143" i="3" s="1"/>
  <c r="G64" i="3"/>
  <c r="H64" i="3"/>
  <c r="I64" i="3"/>
  <c r="J64" i="3"/>
  <c r="K68" i="3"/>
  <c r="K69" i="3"/>
  <c r="K70" i="3"/>
  <c r="K71" i="3"/>
  <c r="K72" i="3"/>
  <c r="F74" i="3"/>
  <c r="G74" i="3"/>
  <c r="G144" i="3" s="1"/>
  <c r="H74" i="3"/>
  <c r="I74" i="3"/>
  <c r="I144" i="3" s="1"/>
  <c r="J74" i="3"/>
  <c r="K77" i="3"/>
  <c r="K78" i="3"/>
  <c r="K79" i="3"/>
  <c r="K80" i="3"/>
  <c r="F82" i="3"/>
  <c r="F145" i="3" s="1"/>
  <c r="G82" i="3"/>
  <c r="H82" i="3"/>
  <c r="H145" i="3" s="1"/>
  <c r="I82" i="3"/>
  <c r="J82" i="3"/>
  <c r="J145" i="3" s="1"/>
  <c r="I86" i="3"/>
  <c r="K86" i="3" s="1"/>
  <c r="K87" i="3"/>
  <c r="I88" i="3"/>
  <c r="K88" i="3"/>
  <c r="K89" i="3"/>
  <c r="K90" i="3"/>
  <c r="I91" i="3"/>
  <c r="K91" i="3"/>
  <c r="K92" i="3"/>
  <c r="I93" i="3"/>
  <c r="K93" i="3" s="1"/>
  <c r="I94" i="3"/>
  <c r="K94" i="3" s="1"/>
  <c r="I95" i="3"/>
  <c r="K95" i="3" s="1"/>
  <c r="I96" i="3"/>
  <c r="K96" i="3" s="1"/>
  <c r="F98" i="3"/>
  <c r="G98" i="3"/>
  <c r="H98" i="3"/>
  <c r="J98" i="3"/>
  <c r="I102" i="3"/>
  <c r="K102" i="3" s="1"/>
  <c r="I103" i="3"/>
  <c r="K103" i="3" s="1"/>
  <c r="I104" i="3"/>
  <c r="K104" i="3" s="1"/>
  <c r="I105" i="3"/>
  <c r="K105" i="3" s="1"/>
  <c r="K106" i="3"/>
  <c r="F108" i="3"/>
  <c r="G108" i="3"/>
  <c r="G147" i="3" s="1"/>
  <c r="H108" i="3"/>
  <c r="I108" i="3"/>
  <c r="I147" i="3" s="1"/>
  <c r="J108" i="3"/>
  <c r="F119" i="3"/>
  <c r="K131" i="3"/>
  <c r="K137" i="3" s="1"/>
  <c r="K149" i="3" s="1"/>
  <c r="K132" i="3"/>
  <c r="K133" i="3"/>
  <c r="K134" i="3"/>
  <c r="K135" i="3"/>
  <c r="F137" i="3"/>
  <c r="F149" i="3" s="1"/>
  <c r="G137" i="3"/>
  <c r="H137" i="3"/>
  <c r="I137" i="3"/>
  <c r="I149" i="3" s="1"/>
  <c r="J137" i="3"/>
  <c r="J149" i="3" s="1"/>
  <c r="F141" i="3"/>
  <c r="G141" i="3"/>
  <c r="G152" i="3" s="1"/>
  <c r="H141" i="3"/>
  <c r="J141" i="3"/>
  <c r="F142" i="3"/>
  <c r="G142" i="3"/>
  <c r="H142" i="3"/>
  <c r="I142" i="3"/>
  <c r="J142" i="3"/>
  <c r="G143" i="3"/>
  <c r="H143" i="3"/>
  <c r="I143" i="3"/>
  <c r="J143" i="3"/>
  <c r="F144" i="3"/>
  <c r="H144" i="3"/>
  <c r="H152" i="3" s="1"/>
  <c r="J144" i="3"/>
  <c r="G145" i="3"/>
  <c r="I145" i="3"/>
  <c r="F146" i="3"/>
  <c r="G146" i="3"/>
  <c r="H146" i="3"/>
  <c r="J146" i="3"/>
  <c r="F147" i="3"/>
  <c r="H147" i="3"/>
  <c r="J147" i="3"/>
  <c r="K148" i="3"/>
  <c r="G149" i="3"/>
  <c r="H149" i="3"/>
  <c r="H150" i="3"/>
  <c r="I150" i="3"/>
  <c r="J150" i="3"/>
  <c r="K150" i="3"/>
  <c r="K18" i="2"/>
  <c r="F36" i="2"/>
  <c r="G36" i="2"/>
  <c r="G141" i="2" s="1"/>
  <c r="H36" i="2"/>
  <c r="J36" i="2"/>
  <c r="J141" i="2" s="1"/>
  <c r="J152" i="2" s="1"/>
  <c r="K40" i="2"/>
  <c r="K41" i="2"/>
  <c r="K42" i="2"/>
  <c r="K43" i="2"/>
  <c r="K49" i="2" s="1"/>
  <c r="K142" i="2" s="1"/>
  <c r="K44" i="2"/>
  <c r="K45" i="2"/>
  <c r="K46" i="2"/>
  <c r="K47" i="2"/>
  <c r="F49" i="2"/>
  <c r="G49" i="2"/>
  <c r="G142" i="2" s="1"/>
  <c r="H49" i="2"/>
  <c r="I49" i="2"/>
  <c r="I142" i="2" s="1"/>
  <c r="J49" i="2"/>
  <c r="K53" i="2"/>
  <c r="K54" i="2"/>
  <c r="K64" i="2" s="1"/>
  <c r="K143" i="2" s="1"/>
  <c r="K55" i="2"/>
  <c r="K56" i="2"/>
  <c r="K57" i="2"/>
  <c r="K58" i="2"/>
  <c r="K59" i="2"/>
  <c r="K60" i="2"/>
  <c r="K61" i="2"/>
  <c r="K62" i="2"/>
  <c r="F64" i="2"/>
  <c r="F36" i="52" s="1"/>
  <c r="F104" i="52" s="1"/>
  <c r="F113" i="52" s="1"/>
  <c r="G64" i="2"/>
  <c r="G143" i="2" s="1"/>
  <c r="H64" i="2"/>
  <c r="I64" i="2"/>
  <c r="I143" i="2" s="1"/>
  <c r="J64" i="2"/>
  <c r="K68" i="2"/>
  <c r="K74" i="2" s="1"/>
  <c r="K144" i="2" s="1"/>
  <c r="K69" i="2"/>
  <c r="K70" i="2"/>
  <c r="K71" i="2"/>
  <c r="K72" i="2"/>
  <c r="F74" i="2"/>
  <c r="G74" i="2"/>
  <c r="H74" i="2"/>
  <c r="I74" i="2"/>
  <c r="J74" i="2"/>
  <c r="K77" i="2"/>
  <c r="K82" i="2" s="1"/>
  <c r="K145" i="2" s="1"/>
  <c r="K78" i="2"/>
  <c r="K79" i="2"/>
  <c r="K80" i="2"/>
  <c r="F82" i="2"/>
  <c r="G82" i="2"/>
  <c r="H82" i="2"/>
  <c r="I82" i="2"/>
  <c r="J82" i="2"/>
  <c r="F98" i="2"/>
  <c r="G98" i="2"/>
  <c r="H98" i="2"/>
  <c r="J98" i="2"/>
  <c r="F108" i="2"/>
  <c r="G108" i="2"/>
  <c r="H108" i="2"/>
  <c r="J108" i="2"/>
  <c r="F114" i="2"/>
  <c r="I21" i="2" s="1"/>
  <c r="F119" i="2"/>
  <c r="F123" i="2"/>
  <c r="F125" i="2"/>
  <c r="F127" i="2"/>
  <c r="K131" i="2"/>
  <c r="K132" i="2"/>
  <c r="K137" i="2" s="1"/>
  <c r="K149" i="2" s="1"/>
  <c r="K133" i="2"/>
  <c r="K134" i="2"/>
  <c r="K135" i="2"/>
  <c r="F137" i="2"/>
  <c r="F149" i="2" s="1"/>
  <c r="G137" i="2"/>
  <c r="H137" i="2"/>
  <c r="H149" i="2" s="1"/>
  <c r="H152" i="2" s="1"/>
  <c r="I137" i="2"/>
  <c r="J137" i="2"/>
  <c r="J149" i="2" s="1"/>
  <c r="F141" i="2"/>
  <c r="H141" i="2"/>
  <c r="F142" i="2"/>
  <c r="H142" i="2"/>
  <c r="J142" i="2"/>
  <c r="F143" i="2"/>
  <c r="H143" i="2"/>
  <c r="J143" i="2"/>
  <c r="F144" i="2"/>
  <c r="G144" i="2"/>
  <c r="H144" i="2"/>
  <c r="I144" i="2"/>
  <c r="J144" i="2"/>
  <c r="F145" i="2"/>
  <c r="G145" i="2"/>
  <c r="H145" i="2"/>
  <c r="I145" i="2"/>
  <c r="J145" i="2"/>
  <c r="F146" i="2"/>
  <c r="G146" i="2"/>
  <c r="H146" i="2"/>
  <c r="J146" i="2"/>
  <c r="F147" i="2"/>
  <c r="G147" i="2"/>
  <c r="H147" i="2"/>
  <c r="J147" i="2"/>
  <c r="K148" i="2"/>
  <c r="G149" i="2"/>
  <c r="I149" i="2"/>
  <c r="H150" i="2"/>
  <c r="I150" i="2"/>
  <c r="J150" i="2"/>
  <c r="K150" i="2"/>
  <c r="I44" i="1"/>
  <c r="G36" i="1"/>
  <c r="G141" i="1"/>
  <c r="G98" i="1"/>
  <c r="G146" i="1"/>
  <c r="G64" i="1"/>
  <c r="G143" i="1"/>
  <c r="G49" i="1"/>
  <c r="G142" i="1"/>
  <c r="H36" i="1"/>
  <c r="H141" i="1"/>
  <c r="H108" i="1"/>
  <c r="H147" i="1"/>
  <c r="H150" i="1"/>
  <c r="H98" i="1"/>
  <c r="H146" i="1" s="1"/>
  <c r="H64" i="1"/>
  <c r="H143" i="1" s="1"/>
  <c r="H49" i="1"/>
  <c r="H142" i="1" s="1"/>
  <c r="I30" i="1"/>
  <c r="K30" i="1" s="1"/>
  <c r="I22" i="1"/>
  <c r="I23" i="1"/>
  <c r="I24" i="1"/>
  <c r="I25" i="1"/>
  <c r="I26" i="1"/>
  <c r="I27" i="1"/>
  <c r="I28" i="1"/>
  <c r="I29" i="1"/>
  <c r="I31" i="1"/>
  <c r="I32" i="1"/>
  <c r="I33" i="1"/>
  <c r="I34" i="1"/>
  <c r="I102" i="1"/>
  <c r="I103" i="1"/>
  <c r="I104" i="1"/>
  <c r="I105" i="1"/>
  <c r="I106" i="1"/>
  <c r="I108" i="1"/>
  <c r="I147" i="1" s="1"/>
  <c r="I86" i="1"/>
  <c r="I87" i="1"/>
  <c r="K87" i="1" s="1"/>
  <c r="I88" i="1"/>
  <c r="I89" i="1"/>
  <c r="K89" i="1" s="1"/>
  <c r="I92" i="1"/>
  <c r="I93" i="1"/>
  <c r="K93" i="1" s="1"/>
  <c r="I95" i="1"/>
  <c r="I96" i="1"/>
  <c r="I49" i="1"/>
  <c r="I142" i="1" s="1"/>
  <c r="J150" i="1"/>
  <c r="J36" i="1"/>
  <c r="J141" i="1" s="1"/>
  <c r="K21" i="1"/>
  <c r="K22" i="1"/>
  <c r="K23" i="1"/>
  <c r="K24" i="1"/>
  <c r="K25" i="1"/>
  <c r="K26" i="1"/>
  <c r="K27" i="1"/>
  <c r="K28" i="1"/>
  <c r="K29" i="1"/>
  <c r="K31" i="1"/>
  <c r="K32" i="1"/>
  <c r="K33" i="1"/>
  <c r="K34" i="1"/>
  <c r="K102" i="1"/>
  <c r="K103" i="1"/>
  <c r="K104" i="1"/>
  <c r="K105" i="1"/>
  <c r="K106" i="1"/>
  <c r="K108" i="1"/>
  <c r="K147" i="1" s="1"/>
  <c r="K148" i="1"/>
  <c r="K86" i="1"/>
  <c r="K88" i="1"/>
  <c r="K90" i="1"/>
  <c r="K91" i="1"/>
  <c r="K92" i="1"/>
  <c r="K94" i="1"/>
  <c r="K95" i="1"/>
  <c r="K96" i="1"/>
  <c r="K18" i="1"/>
  <c r="K150" i="1" s="1"/>
  <c r="K56" i="1"/>
  <c r="K44" i="1"/>
  <c r="F36" i="1"/>
  <c r="F141" i="1"/>
  <c r="F108" i="1"/>
  <c r="F147" i="1"/>
  <c r="F98" i="1"/>
  <c r="F146" i="1"/>
  <c r="F64" i="1"/>
  <c r="F143" i="1"/>
  <c r="F49" i="1"/>
  <c r="F142" i="1"/>
  <c r="I150" i="1"/>
  <c r="F119" i="1"/>
  <c r="I74" i="1"/>
  <c r="G74" i="1"/>
  <c r="G144" i="1" s="1"/>
  <c r="H74" i="1"/>
  <c r="H144" i="1" s="1"/>
  <c r="F74" i="1"/>
  <c r="F144" i="1" s="1"/>
  <c r="J49" i="1"/>
  <c r="J142" i="1" s="1"/>
  <c r="I144" i="1"/>
  <c r="I82" i="1"/>
  <c r="I145" i="1" s="1"/>
  <c r="K131" i="1"/>
  <c r="K132" i="1"/>
  <c r="K137" i="1" s="1"/>
  <c r="K149" i="1" s="1"/>
  <c r="K133" i="1"/>
  <c r="K134" i="1"/>
  <c r="K135" i="1"/>
  <c r="J137" i="1"/>
  <c r="J149" i="1" s="1"/>
  <c r="I137" i="1"/>
  <c r="I149" i="1" s="1"/>
  <c r="H137" i="1"/>
  <c r="H149" i="1" s="1"/>
  <c r="G137" i="1"/>
  <c r="G149" i="1" s="1"/>
  <c r="F137" i="1"/>
  <c r="F149" i="1" s="1"/>
  <c r="J108" i="1"/>
  <c r="J147" i="1" s="1"/>
  <c r="G108" i="1"/>
  <c r="G147" i="1" s="1"/>
  <c r="J98" i="1"/>
  <c r="J146" i="1" s="1"/>
  <c r="K77" i="1"/>
  <c r="K82" i="1" s="1"/>
  <c r="K145" i="1" s="1"/>
  <c r="K78" i="1"/>
  <c r="K79" i="1"/>
  <c r="K80" i="1"/>
  <c r="J82" i="1"/>
  <c r="J145" i="1" s="1"/>
  <c r="H82" i="1"/>
  <c r="H145" i="1" s="1"/>
  <c r="G82" i="1"/>
  <c r="G145" i="1" s="1"/>
  <c r="F82" i="1"/>
  <c r="F145" i="1" s="1"/>
  <c r="K68" i="1"/>
  <c r="K74" i="1" s="1"/>
  <c r="K144" i="1" s="1"/>
  <c r="K69" i="1"/>
  <c r="K70" i="1"/>
  <c r="K71" i="1"/>
  <c r="K72" i="1"/>
  <c r="J74" i="1"/>
  <c r="J144" i="1" s="1"/>
  <c r="K53" i="1"/>
  <c r="K54" i="1"/>
  <c r="K55" i="1"/>
  <c r="K57" i="1"/>
  <c r="K58" i="1"/>
  <c r="K59" i="1"/>
  <c r="K60" i="1"/>
  <c r="K61" i="1"/>
  <c r="K62" i="1"/>
  <c r="J64" i="1"/>
  <c r="J143" i="1"/>
  <c r="I64" i="1"/>
  <c r="I143" i="1"/>
  <c r="K40" i="1"/>
  <c r="K41" i="1"/>
  <c r="K42" i="1"/>
  <c r="K43" i="1"/>
  <c r="K45" i="1"/>
  <c r="K46" i="1"/>
  <c r="K47" i="1"/>
  <c r="F152" i="2" l="1"/>
  <c r="F152" i="3"/>
  <c r="K36" i="5"/>
  <c r="K141" i="5" s="1"/>
  <c r="J152" i="3"/>
  <c r="K64" i="5"/>
  <c r="K143" i="5" s="1"/>
  <c r="F152" i="5"/>
  <c r="K98" i="1"/>
  <c r="K146" i="1" s="1"/>
  <c r="J152" i="5"/>
  <c r="K64" i="1"/>
  <c r="K143" i="1" s="1"/>
  <c r="K36" i="1"/>
  <c r="K141" i="1" s="1"/>
  <c r="K152" i="1" s="1"/>
  <c r="I36" i="1"/>
  <c r="I141" i="1" s="1"/>
  <c r="K82" i="3"/>
  <c r="K145" i="3" s="1"/>
  <c r="I64" i="5"/>
  <c r="I143" i="5" s="1"/>
  <c r="I98" i="1"/>
  <c r="I146" i="1" s="1"/>
  <c r="G152" i="2"/>
  <c r="K74" i="3"/>
  <c r="K144" i="3" s="1"/>
  <c r="K36" i="3"/>
  <c r="K141" i="3" s="1"/>
  <c r="I36" i="5"/>
  <c r="I141" i="5" s="1"/>
  <c r="K74" i="5"/>
  <c r="K144" i="5" s="1"/>
  <c r="F154" i="6"/>
  <c r="F155" i="6"/>
  <c r="K49" i="1"/>
  <c r="K142" i="1" s="1"/>
  <c r="K64" i="3"/>
  <c r="K143" i="3" s="1"/>
  <c r="I36" i="3"/>
  <c r="I141" i="3" s="1"/>
  <c r="G152" i="5"/>
  <c r="K108" i="5"/>
  <c r="K147" i="5" s="1"/>
  <c r="K82" i="5"/>
  <c r="K145" i="5" s="1"/>
  <c r="K49" i="5"/>
  <c r="K142" i="5" s="1"/>
  <c r="K98" i="5"/>
  <c r="K146" i="5" s="1"/>
  <c r="I108" i="5"/>
  <c r="I147" i="5" s="1"/>
  <c r="I98" i="5"/>
  <c r="I146" i="5" s="1"/>
  <c r="I82" i="5"/>
  <c r="I145" i="5" s="1"/>
  <c r="I74" i="5"/>
  <c r="I144" i="5" s="1"/>
  <c r="K98" i="3"/>
  <c r="K146" i="3" s="1"/>
  <c r="K152" i="3" s="1"/>
  <c r="K108" i="3"/>
  <c r="K147" i="3" s="1"/>
  <c r="I98" i="3"/>
  <c r="I146" i="3" s="1"/>
  <c r="I152" i="3" s="1"/>
  <c r="K21" i="2"/>
  <c r="I106" i="2"/>
  <c r="K106" i="2" s="1"/>
  <c r="I105" i="2"/>
  <c r="K105" i="2" s="1"/>
  <c r="I104" i="2"/>
  <c r="K104" i="2" s="1"/>
  <c r="I103" i="2"/>
  <c r="K103" i="2" s="1"/>
  <c r="I102" i="2"/>
  <c r="I96" i="2"/>
  <c r="K96" i="2" s="1"/>
  <c r="I95" i="2"/>
  <c r="K95" i="2" s="1"/>
  <c r="I94" i="2"/>
  <c r="K94" i="2" s="1"/>
  <c r="I93" i="2"/>
  <c r="K93" i="2" s="1"/>
  <c r="I92" i="2"/>
  <c r="K92" i="2" s="1"/>
  <c r="I91" i="2"/>
  <c r="K91" i="2" s="1"/>
  <c r="I90" i="2"/>
  <c r="K90" i="2" s="1"/>
  <c r="I89" i="2"/>
  <c r="K89" i="2" s="1"/>
  <c r="I88" i="2"/>
  <c r="K88" i="2" s="1"/>
  <c r="I87" i="2"/>
  <c r="K87" i="2" s="1"/>
  <c r="I86" i="2"/>
  <c r="I34" i="2"/>
  <c r="K34" i="2" s="1"/>
  <c r="I33" i="2"/>
  <c r="K33" i="2" s="1"/>
  <c r="I32" i="2"/>
  <c r="K32" i="2" s="1"/>
  <c r="I31" i="2"/>
  <c r="K31" i="2" s="1"/>
  <c r="I30" i="2"/>
  <c r="K30" i="2" s="1"/>
  <c r="I29" i="2"/>
  <c r="K29" i="2" s="1"/>
  <c r="I28" i="2"/>
  <c r="K28" i="2" s="1"/>
  <c r="I27" i="2"/>
  <c r="K27" i="2" s="1"/>
  <c r="I26" i="2"/>
  <c r="K26" i="2" s="1"/>
  <c r="I25" i="2"/>
  <c r="K25" i="2" s="1"/>
  <c r="I24" i="2"/>
  <c r="K24" i="2" s="1"/>
  <c r="I23" i="2"/>
  <c r="K23" i="2" s="1"/>
  <c r="I22" i="2"/>
  <c r="K22" i="2" s="1"/>
  <c r="F152" i="1"/>
  <c r="J152" i="1"/>
  <c r="I152" i="1"/>
  <c r="G152" i="1"/>
  <c r="H152" i="1"/>
  <c r="I152" i="5" l="1"/>
  <c r="K152" i="5"/>
  <c r="F155" i="5"/>
  <c r="F154" i="5"/>
  <c r="F155" i="3"/>
  <c r="F154" i="3"/>
  <c r="K102" i="2"/>
  <c r="K108" i="2" s="1"/>
  <c r="K147" i="2" s="1"/>
  <c r="I108" i="2"/>
  <c r="I147" i="2" s="1"/>
  <c r="K36" i="2"/>
  <c r="K141" i="2" s="1"/>
  <c r="K86" i="2"/>
  <c r="K98" i="2" s="1"/>
  <c r="K146" i="2" s="1"/>
  <c r="I98" i="2"/>
  <c r="I146" i="2" s="1"/>
  <c r="I36" i="2"/>
  <c r="I141" i="2" s="1"/>
  <c r="I152" i="2" s="1"/>
  <c r="F154" i="1"/>
  <c r="F155" i="1"/>
  <c r="K152" i="2" l="1"/>
  <c r="F154" i="2" l="1"/>
  <c r="F155" i="2"/>
</calcChain>
</file>

<file path=xl/comments1.xml><?xml version="1.0" encoding="utf-8"?>
<comments xmlns="http://schemas.openxmlformats.org/spreadsheetml/2006/main">
  <authors>
    <author>JAJ12</author>
  </authors>
  <commentList>
    <comment ref="J41" authorId="0">
      <text>
        <r>
          <rPr>
            <b/>
            <sz val="8"/>
            <color indexed="81"/>
            <rFont val="Tahoma"/>
            <family val="2"/>
          </rPr>
          <t>JAJ12:</t>
        </r>
        <r>
          <rPr>
            <sz val="8"/>
            <color indexed="81"/>
            <rFont val="Tahoma"/>
            <family val="2"/>
          </rPr>
          <t xml:space="preserve">
minus 399,909 per rates.
399,909 is offsetting revenue from nursing extern program that should be counted in CBISA but not in the inventory spreadsheet</t>
        </r>
      </text>
    </comment>
  </commentList>
</comments>
</file>

<file path=xl/comments2.xml><?xml version="1.0" encoding="utf-8"?>
<comments xmlns="http://schemas.openxmlformats.org/spreadsheetml/2006/main">
  <authors>
    <author>MRosenbaum</author>
  </authors>
  <commentList>
    <comment ref="H18" authorId="0">
      <text>
        <r>
          <rPr>
            <b/>
            <sz val="12"/>
            <color indexed="81"/>
            <rFont val="Tahoma"/>
            <family val="2"/>
          </rPr>
          <t>MRosenbaum:</t>
        </r>
        <r>
          <rPr>
            <sz val="12"/>
            <color indexed="81"/>
            <rFont val="Tahoma"/>
            <family val="2"/>
          </rPr>
          <t xml:space="preserve">
From HSCRC MA Deficit Memo </t>
        </r>
        <r>
          <rPr>
            <b/>
            <u/>
            <sz val="12"/>
            <color indexed="10"/>
            <rFont val="Tahoma"/>
            <family val="2"/>
          </rPr>
          <t>for FY12</t>
        </r>
      </text>
    </comment>
    <comment ref="J18" authorId="0">
      <text>
        <r>
          <rPr>
            <b/>
            <sz val="12"/>
            <color indexed="81"/>
            <rFont val="Tahoma"/>
            <family val="2"/>
          </rPr>
          <t>MRosenbaum:</t>
        </r>
        <r>
          <rPr>
            <sz val="12"/>
            <color indexed="81"/>
            <rFont val="Tahoma"/>
            <family val="2"/>
          </rPr>
          <t xml:space="preserve">
From HSCRC MA Deficit Memo </t>
        </r>
        <r>
          <rPr>
            <b/>
            <u/>
            <sz val="12"/>
            <color indexed="10"/>
            <rFont val="Tahoma"/>
            <family val="2"/>
          </rPr>
          <t>for FY12</t>
        </r>
      </text>
    </comment>
  </commentList>
</comments>
</file>

<file path=xl/sharedStrings.xml><?xml version="1.0" encoding="utf-8"?>
<sst xmlns="http://schemas.openxmlformats.org/spreadsheetml/2006/main" count="13401" uniqueCount="756">
  <si>
    <t>GENERAL INFORMATION</t>
  </si>
  <si>
    <t>Contact Person:</t>
  </si>
  <si>
    <t>Contact Number:</t>
  </si>
  <si>
    <t>HSCRC Hospital ID #:</t>
  </si>
  <si>
    <t># of Employees:</t>
  </si>
  <si>
    <t>Screenings</t>
  </si>
  <si>
    <t>Support Groups</t>
  </si>
  <si>
    <t>TOTAL</t>
  </si>
  <si>
    <t>COMMUNITY BENEFIT ACTIVITES</t>
  </si>
  <si>
    <t># OF STAFF HOURS</t>
  </si>
  <si>
    <t>Scholarships/Funding for Professional Education</t>
  </si>
  <si>
    <t>Other Health Professionals</t>
  </si>
  <si>
    <t>RESEARCH</t>
  </si>
  <si>
    <t>In-Kind Donations</t>
  </si>
  <si>
    <t>Economic Development</t>
  </si>
  <si>
    <t>FINANCIAL DATA</t>
  </si>
  <si>
    <t>OPERATING REVENUE</t>
  </si>
  <si>
    <t>Net Patient Service Revenue</t>
  </si>
  <si>
    <t>Other Revenue</t>
  </si>
  <si>
    <t>Total Revenue</t>
  </si>
  <si>
    <t>NET REVENUE (LOSS) FROM OPERATIONS</t>
  </si>
  <si>
    <t>NON-OPERATING GAINS (LOSSES)</t>
  </si>
  <si>
    <t>NET REVENUE (LOSS)</t>
  </si>
  <si>
    <t>FOUNDATION COMMUNITY BENEFIT</t>
  </si>
  <si>
    <t>Community Services</t>
  </si>
  <si>
    <t>Community Building</t>
  </si>
  <si>
    <t>TOTAL HOSPITAL COMMUNITY BENEFIT</t>
  </si>
  <si>
    <t>TOTAL FOUNDATION COMMUNITY BENEFIT</t>
  </si>
  <si>
    <t>% OF OPERATING EXPENSES</t>
  </si>
  <si>
    <t>DIRECT COST($)</t>
  </si>
  <si>
    <t>INDIRECT COST($)</t>
  </si>
  <si>
    <t>Physicians/Medical Students</t>
  </si>
  <si>
    <t>Contact Email:</t>
  </si>
  <si>
    <t>OFFSETTING REVENUE($)</t>
  </si>
  <si>
    <t>NET COMMUNITY BENEFIT</t>
  </si>
  <si>
    <t>INDIRECT COST RATIO</t>
  </si>
  <si>
    <t>TOTAL OPERATING EXPENSES</t>
  </si>
  <si>
    <t># OF ENCOUNTERS</t>
  </si>
  <si>
    <t>MISSION DRIVEN HEALTH SERVICES (please list)</t>
  </si>
  <si>
    <t>CHARITY CARE (report total only)</t>
  </si>
  <si>
    <t>Hospital Name:</t>
  </si>
  <si>
    <t>COMMUNITY HEALTH SERVICES</t>
  </si>
  <si>
    <t>Community Health Education</t>
  </si>
  <si>
    <t>Self-Help</t>
  </si>
  <si>
    <t>Community-Based Clinical Services</t>
  </si>
  <si>
    <t>One-Time/Occasionally Held Clinics</t>
  </si>
  <si>
    <t>Free Clinics</t>
  </si>
  <si>
    <t>Mobile Units</t>
  </si>
  <si>
    <t>Health Care Support Services</t>
  </si>
  <si>
    <t>HEALTH PROFESSIONS EDUCATION</t>
  </si>
  <si>
    <t>Nurses/Nursing Students</t>
  </si>
  <si>
    <t>C10</t>
  </si>
  <si>
    <t>Clinical Research</t>
  </si>
  <si>
    <t>Community Health Research</t>
  </si>
  <si>
    <t>Cash Donations</t>
  </si>
  <si>
    <t>Grants</t>
  </si>
  <si>
    <t>Cost of Fund Raising for Community Programs</t>
  </si>
  <si>
    <t>COMMUNITY BUILDING ACTIVITIES</t>
  </si>
  <si>
    <t>Environmental Improvements</t>
  </si>
  <si>
    <t>Leadership Development/Training for Community Members</t>
  </si>
  <si>
    <t>Coalition Building</t>
  </si>
  <si>
    <t>Community Benefit Operations</t>
  </si>
  <si>
    <t>Community health/health assets assessments</t>
  </si>
  <si>
    <t>COMMUNITY BENEFIT OPERATIONS</t>
  </si>
  <si>
    <t>Community Health Services</t>
  </si>
  <si>
    <t>Health Professions Education</t>
  </si>
  <si>
    <t>Mission Driven Health Care Services</t>
  </si>
  <si>
    <t>Research</t>
  </si>
  <si>
    <t>Financial Contributions</t>
  </si>
  <si>
    <t>Community Building Activities</t>
  </si>
  <si>
    <t>Charity Care</t>
  </si>
  <si>
    <t>Foundation Funded Community Benefit</t>
  </si>
  <si>
    <t>% of NET REVENUE</t>
  </si>
  <si>
    <t>N/A</t>
  </si>
  <si>
    <t>A00.</t>
  </si>
  <si>
    <t>A10</t>
  </si>
  <si>
    <t>A11</t>
  </si>
  <si>
    <t>A12</t>
  </si>
  <si>
    <t>A20</t>
  </si>
  <si>
    <t>A21</t>
  </si>
  <si>
    <t>A22</t>
  </si>
  <si>
    <t>A23</t>
  </si>
  <si>
    <t>A24</t>
  </si>
  <si>
    <t>A30</t>
  </si>
  <si>
    <t>A40</t>
  </si>
  <si>
    <t xml:space="preserve"> </t>
  </si>
  <si>
    <t>B00</t>
  </si>
  <si>
    <t>B10</t>
  </si>
  <si>
    <t>B20</t>
  </si>
  <si>
    <t>B30</t>
  </si>
  <si>
    <t>B40</t>
  </si>
  <si>
    <t>B50</t>
  </si>
  <si>
    <t>C00</t>
  </si>
  <si>
    <t>C20</t>
  </si>
  <si>
    <t>C30</t>
  </si>
  <si>
    <t>C40</t>
  </si>
  <si>
    <t>C50</t>
  </si>
  <si>
    <t>C60</t>
  </si>
  <si>
    <t>C70</t>
  </si>
  <si>
    <t>C80</t>
  </si>
  <si>
    <t>C90</t>
  </si>
  <si>
    <t>C91</t>
  </si>
  <si>
    <t>D00</t>
  </si>
  <si>
    <t>D10</t>
  </si>
  <si>
    <t>D20</t>
  </si>
  <si>
    <t>E00</t>
  </si>
  <si>
    <t>Cash and In-Kind Contributions</t>
  </si>
  <si>
    <t>E10</t>
  </si>
  <si>
    <t>E20</t>
  </si>
  <si>
    <t>E30</t>
  </si>
  <si>
    <t>E40</t>
  </si>
  <si>
    <t>F00</t>
  </si>
  <si>
    <t>F10</t>
  </si>
  <si>
    <t>Physical Improvements and Housing</t>
  </si>
  <si>
    <t>F20</t>
  </si>
  <si>
    <t>F30</t>
  </si>
  <si>
    <t>Community Support</t>
  </si>
  <si>
    <t>F40</t>
  </si>
  <si>
    <t>F50</t>
  </si>
  <si>
    <t>F60</t>
  </si>
  <si>
    <t>F70</t>
  </si>
  <si>
    <t>Advocacy for Community Health Improvements</t>
  </si>
  <si>
    <t>F80</t>
  </si>
  <si>
    <t>Workforce Development</t>
  </si>
  <si>
    <t>F90</t>
  </si>
  <si>
    <t>F91</t>
  </si>
  <si>
    <t>F92</t>
  </si>
  <si>
    <t>G31</t>
  </si>
  <si>
    <t>G30</t>
  </si>
  <si>
    <t>G32</t>
  </si>
  <si>
    <t>G00</t>
  </si>
  <si>
    <t>G10</t>
  </si>
  <si>
    <t>G20</t>
  </si>
  <si>
    <t>A41</t>
  </si>
  <si>
    <t>A42</t>
  </si>
  <si>
    <t>A43</t>
  </si>
  <si>
    <t>A44</t>
  </si>
  <si>
    <t>A99</t>
  </si>
  <si>
    <t>Total Community Health Services</t>
  </si>
  <si>
    <t>B51</t>
  </si>
  <si>
    <t>B52</t>
  </si>
  <si>
    <t>B53</t>
  </si>
  <si>
    <t>B99</t>
  </si>
  <si>
    <t>Total Health Professions Education</t>
  </si>
  <si>
    <t>C99</t>
  </si>
  <si>
    <t>Total Mission Driven Health Services</t>
  </si>
  <si>
    <t>D99</t>
  </si>
  <si>
    <t>Total Research</t>
  </si>
  <si>
    <t>E99</t>
  </si>
  <si>
    <t>Total Cash and In-Kind Contributions</t>
  </si>
  <si>
    <t>F99</t>
  </si>
  <si>
    <t>Total Community Building Activities</t>
  </si>
  <si>
    <t>Assigned Staff</t>
  </si>
  <si>
    <t>G99</t>
  </si>
  <si>
    <t>Total Community Benefit Operations</t>
  </si>
  <si>
    <t>H99</t>
  </si>
  <si>
    <t>H00</t>
  </si>
  <si>
    <t>J00</t>
  </si>
  <si>
    <t>J10</t>
  </si>
  <si>
    <t>J20</t>
  </si>
  <si>
    <t>J30</t>
  </si>
  <si>
    <t>J31</t>
  </si>
  <si>
    <t>J32</t>
  </si>
  <si>
    <t>J99</t>
  </si>
  <si>
    <t>Total Charity Care</t>
  </si>
  <si>
    <t>K99</t>
  </si>
  <si>
    <t>K00</t>
  </si>
  <si>
    <t>S99</t>
  </si>
  <si>
    <t>U99</t>
  </si>
  <si>
    <t>V99</t>
  </si>
  <si>
    <t>I00</t>
  </si>
  <si>
    <t>I10</t>
  </si>
  <si>
    <t>I20</t>
  </si>
  <si>
    <t>I30</t>
  </si>
  <si>
    <t>I40</t>
  </si>
  <si>
    <t>I50</t>
  </si>
  <si>
    <t>I60</t>
  </si>
  <si>
    <t>I70</t>
  </si>
  <si>
    <t>D30</t>
  </si>
  <si>
    <t>D31</t>
  </si>
  <si>
    <t>D32</t>
  </si>
  <si>
    <t>UNREIMBURSED MEDICAID COST</t>
  </si>
  <si>
    <t>Medicaid Costs</t>
  </si>
  <si>
    <t>Medicaid Assessments</t>
  </si>
  <si>
    <t>T00</t>
  </si>
  <si>
    <t>T99</t>
  </si>
  <si>
    <t>Medicaid Assesments</t>
  </si>
  <si>
    <t>FY 2012 COMMUNITY BENEFIT INVENTORY SPREADSHEET</t>
  </si>
  <si>
    <t>McCready Foundation</t>
  </si>
  <si>
    <t>Shane Kelley</t>
  </si>
  <si>
    <t>410.968.9635</t>
  </si>
  <si>
    <t>skelley@mccreadyfoundation.org</t>
  </si>
  <si>
    <t xml:space="preserve">Bloods Draws for Lab Corb </t>
  </si>
  <si>
    <t xml:space="preserve">Community Fitness Program </t>
  </si>
  <si>
    <t xml:space="preserve">Fundraising for Community </t>
  </si>
  <si>
    <t>Personal Care Program</t>
  </si>
  <si>
    <t>Student Training</t>
  </si>
  <si>
    <t xml:space="preserve">Joslin Diabetes Awarenwss Program associated with Harvard Medical School </t>
  </si>
  <si>
    <t xml:space="preserve">Transitional Care Program </t>
  </si>
  <si>
    <t xml:space="preserve">PG County Continuum of Breast Care </t>
  </si>
  <si>
    <t>Cbash @DCHweb.org        MDudley@DCHweb.org</t>
  </si>
  <si>
    <t>301-552-8087          301-552-8601</t>
  </si>
  <si>
    <t>Camille Bash  or  Mary Dudley</t>
  </si>
  <si>
    <t xml:space="preserve">Doctors Community Hospital </t>
  </si>
  <si>
    <t>Other: ACHI &amp; CBISA</t>
  </si>
  <si>
    <t>Outpatient Dialysis and Peritoneal Services</t>
  </si>
  <si>
    <t>Primary Care Physician Services</t>
  </si>
  <si>
    <t>Obstetric Physician Services</t>
  </si>
  <si>
    <t>Psychiatric Physician Services</t>
  </si>
  <si>
    <t>Hospitalists</t>
  </si>
  <si>
    <t>Hospice Services</t>
  </si>
  <si>
    <t>Blood Drives</t>
  </si>
  <si>
    <t>Organization Owned Urgent Care Centers (Frostburg &amp; Hunt Club)</t>
  </si>
  <si>
    <t>Othe Education Support</t>
  </si>
  <si>
    <t>Prescription Drugs Upon Discharge</t>
  </si>
  <si>
    <t>slutton@wmhs.com</t>
  </si>
  <si>
    <t>240-964-8032</t>
  </si>
  <si>
    <t>Scott Lutton</t>
  </si>
  <si>
    <t>2,313</t>
  </si>
  <si>
    <t>0027</t>
  </si>
  <si>
    <t>Western Maryland Health System</t>
  </si>
  <si>
    <t>PHYSICIAN SUBSIDIES FULFILLING HEALTH CARE NEED</t>
  </si>
  <si>
    <t>OTHER ANCILLARY CALL COVERAGE SERVICES</t>
  </si>
  <si>
    <t>INTENSVE CARE UNIT CALL COVERAGE SERVICES</t>
  </si>
  <si>
    <t>ACUTE CARE  &amp; PEDIATRIC HOSPITALIST PROGRAM</t>
  </si>
  <si>
    <t>HOSPITAL EMERGENCY &amp; BEHAVIORAL HEALTH SERVICES</t>
  </si>
  <si>
    <t>TRANSITIONAL CARE UNIT (SNF) SERVICES</t>
  </si>
  <si>
    <t>HEALTH CARE CLINIC SERVICES</t>
  </si>
  <si>
    <t>URGENT CARE CENTER SERVICES</t>
  </si>
  <si>
    <t>Student Job Shadowing</t>
  </si>
  <si>
    <t>mshaw@cmhlink.org</t>
  </si>
  <si>
    <t>410-535-4000 ext 5340</t>
  </si>
  <si>
    <t>W. Michael Shaw</t>
  </si>
  <si>
    <t>Calvert Memorial Hospital</t>
  </si>
  <si>
    <t>Psych Coverage in ED</t>
  </si>
  <si>
    <t>SAFE Program</t>
  </si>
  <si>
    <t>Healthcare for the Homeless</t>
  </si>
  <si>
    <t>OB Coverage</t>
  </si>
  <si>
    <t>Physician Charity Care</t>
  </si>
  <si>
    <t>PA Suppport for Charity Services</t>
  </si>
  <si>
    <t>ED Physician Loss</t>
  </si>
  <si>
    <t>Charity Prescription Program</t>
  </si>
  <si>
    <t>jtopper@mdmercy.com</t>
  </si>
  <si>
    <t>410-332-9313</t>
  </si>
  <si>
    <t>John Topper</t>
  </si>
  <si>
    <t>0008</t>
  </si>
  <si>
    <t>Mercy Medical Center, Inc.</t>
  </si>
  <si>
    <t>Other Resources</t>
  </si>
  <si>
    <t xml:space="preserve">Other Community Building Activities </t>
  </si>
  <si>
    <t>Subsidized Continuing Care</t>
  </si>
  <si>
    <t>Hospital Outpatient Services</t>
  </si>
  <si>
    <t>Medication Subsidies</t>
  </si>
  <si>
    <t xml:space="preserve">jmdonahoo@uhcc.com </t>
  </si>
  <si>
    <t>443-674-1290</t>
  </si>
  <si>
    <t>Jean-Marie Donahoo</t>
  </si>
  <si>
    <t>Union Hospital of Cecil County</t>
  </si>
  <si>
    <t>Physician Subsidies</t>
  </si>
  <si>
    <t>Partial Hospitalization Program/Inpatient Psychiatry</t>
  </si>
  <si>
    <t>Stork's Nest</t>
  </si>
  <si>
    <t>kdavidson@bwmc.umms.org</t>
  </si>
  <si>
    <t>410-787-4366</t>
  </si>
  <si>
    <t>Kim Davidson</t>
  </si>
  <si>
    <t>Baltimore Washington Medical Center</t>
  </si>
  <si>
    <t>COMMUNITY OUTPATIENT PSYCHIATRIC CLINICS</t>
  </si>
  <si>
    <t>UNIVERSITY CARE COMMUNITY CLINICS/UCARE</t>
  </si>
  <si>
    <t>ACUNNINGHAM@UMM.EDU</t>
  </si>
  <si>
    <t>410-328-1380</t>
  </si>
  <si>
    <t>ALICIA CUNNINGHAM</t>
  </si>
  <si>
    <t>0002, 8992, 8994</t>
  </si>
  <si>
    <t>UNIVERSITY OF MARYLAND MEDICAL CENTER</t>
  </si>
  <si>
    <t>House of Ruth - Cell Phone Donation</t>
  </si>
  <si>
    <t>Community Health Education Center (CHEC)</t>
  </si>
  <si>
    <t>Medical Library</t>
  </si>
  <si>
    <t>Spring Forward to Good Health and Fall Back to Good Health events</t>
  </si>
  <si>
    <t>Red Cross Blood Drives</t>
  </si>
  <si>
    <t>ghoward@marylandgeneral.org</t>
  </si>
  <si>
    <t>410-225-8218</t>
  </si>
  <si>
    <t>Garet Howard</t>
  </si>
  <si>
    <t>0038</t>
  </si>
  <si>
    <t>Maryland General Hospital</t>
  </si>
  <si>
    <t>Women's and Children's Services</t>
  </si>
  <si>
    <t>Emergency and Trauma Services</t>
  </si>
  <si>
    <t>Other</t>
  </si>
  <si>
    <t>lauren.rose@medstar.net</t>
  </si>
  <si>
    <t>410-933-2313</t>
  </si>
  <si>
    <t>Lauren Rose</t>
  </si>
  <si>
    <t>MedStar Franklin Square Hospital Center</t>
  </si>
  <si>
    <t>Grant Writing and Other Fundraising</t>
  </si>
  <si>
    <t>Outpatient Renal</t>
  </si>
  <si>
    <t>ED Coverage-Surgery</t>
  </si>
  <si>
    <t>Urology</t>
  </si>
  <si>
    <t>Psychiatry</t>
  </si>
  <si>
    <t>Hospitalist</t>
  </si>
  <si>
    <t>Women's Services</t>
  </si>
  <si>
    <t>Patient Transportation</t>
  </si>
  <si>
    <t>MedStar Good Samaritan Hospital</t>
  </si>
  <si>
    <t>Other (Primary Care)</t>
  </si>
  <si>
    <t>Behavorial Health Services</t>
  </si>
  <si>
    <t>Drugs &amp; Pharmaceuticals</t>
  </si>
  <si>
    <t>MedStar Harbor Hospital</t>
  </si>
  <si>
    <t>Corporate Community Benefit</t>
  </si>
  <si>
    <t>Pallative Care - Hospitalists</t>
  </si>
  <si>
    <t>Behaviorial Health Services - Psychiatry</t>
  </si>
  <si>
    <t xml:space="preserve">Health Education </t>
  </si>
  <si>
    <t>Medstar Montgomery Medical Center</t>
  </si>
  <si>
    <t>corporate and other</t>
  </si>
  <si>
    <t>subsidized continuing care</t>
  </si>
  <si>
    <t>Emergency and trauma Services</t>
  </si>
  <si>
    <t>MedStar St Mary's Hospital</t>
  </si>
  <si>
    <t>Renal Dialysis C6</t>
  </si>
  <si>
    <t>Behavioral Health Services C8</t>
  </si>
  <si>
    <t>Women's  and Children Services C5</t>
  </si>
  <si>
    <t>Hospitalists C10</t>
  </si>
  <si>
    <t>Emergency and Trauma Services C1</t>
  </si>
  <si>
    <t>21-0024</t>
  </si>
  <si>
    <t>Medstar Union Memorial Hospital</t>
  </si>
  <si>
    <t>Development of Healthcare Models-IRB</t>
  </si>
  <si>
    <t>Cancer Registry</t>
  </si>
  <si>
    <t>Anesthesia Subsidy</t>
  </si>
  <si>
    <t>Hospitalists Subsidized Care</t>
  </si>
  <si>
    <t>ER Subsidy</t>
  </si>
  <si>
    <t>jsessa@lifebridgehealth.org</t>
  </si>
  <si>
    <t>410-323-4601</t>
  </si>
  <si>
    <t>Julie Sessa</t>
  </si>
  <si>
    <t>Northwest Hospital</t>
  </si>
  <si>
    <t>Office Expense</t>
  </si>
  <si>
    <t>COMMUNITY BUILDING ACTIVITIES - OTHER</t>
  </si>
  <si>
    <t>MISSION DRIVEN HEALTH SERVICES - OTHER</t>
  </si>
  <si>
    <t>Pain Treatment Day Hospital Housing</t>
  </si>
  <si>
    <t>Supportive Housing for Male Substance Abuse Patients (Helping Up Mission)</t>
  </si>
  <si>
    <t>Schizophrenia Day Hospital Housing</t>
  </si>
  <si>
    <t>Eating Disorders Day Hospital Supportive Housing</t>
  </si>
  <si>
    <t>Geriatric Psych Day Hospital Patient Transportation</t>
  </si>
  <si>
    <t>Homeless Outreach Services Team - HOST</t>
  </si>
  <si>
    <t>Wilson House</t>
  </si>
  <si>
    <t>PAODD- Alcohol and Other Dependency Drugs Program</t>
  </si>
  <si>
    <t>CPP Case Management</t>
  </si>
  <si>
    <t>HEALTH PROFESSIONS EDUCATION - OTHER</t>
  </si>
  <si>
    <t>COMMUNITY HEALTH SERVICES - OTHER</t>
  </si>
  <si>
    <t>zhosped1@jhmi.edu</t>
  </si>
  <si>
    <t>410-614-2430</t>
  </si>
  <si>
    <t>Zakia Hospedales</t>
  </si>
  <si>
    <t>8997</t>
  </si>
  <si>
    <t>0009</t>
  </si>
  <si>
    <t>The Johns Hopkins Hospital</t>
  </si>
  <si>
    <t>Live Near Your Work</t>
  </si>
  <si>
    <t>Health Leads</t>
  </si>
  <si>
    <t>Other On-call Coverage</t>
  </si>
  <si>
    <t>TAP</t>
  </si>
  <si>
    <t>Health Education &amp; Social Services</t>
  </si>
  <si>
    <t>Baltimore Medical System (BMS)</t>
  </si>
  <si>
    <t>Teaching Community Education</t>
  </si>
  <si>
    <t>Wyman Park Community Services</t>
  </si>
  <si>
    <t>Emergency Medicine on-call</t>
  </si>
  <si>
    <t xml:space="preserve">Trauma on-call </t>
  </si>
  <si>
    <t>Short-term post acute care for people in need</t>
  </si>
  <si>
    <t>Social Work Prescriptions</t>
  </si>
  <si>
    <t>gadams@jhmi.edu or kmoelle@jhmi.edu</t>
  </si>
  <si>
    <t>410-550-0289 or 443-997-0639</t>
  </si>
  <si>
    <t>Gayle Adams or Kim Moeller</t>
  </si>
  <si>
    <t>0029</t>
  </si>
  <si>
    <t>Johns Hopkins Bayview Medical Center</t>
  </si>
  <si>
    <t>Other - Community Building</t>
  </si>
  <si>
    <t>Other (Agewell Grant &amp; Healthy Family, Howard County (HFHC)</t>
  </si>
  <si>
    <t>Let Go of Tobacco - Grant</t>
  </si>
  <si>
    <t>Other Physician Subsidies (Cardiology, Perinatology, Hopitalist, Dr. Abraham)</t>
  </si>
  <si>
    <t>Mission Driven Services - Physician Subsidies - OB/GYN (ED &amp; IP Coverage)</t>
  </si>
  <si>
    <t>Mission Driven Services - Physician Subsidies - Anesthesia</t>
  </si>
  <si>
    <t>Mission Driven Services - Physician Subsidies - Interventional Cardiology On-Call</t>
  </si>
  <si>
    <t>Mission Driven Services - Physician Subsidies - Urology</t>
  </si>
  <si>
    <t>Mission Driven Services - Physician Subsidies - Otolaryngology On-Call</t>
  </si>
  <si>
    <t>Mission Driven Services - Physician Subsidies - Psych ED/IP Coverage</t>
  </si>
  <si>
    <t>Mission Driven Services - Physician Subsidies -  ED On-Call</t>
  </si>
  <si>
    <t>fmoll1@jhmi.edu</t>
  </si>
  <si>
    <t>443-997-0627</t>
  </si>
  <si>
    <t>Fran Moll</t>
  </si>
  <si>
    <t>Howard County General Hospital</t>
  </si>
  <si>
    <t>Community Practices</t>
  </si>
  <si>
    <t>SHARP - Sinai Hospital Addictions Recovery Program</t>
  </si>
  <si>
    <t>Psychiatry Education Consultation Services</t>
  </si>
  <si>
    <t>ParkWest</t>
  </si>
  <si>
    <t>Intensive Outpateint Program-Psychiatry</t>
  </si>
  <si>
    <t>Adult Outpatient Psychiatry-Clinic</t>
  </si>
  <si>
    <t>OB/GYN, Internal Medicine, Medicine, Academic Hospitalists</t>
  </si>
  <si>
    <t>Sinai Hospital of Baltimore</t>
  </si>
  <si>
    <t>Community benefits office expenses</t>
  </si>
  <si>
    <t>Hospital Intensivists</t>
  </si>
  <si>
    <t>Anesthesiology On Call (ER)</t>
  </si>
  <si>
    <t>Cardiology On Call (ER)</t>
  </si>
  <si>
    <t>Urology On Call (ER)</t>
  </si>
  <si>
    <t>Behav. Health On Call (ER)</t>
  </si>
  <si>
    <t>OB/GYN On Call (ER)</t>
  </si>
  <si>
    <t>ENT On Call (ER)</t>
  </si>
  <si>
    <t>Heartwell Program</t>
  </si>
  <si>
    <t>Readmissions Prevention Program</t>
  </si>
  <si>
    <t>Trauma On Call Coverage</t>
  </si>
  <si>
    <t>Nursing Classroom Education</t>
  </si>
  <si>
    <t>Adminstrative Residents</t>
  </si>
  <si>
    <t>Pharmacists</t>
  </si>
  <si>
    <t>Technicians</t>
  </si>
  <si>
    <t>Medication and Treatment support</t>
  </si>
  <si>
    <t>Pet Therapy</t>
  </si>
  <si>
    <t>msanfuentes@suburbanhospital.org</t>
  </si>
  <si>
    <t>301-896-3572</t>
  </si>
  <si>
    <t>Monique Sanfuentes</t>
  </si>
  <si>
    <t>21-0022</t>
  </si>
  <si>
    <t>Suburban Hospital</t>
  </si>
  <si>
    <t>CBISA Software Annual Fee</t>
  </si>
  <si>
    <t>Patient Family Centered Care Initiative</t>
  </si>
  <si>
    <t>My Chart Electronic Medical Records</t>
  </si>
  <si>
    <t>Environmental Improvements (Green Initiatives-LEED)</t>
  </si>
  <si>
    <t>Physician Community Services (Hospitalists, Palliative Care, Better Together)</t>
  </si>
  <si>
    <t>C92</t>
  </si>
  <si>
    <t>Emergency Department Call Coverage</t>
  </si>
  <si>
    <t>ED Physician UCC</t>
  </si>
  <si>
    <t>Hospice</t>
  </si>
  <si>
    <t>Anne Arundel Diagnostics</t>
  </si>
  <si>
    <t>Pathways</t>
  </si>
  <si>
    <t>Physician Recruitment</t>
  </si>
  <si>
    <t>Kent Island Urgent Care Facility</t>
  </si>
  <si>
    <t>Community Health Center</t>
  </si>
  <si>
    <t>Annapolis Outreach Center</t>
  </si>
  <si>
    <t>Prenatal Care at AA County Health Dept.</t>
  </si>
  <si>
    <t>Pharmacy Internships</t>
  </si>
  <si>
    <t>Physical/Occupational Therapy</t>
  </si>
  <si>
    <t>Dietetic Internships</t>
  </si>
  <si>
    <t>Health Care Support Services (ask AAMC)</t>
  </si>
  <si>
    <t>Self-Help (Smoking Cessation/Cancer Prevention)</t>
  </si>
  <si>
    <t>breilly@aahs.org</t>
  </si>
  <si>
    <t>443-481-1308</t>
  </si>
  <si>
    <t>Bob Reilly</t>
  </si>
  <si>
    <t>Anne Arundel Medical Center</t>
  </si>
  <si>
    <t xml:space="preserve">Other Resources </t>
  </si>
  <si>
    <t xml:space="preserve">Women's and Children's Services </t>
  </si>
  <si>
    <t xml:space="preserve">Subsidized Health Services - Subsidized Continuing Care </t>
  </si>
  <si>
    <t xml:space="preserve">Subsidized Health Services - Emergency and Trauma services </t>
  </si>
  <si>
    <t xml:space="preserve">Other </t>
  </si>
  <si>
    <t>ruth.case@civista.org</t>
  </si>
  <si>
    <t>301-609-4423</t>
  </si>
  <si>
    <t>Ruth Case</t>
  </si>
  <si>
    <t xml:space="preserve">Civista Medical Center </t>
  </si>
  <si>
    <t>Community Benefit Planning/Reporting Total</t>
  </si>
  <si>
    <t>Physician Subsidies 5 - Recruitment</t>
  </si>
  <si>
    <t>Physician Subsidies 2 - Hospitalists</t>
  </si>
  <si>
    <t>Trauma On-Call</t>
  </si>
  <si>
    <t>Peninsula Partners</t>
  </si>
  <si>
    <t>Pediatric Specialties</t>
  </si>
  <si>
    <t>Other Education Community Professionals</t>
  </si>
  <si>
    <t>Other Interns/Students</t>
  </si>
  <si>
    <t>Job Shadowing &amp; Mentoring</t>
  </si>
  <si>
    <t>renee.white@peninsula.org</t>
  </si>
  <si>
    <t>410-543-7530 ext 4810</t>
  </si>
  <si>
    <t>Renee' White</t>
  </si>
  <si>
    <t>0019</t>
  </si>
  <si>
    <t>Peninsula Regional Medical Center</t>
  </si>
  <si>
    <t>HMH ANESTHESIOLOGISTS SUBSIDIES</t>
  </si>
  <si>
    <t>HMH ED/BHU PHYSICIAN SUBSIDIES</t>
  </si>
  <si>
    <t>CAR SEAT SAFETY</t>
  </si>
  <si>
    <t>CELLY@UCHS.ORG</t>
  </si>
  <si>
    <t>443-843-5736</t>
  </si>
  <si>
    <t>CHARLES ELLY</t>
  </si>
  <si>
    <t>HARFORD MEMORIAL HOSPITAL</t>
  </si>
  <si>
    <t>UCMC ANESTHESIOLOGISTS SUBSIDIES</t>
  </si>
  <si>
    <t>UCMC  ED PHYSICIAN SUBSIDIES</t>
  </si>
  <si>
    <t>21-0049</t>
  </si>
  <si>
    <t>UPPER CHESAPEAKE MEDICAL CENTER</t>
  </si>
  <si>
    <t>Community Benefits Operations</t>
  </si>
  <si>
    <t>Internship Programs</t>
  </si>
  <si>
    <t>Subsidized Health Services</t>
  </si>
  <si>
    <t>Other Community Health Services</t>
  </si>
  <si>
    <t>bethkelly@umm.edu</t>
  </si>
  <si>
    <t>410-337-1507</t>
  </si>
  <si>
    <t>Beth Kelly</t>
  </si>
  <si>
    <t>21-0007</t>
  </si>
  <si>
    <t>Saint Joseph Medical Center</t>
  </si>
  <si>
    <t>NCO-Health Care Coverage Assistance</t>
  </si>
  <si>
    <t>Tissue, Organs, Bone Transplants Donors (Retrieval)</t>
  </si>
  <si>
    <t>Partnered with Washington Regional Transplant Community</t>
  </si>
  <si>
    <t>Informatics</t>
  </si>
  <si>
    <t>TNCC-TRAUMA, HAZMAT-DECONT, ADVANCE CARDIAC LIFE SUPPORT, CEN ,NIMS-300</t>
  </si>
  <si>
    <t>Other Health Professionals-HIMS Interns</t>
  </si>
  <si>
    <t>Other Health Professionals - Technicians-Radiology</t>
  </si>
  <si>
    <t>jmitchell@nexushealth.org</t>
  </si>
  <si>
    <t>(301) 686-9010</t>
  </si>
  <si>
    <t>Judy Mitchell</t>
  </si>
  <si>
    <t>469</t>
  </si>
  <si>
    <t>60</t>
  </si>
  <si>
    <t>Fort Washington Medical Center</t>
  </si>
  <si>
    <t>UMMS Community Benefits Group</t>
  </si>
  <si>
    <t>Baltimore City Community Benefits Group</t>
  </si>
  <si>
    <t>Community Benefit Reporting</t>
  </si>
  <si>
    <t>High School Football Coverage</t>
  </si>
  <si>
    <t>Athetic Trainers</t>
  </si>
  <si>
    <t>Sports Physicals</t>
  </si>
  <si>
    <t>Adapted Golf Program</t>
  </si>
  <si>
    <t>Wheelchair Basketball</t>
  </si>
  <si>
    <t>Wheelchair Seating Clinic</t>
  </si>
  <si>
    <t>Adapted Sports Festival</t>
  </si>
  <si>
    <t>Student Volunteers</t>
  </si>
  <si>
    <t>MD Roundtable</t>
  </si>
  <si>
    <t>Red Cross Blood Drive</t>
  </si>
  <si>
    <t>Brain Injury Assoc. of MD, Eat A Peach/Scare Crow Classic/Education Conferences</t>
  </si>
  <si>
    <t>gadamczyk@kernan.umm.edu</t>
  </si>
  <si>
    <t>410-448-6370</t>
  </si>
  <si>
    <t>Gaylene Adamczyk</t>
  </si>
  <si>
    <t>The James Lawrence Kernan Hospital</t>
  </si>
  <si>
    <t>Sales Tax, Propert Tax, Income Taxes</t>
  </si>
  <si>
    <t>Physician Subsidy</t>
  </si>
  <si>
    <t>Sub Acute (Unregulated)</t>
  </si>
  <si>
    <t>Southern Maryland Community College Students &amp; Prince Georges Fire Dept - CPR/EMT Training</t>
  </si>
  <si>
    <t>Combination of Support Groups:  (Community Health, Mall Walkers, Transport Van, Special Events, Support)</t>
  </si>
  <si>
    <t>Baby Car Seat Safety Program</t>
  </si>
  <si>
    <t>Free Transport from Hosp to Home or Nursing Home</t>
  </si>
  <si>
    <t>Subsidy for PG County Social Worker</t>
  </si>
  <si>
    <t>chuckstewart@southernmarylandhospital.com</t>
  </si>
  <si>
    <t>301 877-5527</t>
  </si>
  <si>
    <t>Charles R. Stewart</t>
  </si>
  <si>
    <t>SOUTHERN MARYLAND HOSPITAL CENTER</t>
  </si>
  <si>
    <t>Calculation</t>
  </si>
  <si>
    <t>A-9</t>
  </si>
  <si>
    <t>A-7/A-8</t>
  </si>
  <si>
    <t>C-7</t>
  </si>
  <si>
    <t>C-6</t>
  </si>
  <si>
    <t>C-5</t>
  </si>
  <si>
    <t>C-4</t>
  </si>
  <si>
    <t>C-3</t>
  </si>
  <si>
    <t>C-2</t>
  </si>
  <si>
    <t>D</t>
  </si>
  <si>
    <t>C-1</t>
  </si>
  <si>
    <t>A-6</t>
  </si>
  <si>
    <t>A-5</t>
  </si>
  <si>
    <t>Transportation</t>
  </si>
  <si>
    <t>A-4</t>
  </si>
  <si>
    <t>A-10</t>
  </si>
  <si>
    <t>A-1/A-2/A-3</t>
  </si>
  <si>
    <t>B</t>
  </si>
  <si>
    <t>C-8</t>
  </si>
  <si>
    <t>Bon Secours Hospital</t>
  </si>
  <si>
    <t>Perinatology Physician Subsidy</t>
  </si>
  <si>
    <t>Physician ED Indigent Care Subsidies</t>
  </si>
  <si>
    <t>Community Care Center</t>
  </si>
  <si>
    <t>Morrell Park</t>
  </si>
  <si>
    <t>Mission of Mercy</t>
  </si>
  <si>
    <t>My Brother's Keeper</t>
  </si>
  <si>
    <t>Sarah's Hope</t>
  </si>
  <si>
    <t>mlomax@stagnes.org</t>
  </si>
  <si>
    <t>410.368.2926</t>
  </si>
  <si>
    <t>Mitch Lomax, Director, Reimbursement</t>
  </si>
  <si>
    <t>21-0011</t>
  </si>
  <si>
    <t>Saint Agnes Hospital</t>
  </si>
  <si>
    <t>Peds Hospitalist</t>
  </si>
  <si>
    <t>Prenatal OB Center</t>
  </si>
  <si>
    <t>Physician Debt Forgiveness</t>
  </si>
  <si>
    <t>Physician Interventional Cardiology</t>
  </si>
  <si>
    <t>Physician Intensivist</t>
  </si>
  <si>
    <t>Physician Anesthesia Call</t>
  </si>
  <si>
    <t>Physician ED/Surgeon Call</t>
  </si>
  <si>
    <t>Physician OB Call</t>
  </si>
  <si>
    <t>Physician Hospitalist</t>
  </si>
  <si>
    <t>HJACOBS@FMH.ORG</t>
  </si>
  <si>
    <t>240-566-3178</t>
  </si>
  <si>
    <t>HANNAH JACOBS</t>
  </si>
  <si>
    <t>2209</t>
  </si>
  <si>
    <t>FREDERICK MEMORIAL HOSPITAL, INC</t>
  </si>
  <si>
    <t>Surgical Support Coverage</t>
  </si>
  <si>
    <t xml:space="preserve">Primary Care </t>
  </si>
  <si>
    <t>Emergency Physician Coverage</t>
  </si>
  <si>
    <t>Hospitalist Program</t>
  </si>
  <si>
    <t>High School Scholarships</t>
  </si>
  <si>
    <t>jvallecillo@chesterriverhealth.org</t>
  </si>
  <si>
    <t>410.778.7654</t>
  </si>
  <si>
    <t>Julianna L. Vallecillo</t>
  </si>
  <si>
    <t>CHESTER RIVER HOSPITAL CENTER, INC.</t>
  </si>
  <si>
    <t>Blood Drive</t>
  </si>
  <si>
    <t>SHERVON.YANCEY@DIMENSIONSHEALTH.ORG</t>
  </si>
  <si>
    <t>301-497-7950</t>
  </si>
  <si>
    <t>SHERVON YANCEY</t>
  </si>
  <si>
    <t>LAUREL REGIONAL HOSPITAL</t>
  </si>
  <si>
    <t>Tumor Registry</t>
  </si>
  <si>
    <t>Emergency Speciality Services Subsidies</t>
  </si>
  <si>
    <t>Women's Services - OB Clinic</t>
  </si>
  <si>
    <t>Senior Services Geriatric Nurse Practitioner</t>
  </si>
  <si>
    <t>Administration of Charity Care</t>
  </si>
  <si>
    <t>mmyers@gbmc.org</t>
  </si>
  <si>
    <t>(443) 849-4328</t>
  </si>
  <si>
    <t>Michael D. Myers</t>
  </si>
  <si>
    <t>2640</t>
  </si>
  <si>
    <t>Greater Baltimore Medical Center (GBMC)</t>
  </si>
  <si>
    <t>Other Areas</t>
  </si>
  <si>
    <t>Board Community Involvement</t>
  </si>
  <si>
    <t>Fundraising Support</t>
  </si>
  <si>
    <t>Disaster Preparedness</t>
  </si>
  <si>
    <t>Germantom Eergency</t>
  </si>
  <si>
    <t>Recruitment of Physicians to Meet Community Needs</t>
  </si>
  <si>
    <t>Physician Provision of Financial Assistance</t>
  </si>
  <si>
    <t>Coverage of ED On Call</t>
  </si>
  <si>
    <t>Non-Residential House Staff and Hospitalists</t>
  </si>
  <si>
    <t>Hospital Based Physicians</t>
  </si>
  <si>
    <t>Immunizations</t>
  </si>
  <si>
    <t>rsamuels@ahm.com</t>
  </si>
  <si>
    <t>301 315 3283</t>
  </si>
  <si>
    <t>Raquel Samuels</t>
  </si>
  <si>
    <t>Shady Grove Adventist Hospital</t>
  </si>
  <si>
    <t>Fundraising support</t>
  </si>
  <si>
    <t>210016</t>
  </si>
  <si>
    <t>Washington Adventist Hospital</t>
  </si>
  <si>
    <t>Farmer's Market</t>
  </si>
  <si>
    <t>Hospitalist Subsidy</t>
  </si>
  <si>
    <t>On-Call Fees - Emergency Specialist Call</t>
  </si>
  <si>
    <t>Hospice Voluntary Write-offs (Hospice of Washington County)</t>
  </si>
  <si>
    <t>Hospital Owned Psychiatric Practice</t>
  </si>
  <si>
    <t>Level III Trauma Program</t>
  </si>
  <si>
    <t>The Medication Assistance Center</t>
  </si>
  <si>
    <t>Meritus Endocrine, Nutrition &amp; Diabetes Education Center</t>
  </si>
  <si>
    <t>Internships for pastoral education</t>
  </si>
  <si>
    <t>Undergraduate training for pharmacistis and other health professionals</t>
  </si>
  <si>
    <t>Dianna.Rounds@meritushealth.com</t>
  </si>
  <si>
    <t>301-790-8882</t>
  </si>
  <si>
    <t>Dianna V. Rounds, Cost &amp; Reimbursement Manager</t>
  </si>
  <si>
    <t>Meritus Medical Center</t>
  </si>
  <si>
    <t>Grant Writing</t>
  </si>
  <si>
    <t>SAFE</t>
  </si>
  <si>
    <t>SAFE program</t>
  </si>
  <si>
    <t>Physician Losses for underderved population</t>
  </si>
  <si>
    <t>Dibetes</t>
  </si>
  <si>
    <t>Pallative Care</t>
  </si>
  <si>
    <t>Medical Subsidy Program</t>
  </si>
  <si>
    <t>mtodd@atlanticgeneral.org</t>
  </si>
  <si>
    <t>410-641-9095</t>
  </si>
  <si>
    <t>Bruce Todd</t>
  </si>
  <si>
    <t>Atlantic General Hospital</t>
  </si>
  <si>
    <t>Physician Support Activity</t>
  </si>
  <si>
    <t>Access Carroll Free Health Clinic (OP)</t>
  </si>
  <si>
    <t>Job Shadow Program</t>
  </si>
  <si>
    <t>Interpreter Services</t>
  </si>
  <si>
    <t>sbrewer@carrollhospitalcenter.org</t>
  </si>
  <si>
    <t>410-871-7251</t>
  </si>
  <si>
    <t>Selena Brewer</t>
  </si>
  <si>
    <t>Carroll Hospital Center</t>
  </si>
  <si>
    <t>Emergency Assistance Transportation</t>
  </si>
  <si>
    <t>MHE ER Physician Subsidy</t>
  </si>
  <si>
    <t xml:space="preserve">MHE Anesthesia Physician Subsidy </t>
  </si>
  <si>
    <t>Antithrombosis Clinic</t>
  </si>
  <si>
    <t>Health Professionals Programs</t>
  </si>
  <si>
    <t>Shore Wellness Partners</t>
  </si>
  <si>
    <t>kfmcgrath@shorehealth.org, ffields@shorehealth.org</t>
  </si>
  <si>
    <t xml:space="preserve">410 822 1000 </t>
  </si>
  <si>
    <t>Michael Silgen / Kathleen McGrath / Frank Fields</t>
  </si>
  <si>
    <t>Memorial Hospital at Easton</t>
  </si>
  <si>
    <t>Emergency Transportation Subsidy</t>
  </si>
  <si>
    <t>DGH Emergency Room Subsidy</t>
  </si>
  <si>
    <t>DGH Anesthesia Subsidy</t>
  </si>
  <si>
    <t>0010</t>
  </si>
  <si>
    <t>Dorchester General Hospital</t>
  </si>
  <si>
    <t>Indigent Drug Program</t>
  </si>
  <si>
    <t>mherpel@gcmh.com</t>
  </si>
  <si>
    <t>301-533-4257</t>
  </si>
  <si>
    <t>Marianna Herpel</t>
  </si>
  <si>
    <t>Garrett County Memorial Hospital</t>
  </si>
  <si>
    <t>Cost fo Fundraising for Hospital Sponsored Community Benefit Programming</t>
  </si>
  <si>
    <t>Komen K-Camp</t>
  </si>
  <si>
    <t>Medical Adult Day Care</t>
  </si>
  <si>
    <t>Outpatient Lactation Services - Breast Pump Rental for Uninsured</t>
  </si>
  <si>
    <t>Pedicatric Attending Physcians for Unisured</t>
  </si>
  <si>
    <t>Health Care Clinics for the Uninsured</t>
  </si>
  <si>
    <t>Anesthesiologists</t>
  </si>
  <si>
    <t>Medical Directors for Programs for the Uninsured</t>
  </si>
  <si>
    <t>Non-Resident House Staff and Hospitalists</t>
  </si>
  <si>
    <t>Coverage of Emergency Department Calls</t>
  </si>
  <si>
    <t>mcbrik@holycrosshealth.org</t>
  </si>
  <si>
    <t>301-754-7149</t>
  </si>
  <si>
    <t>Kimberley McBride</t>
  </si>
  <si>
    <t>Holy Cross Hospital</t>
  </si>
  <si>
    <t>Health Education - Food &amp; Nutrition</t>
  </si>
  <si>
    <t>Free Rx</t>
  </si>
  <si>
    <t>PATRICIA.TIHANSKY@DIMENSIONSHEALTH.ORG</t>
  </si>
  <si>
    <t>301-583-4053</t>
  </si>
  <si>
    <t>PATRICIA TIHANSKY</t>
  </si>
  <si>
    <t>PRINCE GEORGE'S HOSPITAL CENTER</t>
  </si>
  <si>
    <t>Offsetting Revenue</t>
  </si>
  <si>
    <t>Net Community Benefit W/Indirect Cost</t>
  </si>
  <si>
    <t>Net Community Benefit W/O Indirect Cost</t>
  </si>
  <si>
    <t>Direct Cost ($)</t>
  </si>
  <si>
    <t>Indirect Cost ($)</t>
  </si>
  <si>
    <t>B.</t>
  </si>
  <si>
    <t>B1</t>
  </si>
  <si>
    <t>B2</t>
  </si>
  <si>
    <t>B3</t>
  </si>
  <si>
    <t>B4</t>
  </si>
  <si>
    <t>B5</t>
  </si>
  <si>
    <t>Totals</t>
  </si>
  <si>
    <t>MISSION DRIVEN HEALTH SERVICES</t>
  </si>
  <si>
    <t>C.</t>
  </si>
  <si>
    <t>D.</t>
  </si>
  <si>
    <t>D1</t>
  </si>
  <si>
    <t>D2</t>
  </si>
  <si>
    <t>D3</t>
  </si>
  <si>
    <t>E.</t>
  </si>
  <si>
    <t>E1</t>
  </si>
  <si>
    <t>E2</t>
  </si>
  <si>
    <t>E3</t>
  </si>
  <si>
    <t>E4</t>
  </si>
  <si>
    <t>F.</t>
  </si>
  <si>
    <t>F1</t>
  </si>
  <si>
    <t>Physical Improvements/Housing</t>
  </si>
  <si>
    <t>F2</t>
  </si>
  <si>
    <t>F3</t>
  </si>
  <si>
    <t>Support System Enhancements</t>
  </si>
  <si>
    <t>F4</t>
  </si>
  <si>
    <t>F5</t>
  </si>
  <si>
    <t>F6</t>
  </si>
  <si>
    <t>F7</t>
  </si>
  <si>
    <t>Community Health Improvement Advocacy</t>
  </si>
  <si>
    <t>F8</t>
  </si>
  <si>
    <t>Workforce Enhancement</t>
  </si>
  <si>
    <t>F9</t>
  </si>
  <si>
    <t>F11</t>
  </si>
  <si>
    <t>Sales Tax, Property Tax, Income Taxes</t>
  </si>
  <si>
    <t>G.</t>
  </si>
  <si>
    <t>G1</t>
  </si>
  <si>
    <t>Dedicated Staff</t>
  </si>
  <si>
    <t>G2</t>
  </si>
  <si>
    <t>G3</t>
  </si>
  <si>
    <t>G4</t>
  </si>
  <si>
    <t>G5</t>
  </si>
  <si>
    <t>H.</t>
  </si>
  <si>
    <t>J.</t>
  </si>
  <si>
    <t>J1</t>
  </si>
  <si>
    <t>J2</t>
  </si>
  <si>
    <t>K</t>
  </si>
  <si>
    <t>A</t>
  </si>
  <si>
    <t>C</t>
  </si>
  <si>
    <t>E</t>
  </si>
  <si>
    <t>F</t>
  </si>
  <si>
    <t>G</t>
  </si>
  <si>
    <t>H</t>
  </si>
  <si>
    <t>J</t>
  </si>
  <si>
    <t>TOTAL OPERATING EXPENSE</t>
  </si>
  <si>
    <t>% OF OPERATING EXPENSES W/IC</t>
  </si>
  <si>
    <t>% OF OPERATING EXPENSES W/O IC</t>
  </si>
  <si>
    <t>`</t>
  </si>
  <si>
    <t>FY2012 CBR Totals</t>
  </si>
  <si>
    <t>Medicaid Assessment</t>
  </si>
  <si>
    <t>Finanical Contributions</t>
  </si>
  <si>
    <t>Indirect Costs as a Percentage of Total Community Benefit</t>
  </si>
  <si>
    <t>2012 Indirect Cost</t>
  </si>
  <si>
    <t>2012 Net Community Benefit w/o Indirect Cost</t>
  </si>
  <si>
    <t>2012 Total Community Benefit</t>
  </si>
  <si>
    <t>FY 2012 Indirect Costs as a Percentage of Total Benefit</t>
  </si>
  <si>
    <t>Net Community Benefit w/o Indirect Costs Comparison</t>
  </si>
  <si>
    <t>% Change</t>
  </si>
  <si>
    <t>Increase/Decrease</t>
  </si>
  <si>
    <t>Net Community Benefit w/ Indirect Costs Comparison</t>
  </si>
  <si>
    <t>Total Hospital Community Benefits</t>
  </si>
  <si>
    <t># of Encounters</t>
  </si>
  <si>
    <t># of Staff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</si>
</sst>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&lt;=9999999]###\-####;\(###\)\ ###\-####"/>
    <numFmt numFmtId="166" formatCode="_(&quot;$&quot;* #,##0_);_(&quot;$&quot;* \(#,##0\);_(&quot;$&quot;* &quot;-&quot;??_);_(@_)"/>
    <numFmt numFmtId="167" formatCode="&quot;$&quot;#,##0"/>
    <numFmt numFmtId="168" formatCode="_(* #,##0_);_(* \(#,##0\);_(* &quot;-&quot;??_);_(@_)"/>
    <numFmt numFmtId="169" formatCode="0.00_)"/>
  </numFmts>
  <fonts count="6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u/>
      <sz val="12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Times New Roman"/>
      <family val="1"/>
    </font>
    <font>
      <sz val="8"/>
      <color rgb="FF000000"/>
      <name val="Calibri"/>
      <family val="2"/>
      <scheme val="minor"/>
    </font>
    <font>
      <u/>
      <sz val="6"/>
      <color theme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sz val="12"/>
      <name val="SWISS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52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0"/>
      <color indexed="10"/>
      <name val="Arial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i/>
      <sz val="16"/>
      <name val="Helv"/>
    </font>
    <font>
      <b/>
      <sz val="16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0"/>
      </top>
      <bottom/>
      <diagonal/>
    </border>
    <border>
      <left/>
      <right style="thin">
        <color indexed="64"/>
      </right>
      <top/>
      <bottom/>
      <diagonal/>
    </border>
  </borders>
  <cellStyleXfs count="779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5" borderId="14" applyNumberFormat="0" applyFont="0" applyAlignment="0" applyProtection="0"/>
    <xf numFmtId="0" fontId="3" fillId="5" borderId="14" applyNumberFormat="0" applyFont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5" fillId="23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5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5" fillId="25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5" fillId="27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5" fillId="28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5" fillId="29" borderId="0" applyNumberFormat="0" applyBorder="0" applyAlignment="0" applyProtection="0"/>
    <xf numFmtId="0" fontId="29" fillId="29" borderId="0" applyNumberFormat="0" applyBorder="0" applyAlignment="0" applyProtection="0"/>
    <xf numFmtId="0" fontId="30" fillId="29" borderId="0" applyNumberFormat="0" applyBorder="0" applyAlignment="0" applyProtection="0"/>
    <xf numFmtId="0" fontId="5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5" fillId="27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5" fillId="30" borderId="0" applyNumberFormat="0" applyBorder="0" applyAlignment="0" applyProtection="0"/>
    <xf numFmtId="0" fontId="29" fillId="30" borderId="0" applyNumberFormat="0" applyBorder="0" applyAlignment="0" applyProtection="0"/>
    <xf numFmtId="0" fontId="30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31" fillId="31" borderId="0" applyNumberFormat="0" applyBorder="0" applyAlignment="0" applyProtection="0"/>
    <xf numFmtId="0" fontId="32" fillId="31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31" fillId="29" borderId="0" applyNumberFormat="0" applyBorder="0" applyAlignment="0" applyProtection="0"/>
    <xf numFmtId="0" fontId="32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31" fillId="32" borderId="0" applyNumberFormat="0" applyBorder="0" applyAlignment="0" applyProtection="0"/>
    <xf numFmtId="0" fontId="3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31" fillId="33" borderId="0" applyNumberFormat="0" applyBorder="0" applyAlignment="0" applyProtection="0"/>
    <xf numFmtId="0" fontId="32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31" fillId="36" borderId="0" applyNumberFormat="0" applyBorder="0" applyAlignment="0" applyProtection="0"/>
    <xf numFmtId="0" fontId="3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31" fillId="32" borderId="0" applyNumberFormat="0" applyBorder="0" applyAlignment="0" applyProtection="0"/>
    <xf numFmtId="0" fontId="3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31" fillId="33" borderId="0" applyNumberFormat="0" applyBorder="0" applyAlignment="0" applyProtection="0"/>
    <xf numFmtId="0" fontId="32" fillId="33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31" fillId="38" borderId="0" applyNumberFormat="0" applyBorder="0" applyAlignment="0" applyProtection="0"/>
    <xf numFmtId="0" fontId="32" fillId="3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33" fillId="22" borderId="0" applyNumberFormat="0" applyBorder="0" applyAlignment="0" applyProtection="0"/>
    <xf numFmtId="0" fontId="34" fillId="22" borderId="0" applyNumberFormat="0" applyBorder="0" applyAlignment="0" applyProtection="0"/>
    <xf numFmtId="0" fontId="5" fillId="39" borderId="16" applyNumberFormat="0" applyAlignment="0" applyProtection="0"/>
    <xf numFmtId="0" fontId="5" fillId="39" borderId="16" applyNumberFormat="0" applyAlignment="0" applyProtection="0"/>
    <xf numFmtId="0" fontId="35" fillId="39" borderId="16" applyNumberFormat="0" applyAlignment="0" applyProtection="0"/>
    <xf numFmtId="0" fontId="36" fillId="39" borderId="16" applyNumberFormat="0" applyAlignment="0" applyProtection="0"/>
    <xf numFmtId="0" fontId="5" fillId="40" borderId="17" applyNumberFormat="0" applyAlignment="0" applyProtection="0"/>
    <xf numFmtId="0" fontId="5" fillId="40" borderId="17" applyNumberFormat="0" applyAlignment="0" applyProtection="0"/>
    <xf numFmtId="0" fontId="37" fillId="40" borderId="17" applyNumberFormat="0" applyAlignment="0" applyProtection="0"/>
    <xf numFmtId="0" fontId="38" fillId="40" borderId="17" applyNumberFormat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0" fontId="39" fillId="0" borderId="0" applyFont="0" applyBorder="0" applyAlignment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42" fillId="23" borderId="0" applyNumberFormat="0" applyBorder="0" applyAlignment="0" applyProtection="0"/>
    <xf numFmtId="0" fontId="43" fillId="23" borderId="0" applyNumberFormat="0" applyBorder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3" fontId="44" fillId="0" borderId="0" applyNumberFormat="0" applyFont="0" applyFill="0" applyAlignment="0" applyProtection="0"/>
    <xf numFmtId="0" fontId="45" fillId="0" borderId="18" applyNumberFormat="0" applyFill="0" applyAlignment="0" applyProtection="0"/>
    <xf numFmtId="0" fontId="5" fillId="0" borderId="19" applyNumberFormat="0" applyFill="0" applyAlignment="0" applyProtection="0"/>
    <xf numFmtId="3" fontId="9" fillId="0" borderId="0" applyNumberFormat="0" applyFont="0" applyFill="0" applyAlignment="0" applyProtection="0"/>
    <xf numFmtId="0" fontId="5" fillId="0" borderId="19" applyNumberFormat="0" applyFill="0" applyAlignment="0" applyProtection="0"/>
    <xf numFmtId="3" fontId="9" fillId="0" borderId="0" applyNumberFormat="0" applyFont="0" applyFill="0" applyAlignment="0" applyProtection="0"/>
    <xf numFmtId="0" fontId="46" fillId="0" borderId="19" applyNumberFormat="0" applyFill="0" applyAlignment="0" applyProtection="0"/>
    <xf numFmtId="0" fontId="5" fillId="0" borderId="20" applyNumberFormat="0" applyFill="0" applyAlignment="0" applyProtection="0"/>
    <xf numFmtId="0" fontId="5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20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" fillId="26" borderId="16" applyNumberFormat="0" applyAlignment="0" applyProtection="0"/>
    <xf numFmtId="0" fontId="5" fillId="26" borderId="16" applyNumberFormat="0" applyAlignment="0" applyProtection="0"/>
    <xf numFmtId="0" fontId="49" fillId="26" borderId="16" applyNumberFormat="0" applyAlignment="0" applyProtection="0"/>
    <xf numFmtId="0" fontId="50" fillId="26" borderId="16" applyNumberFormat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1" fillId="0" borderId="21" applyNumberFormat="0" applyFill="0" applyAlignment="0" applyProtection="0"/>
    <xf numFmtId="0" fontId="52" fillId="0" borderId="21" applyNumberFormat="0" applyFill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3" fillId="41" borderId="0" applyNumberFormat="0" applyBorder="0" applyAlignment="0" applyProtection="0"/>
    <xf numFmtId="0" fontId="54" fillId="41" borderId="0" applyNumberFormat="0" applyBorder="0" applyAlignment="0" applyProtection="0"/>
    <xf numFmtId="0" fontId="5" fillId="0" borderId="0"/>
    <xf numFmtId="0" fontId="18" fillId="0" borderId="0"/>
    <xf numFmtId="0" fontId="18" fillId="0" borderId="0"/>
    <xf numFmtId="0" fontId="30" fillId="42" borderId="22" applyNumberFormat="0" applyFont="0" applyAlignment="0" applyProtection="0"/>
    <xf numFmtId="0" fontId="55" fillId="43" borderId="0" applyNumberFormat="0" applyFont="0" applyFill="0" applyBorder="0" applyAlignment="0" applyProtection="0"/>
    <xf numFmtId="0" fontId="55" fillId="43" borderId="0" applyNumberFormat="0" applyFont="0" applyFill="0" applyBorder="0" applyAlignment="0" applyProtection="0"/>
    <xf numFmtId="0" fontId="5" fillId="39" borderId="23" applyNumberFormat="0" applyAlignment="0" applyProtection="0"/>
    <xf numFmtId="0" fontId="5" fillId="39" borderId="23" applyNumberFormat="0" applyAlignment="0" applyProtection="0"/>
    <xf numFmtId="0" fontId="56" fillId="39" borderId="23" applyNumberFormat="0" applyAlignment="0" applyProtection="0"/>
    <xf numFmtId="0" fontId="57" fillId="39" borderId="23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24" applyNumberFormat="0" applyFill="0" applyAlignment="0" applyProtection="0"/>
    <xf numFmtId="3" fontId="18" fillId="0" borderId="25" applyNumberFormat="0" applyFont="0" applyBorder="0" applyAlignment="0" applyProtection="0"/>
    <xf numFmtId="0" fontId="5" fillId="0" borderId="24" applyNumberFormat="0" applyFill="0" applyAlignment="0" applyProtection="0"/>
    <xf numFmtId="3" fontId="18" fillId="0" borderId="25" applyNumberFormat="0" applyFont="0" applyBorder="0" applyAlignment="0" applyProtection="0"/>
    <xf numFmtId="0" fontId="59" fillId="0" borderId="24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169" fontId="65" fillId="0" borderId="0"/>
    <xf numFmtId="0" fontId="1" fillId="0" borderId="0"/>
  </cellStyleXfs>
  <cellXfs count="673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left"/>
    </xf>
    <xf numFmtId="0" fontId="6" fillId="0" borderId="1" xfId="0" applyFont="1" applyBorder="1"/>
    <xf numFmtId="0" fontId="0" fillId="0" borderId="1" xfId="0" applyBorder="1"/>
    <xf numFmtId="3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/>
    <xf numFmtId="164" fontId="0" fillId="2" borderId="2" xfId="0" applyNumberFormat="1" applyFill="1" applyBorder="1" applyProtection="1"/>
    <xf numFmtId="3" fontId="0" fillId="2" borderId="2" xfId="0" applyNumberFormat="1" applyFill="1" applyBorder="1"/>
    <xf numFmtId="3" fontId="0" fillId="0" borderId="3" xfId="0" applyNumberFormat="1" applyFill="1" applyBorder="1"/>
    <xf numFmtId="164" fontId="0" fillId="0" borderId="3" xfId="0" applyNumberFormat="1" applyFill="1" applyBorder="1"/>
    <xf numFmtId="0" fontId="0" fillId="2" borderId="2" xfId="0" applyFill="1" applyBorder="1" applyProtection="1"/>
    <xf numFmtId="0" fontId="0" fillId="0" borderId="0" xfId="0" applyFill="1" applyBorder="1"/>
    <xf numFmtId="1" fontId="0" fillId="2" borderId="2" xfId="0" applyNumberFormat="1" applyFill="1" applyBorder="1"/>
    <xf numFmtId="0" fontId="0" fillId="0" borderId="3" xfId="0" applyBorder="1"/>
    <xf numFmtId="10" fontId="0" fillId="2" borderId="2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49" fontId="8" fillId="2" borderId="4" xfId="0" applyNumberFormat="1" applyFont="1" applyFill="1" applyBorder="1" applyAlignment="1" applyProtection="1">
      <protection locked="0"/>
    </xf>
    <xf numFmtId="49" fontId="8" fillId="2" borderId="5" xfId="0" applyNumberFormat="1" applyFont="1" applyFill="1" applyBorder="1" applyAlignment="1" applyProtection="1">
      <protection locked="0"/>
    </xf>
    <xf numFmtId="49" fontId="8" fillId="2" borderId="6" xfId="0" applyNumberFormat="1" applyFont="1" applyFill="1" applyBorder="1" applyAlignment="1" applyProtection="1">
      <protection locked="0"/>
    </xf>
    <xf numFmtId="49" fontId="0" fillId="2" borderId="7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49" fontId="0" fillId="2" borderId="8" xfId="0" applyNumberFormat="1" applyFill="1" applyBorder="1" applyAlignment="1" applyProtection="1">
      <protection locked="0"/>
    </xf>
    <xf numFmtId="3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9" xfId="0" applyNumberFormat="1" applyFill="1" applyBorder="1"/>
    <xf numFmtId="3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3" borderId="2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164" fontId="0" fillId="3" borderId="9" xfId="0" applyNumberFormat="1" applyFill="1" applyBorder="1"/>
    <xf numFmtId="164" fontId="0" fillId="0" borderId="2" xfId="0" applyNumberFormat="1" applyFill="1" applyBorder="1"/>
    <xf numFmtId="164" fontId="0" fillId="3" borderId="11" xfId="0" applyNumberFormat="1" applyFill="1" applyBorder="1"/>
    <xf numFmtId="164" fontId="0" fillId="3" borderId="4" xfId="0" applyNumberFormat="1" applyFill="1" applyBorder="1" applyProtection="1"/>
    <xf numFmtId="0" fontId="5" fillId="0" borderId="0" xfId="0" applyFont="1" applyBorder="1"/>
    <xf numFmtId="0" fontId="0" fillId="0" borderId="12" xfId="0" applyBorder="1"/>
    <xf numFmtId="3" fontId="0" fillId="2" borderId="13" xfId="0" applyNumberFormat="1" applyFill="1" applyBorder="1"/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3" fontId="5" fillId="2" borderId="2" xfId="0" applyNumberFormat="1" applyFont="1" applyFill="1" applyBorder="1" applyProtection="1">
      <protection locked="0"/>
    </xf>
    <xf numFmtId="164" fontId="0" fillId="2" borderId="4" xfId="0" applyNumberFormat="1" applyFill="1" applyBorder="1" applyProtection="1"/>
    <xf numFmtId="3" fontId="0" fillId="2" borderId="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2" xfId="0" applyNumberFormat="1" applyFill="1" applyBorder="1" applyProtection="1"/>
    <xf numFmtId="0" fontId="6" fillId="0" borderId="0" xfId="0" applyFont="1" applyBorder="1" applyAlignment="1">
      <alignment horizontal="center" wrapText="1"/>
    </xf>
    <xf numFmtId="0" fontId="0" fillId="3" borderId="0" xfId="0" applyFill="1" applyBorder="1"/>
    <xf numFmtId="164" fontId="0" fillId="3" borderId="0" xfId="0" applyNumberFormat="1" applyFill="1" applyBorder="1" applyProtection="1"/>
    <xf numFmtId="164" fontId="0" fillId="3" borderId="0" xfId="0" applyNumberFormat="1" applyFill="1" applyBorder="1"/>
    <xf numFmtId="3" fontId="0" fillId="3" borderId="0" xfId="0" applyNumberFormat="1" applyFill="1" applyBorder="1" applyProtection="1">
      <protection locked="0"/>
    </xf>
    <xf numFmtId="164" fontId="0" fillId="3" borderId="0" xfId="0" applyNumberFormat="1" applyFill="1" applyBorder="1" applyProtection="1">
      <protection locked="0"/>
    </xf>
    <xf numFmtId="0" fontId="6" fillId="0" borderId="0" xfId="0" applyFont="1" applyBorder="1"/>
    <xf numFmtId="10" fontId="0" fillId="2" borderId="2" xfId="1" applyNumberFormat="1" applyFont="1" applyFill="1" applyBorder="1" applyProtection="1"/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49" fontId="8" fillId="2" borderId="4" xfId="0" applyNumberFormat="1" applyFont="1" applyFill="1" applyBorder="1" applyAlignment="1" applyProtection="1">
      <protection locked="0"/>
    </xf>
    <xf numFmtId="49" fontId="8" fillId="2" borderId="5" xfId="0" applyNumberFormat="1" applyFont="1" applyFill="1" applyBorder="1" applyAlignment="1" applyProtection="1">
      <protection locked="0"/>
    </xf>
    <xf numFmtId="49" fontId="8" fillId="2" borderId="6" xfId="0" applyNumberFormat="1" applyFont="1" applyFill="1" applyBorder="1" applyAlignment="1" applyProtection="1">
      <protection locked="0"/>
    </xf>
    <xf numFmtId="49" fontId="0" fillId="2" borderId="7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49" fontId="8" fillId="2" borderId="4" xfId="0" applyNumberFormat="1" applyFont="1" applyFill="1" applyBorder="1" applyAlignment="1" applyProtection="1">
      <protection locked="0"/>
    </xf>
    <xf numFmtId="49" fontId="8" fillId="2" borderId="5" xfId="0" applyNumberFormat="1" applyFont="1" applyFill="1" applyBorder="1" applyAlignment="1" applyProtection="1">
      <protection locked="0"/>
    </xf>
    <xf numFmtId="49" fontId="8" fillId="2" borderId="6" xfId="0" applyNumberFormat="1" applyFont="1" applyFill="1" applyBorder="1" applyAlignment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49" fontId="0" fillId="2" borderId="7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64" fontId="0" fillId="18" borderId="2" xfId="0" applyNumberFormat="1" applyFill="1" applyBorder="1" applyProtection="1"/>
    <xf numFmtId="3" fontId="0" fillId="18" borderId="2" xfId="0" applyNumberFormat="1" applyFill="1" applyBorder="1" applyProtection="1">
      <protection locked="0"/>
    </xf>
    <xf numFmtId="164" fontId="0" fillId="18" borderId="4" xfId="0" applyNumberFormat="1" applyFill="1" applyBorder="1" applyProtection="1">
      <protection locked="0"/>
    </xf>
    <xf numFmtId="166" fontId="12" fillId="2" borderId="2" xfId="3" applyNumberFormat="1" applyFont="1" applyFill="1" applyBorder="1" applyProtection="1">
      <protection locked="0"/>
    </xf>
    <xf numFmtId="10" fontId="12" fillId="2" borderId="2" xfId="1" applyNumberFormat="1" applyFont="1" applyFill="1" applyBorder="1" applyProtection="1">
      <protection locked="0"/>
    </xf>
    <xf numFmtId="0" fontId="0" fillId="0" borderId="0" xfId="0" applyProtection="1">
      <protection locked="0"/>
    </xf>
    <xf numFmtId="168" fontId="0" fillId="2" borderId="2" xfId="2" applyNumberFormat="1" applyFont="1" applyFill="1" applyBorder="1" applyProtection="1">
      <protection locked="0"/>
    </xf>
    <xf numFmtId="49" fontId="5" fillId="2" borderId="4" xfId="0" applyNumberFormat="1" applyFont="1" applyFill="1" applyBorder="1" applyAlignment="1" applyProtection="1">
      <protection locked="0"/>
    </xf>
    <xf numFmtId="10" fontId="0" fillId="2" borderId="2" xfId="4" applyNumberFormat="1" applyFont="1" applyFill="1" applyBorder="1" applyProtection="1"/>
    <xf numFmtId="6" fontId="0" fillId="2" borderId="2" xfId="0" applyNumberFormat="1" applyFill="1" applyBorder="1" applyProtection="1">
      <protection locked="0"/>
    </xf>
    <xf numFmtId="10" fontId="4" fillId="2" borderId="2" xfId="1" applyNumberFormat="1" applyFont="1" applyFill="1" applyBorder="1" applyProtection="1"/>
    <xf numFmtId="167" fontId="0" fillId="2" borderId="2" xfId="0" applyNumberFormat="1" applyFill="1" applyBorder="1" applyProtection="1">
      <protection locked="0"/>
    </xf>
    <xf numFmtId="4" fontId="0" fillId="2" borderId="2" xfId="0" applyNumberFormat="1" applyFill="1" applyBorder="1" applyProtection="1">
      <protection locked="0"/>
    </xf>
    <xf numFmtId="166" fontId="4" fillId="2" borderId="2" xfId="3" applyNumberFormat="1" applyFill="1" applyBorder="1" applyProtection="1">
      <protection locked="0"/>
    </xf>
    <xf numFmtId="0" fontId="5" fillId="0" borderId="0" xfId="5"/>
    <xf numFmtId="0" fontId="5" fillId="0" borderId="0" xfId="5" applyAlignment="1">
      <alignment horizontal="left"/>
    </xf>
    <xf numFmtId="0" fontId="6" fillId="0" borderId="0" xfId="5" applyFont="1"/>
    <xf numFmtId="10" fontId="0" fillId="2" borderId="2" xfId="9" applyNumberFormat="1" applyFont="1" applyFill="1" applyBorder="1" applyProtection="1"/>
    <xf numFmtId="0" fontId="6" fillId="0" borderId="0" xfId="5" applyFont="1" applyAlignment="1">
      <alignment horizontal="left"/>
    </xf>
    <xf numFmtId="3" fontId="5" fillId="2" borderId="13" xfId="5" applyNumberFormat="1" applyFill="1" applyBorder="1"/>
    <xf numFmtId="0" fontId="5" fillId="0" borderId="12" xfId="5" applyBorder="1"/>
    <xf numFmtId="3" fontId="5" fillId="2" borderId="2" xfId="5" applyNumberFormat="1" applyFill="1" applyBorder="1"/>
    <xf numFmtId="3" fontId="5" fillId="3" borderId="9" xfId="5" applyNumberFormat="1" applyFill="1" applyBorder="1"/>
    <xf numFmtId="0" fontId="6" fillId="0" borderId="0" xfId="5" applyFont="1" applyAlignment="1">
      <alignment horizontal="right"/>
    </xf>
    <xf numFmtId="164" fontId="5" fillId="2" borderId="9" xfId="5" applyNumberFormat="1" applyFill="1" applyBorder="1"/>
    <xf numFmtId="164" fontId="5" fillId="3" borderId="9" xfId="5" applyNumberFormat="1" applyFill="1" applyBorder="1"/>
    <xf numFmtId="3" fontId="5" fillId="2" borderId="9" xfId="5" applyNumberFormat="1" applyFill="1" applyBorder="1"/>
    <xf numFmtId="0" fontId="6" fillId="0" borderId="0" xfId="5" applyFont="1" applyAlignment="1">
      <alignment horizontal="center" wrapText="1"/>
    </xf>
    <xf numFmtId="164" fontId="5" fillId="2" borderId="2" xfId="5" applyNumberFormat="1" applyFill="1" applyBorder="1"/>
    <xf numFmtId="164" fontId="5" fillId="2" borderId="2" xfId="5" applyNumberFormat="1" applyFill="1" applyBorder="1" applyProtection="1">
      <protection locked="0"/>
    </xf>
    <xf numFmtId="164" fontId="5" fillId="2" borderId="4" xfId="5" applyNumberFormat="1" applyFill="1" applyBorder="1" applyProtection="1">
      <protection locked="0"/>
    </xf>
    <xf numFmtId="3" fontId="5" fillId="2" borderId="2" xfId="5" applyNumberFormat="1" applyFill="1" applyBorder="1" applyProtection="1">
      <protection locked="0"/>
    </xf>
    <xf numFmtId="164" fontId="5" fillId="2" borderId="2" xfId="5" applyNumberFormat="1" applyFill="1" applyBorder="1" applyProtection="1"/>
    <xf numFmtId="0" fontId="5" fillId="0" borderId="0" xfId="5" applyFont="1"/>
    <xf numFmtId="10" fontId="5" fillId="2" borderId="2" xfId="5" applyNumberFormat="1" applyFill="1" applyBorder="1" applyProtection="1">
      <protection locked="0"/>
    </xf>
    <xf numFmtId="0" fontId="5" fillId="0" borderId="0" xfId="5" applyFill="1" applyBorder="1"/>
    <xf numFmtId="0" fontId="5" fillId="0" borderId="0" xfId="5" applyBorder="1"/>
    <xf numFmtId="0" fontId="5" fillId="0" borderId="3" xfId="5" applyBorder="1"/>
    <xf numFmtId="0" fontId="5" fillId="0" borderId="1" xfId="5" applyBorder="1"/>
    <xf numFmtId="0" fontId="6" fillId="0" borderId="1" xfId="5" applyFont="1" applyBorder="1"/>
    <xf numFmtId="0" fontId="5" fillId="0" borderId="1" xfId="5" applyBorder="1" applyAlignment="1">
      <alignment horizontal="left"/>
    </xf>
    <xf numFmtId="0" fontId="6" fillId="0" borderId="0" xfId="5" applyFont="1" applyBorder="1"/>
    <xf numFmtId="164" fontId="5" fillId="2" borderId="10" xfId="5" applyNumberFormat="1" applyFill="1" applyBorder="1" applyProtection="1">
      <protection locked="0"/>
    </xf>
    <xf numFmtId="3" fontId="5" fillId="2" borderId="10" xfId="5" applyNumberFormat="1" applyFill="1" applyBorder="1" applyProtection="1">
      <protection locked="0"/>
    </xf>
    <xf numFmtId="0" fontId="5" fillId="2" borderId="2" xfId="5" applyFill="1" applyBorder="1" applyProtection="1"/>
    <xf numFmtId="164" fontId="5" fillId="3" borderId="2" xfId="5" applyNumberFormat="1" applyFill="1" applyBorder="1"/>
    <xf numFmtId="164" fontId="5" fillId="2" borderId="4" xfId="5" applyNumberFormat="1" applyFill="1" applyBorder="1" applyProtection="1"/>
    <xf numFmtId="164" fontId="5" fillId="3" borderId="0" xfId="5" applyNumberFormat="1" applyFill="1" applyBorder="1"/>
    <xf numFmtId="164" fontId="5" fillId="3" borderId="0" xfId="5" applyNumberFormat="1" applyFill="1" applyBorder="1" applyProtection="1">
      <protection locked="0"/>
    </xf>
    <xf numFmtId="164" fontId="5" fillId="3" borderId="0" xfId="5" applyNumberFormat="1" applyFill="1" applyBorder="1" applyProtection="1"/>
    <xf numFmtId="3" fontId="5" fillId="3" borderId="0" xfId="5" applyNumberFormat="1" applyFill="1" applyBorder="1" applyProtection="1">
      <protection locked="0"/>
    </xf>
    <xf numFmtId="49" fontId="5" fillId="2" borderId="8" xfId="5" applyNumberFormat="1" applyFill="1" applyBorder="1" applyAlignment="1" applyProtection="1">
      <protection locked="0"/>
    </xf>
    <xf numFmtId="49" fontId="5" fillId="2" borderId="1" xfId="5" applyNumberFormat="1" applyFill="1" applyBorder="1" applyAlignment="1" applyProtection="1">
      <protection locked="0"/>
    </xf>
    <xf numFmtId="49" fontId="5" fillId="2" borderId="7" xfId="5" applyNumberFormat="1" applyFill="1" applyBorder="1" applyAlignment="1" applyProtection="1">
      <protection locked="0"/>
    </xf>
    <xf numFmtId="164" fontId="5" fillId="2" borderId="9" xfId="5" applyNumberFormat="1" applyFill="1" applyBorder="1" applyProtection="1">
      <protection locked="0"/>
    </xf>
    <xf numFmtId="3" fontId="5" fillId="2" borderId="9" xfId="5" applyNumberFormat="1" applyFill="1" applyBorder="1" applyProtection="1">
      <protection locked="0"/>
    </xf>
    <xf numFmtId="49" fontId="5" fillId="2" borderId="6" xfId="5" applyNumberFormat="1" applyFill="1" applyBorder="1" applyAlignment="1" applyProtection="1">
      <protection locked="0"/>
    </xf>
    <xf numFmtId="49" fontId="5" fillId="2" borderId="5" xfId="5" applyNumberFormat="1" applyFill="1" applyBorder="1" applyAlignment="1" applyProtection="1">
      <protection locked="0"/>
    </xf>
    <xf numFmtId="49" fontId="5" fillId="2" borderId="4" xfId="5" applyNumberFormat="1" applyFill="1" applyBorder="1" applyAlignment="1" applyProtection="1">
      <protection locked="0"/>
    </xf>
    <xf numFmtId="0" fontId="5" fillId="2" borderId="2" xfId="5" applyFill="1" applyBorder="1" applyProtection="1">
      <protection locked="0"/>
    </xf>
    <xf numFmtId="0" fontId="5" fillId="3" borderId="0" xfId="5" applyFill="1" applyBorder="1"/>
    <xf numFmtId="0" fontId="6" fillId="0" borderId="0" xfId="5" applyFont="1" applyBorder="1" applyAlignment="1">
      <alignment horizontal="center" wrapText="1"/>
    </xf>
    <xf numFmtId="164" fontId="5" fillId="3" borderId="4" xfId="5" applyNumberFormat="1" applyFill="1" applyBorder="1" applyProtection="1"/>
    <xf numFmtId="49" fontId="8" fillId="2" borderId="6" xfId="5" applyNumberFormat="1" applyFont="1" applyFill="1" applyBorder="1" applyAlignment="1" applyProtection="1">
      <protection locked="0"/>
    </xf>
    <xf numFmtId="49" fontId="8" fillId="2" borderId="5" xfId="5" applyNumberFormat="1" applyFont="1" applyFill="1" applyBorder="1" applyAlignment="1" applyProtection="1">
      <protection locked="0"/>
    </xf>
    <xf numFmtId="41" fontId="8" fillId="2" borderId="4" xfId="5" applyNumberFormat="1" applyFont="1" applyFill="1" applyBorder="1" applyAlignment="1" applyProtection="1">
      <protection locked="0"/>
    </xf>
    <xf numFmtId="1" fontId="5" fillId="2" borderId="2" xfId="5" applyNumberFormat="1" applyFill="1" applyBorder="1"/>
    <xf numFmtId="164" fontId="5" fillId="18" borderId="2" xfId="5" applyNumberFormat="1" applyFill="1" applyBorder="1" applyProtection="1"/>
    <xf numFmtId="3" fontId="5" fillId="18" borderId="2" xfId="5" applyNumberFormat="1" applyFill="1" applyBorder="1" applyProtection="1">
      <protection locked="0"/>
    </xf>
    <xf numFmtId="164" fontId="5" fillId="18" borderId="4" xfId="5" applyNumberFormat="1" applyFill="1" applyBorder="1" applyProtection="1">
      <protection locked="0"/>
    </xf>
    <xf numFmtId="0" fontId="5" fillId="0" borderId="0" xfId="5" applyFont="1" applyBorder="1"/>
    <xf numFmtId="164" fontId="5" fillId="3" borderId="11" xfId="5" applyNumberFormat="1" applyFill="1" applyBorder="1"/>
    <xf numFmtId="164" fontId="5" fillId="0" borderId="3" xfId="5" applyNumberFormat="1" applyFill="1" applyBorder="1"/>
    <xf numFmtId="3" fontId="5" fillId="0" borderId="3" xfId="5" applyNumberFormat="1" applyFill="1" applyBorder="1"/>
    <xf numFmtId="164" fontId="5" fillId="0" borderId="2" xfId="5" applyNumberFormat="1" applyFill="1" applyBorder="1"/>
    <xf numFmtId="3" fontId="5" fillId="2" borderId="2" xfId="5" applyNumberFormat="1" applyFont="1" applyFill="1" applyBorder="1" applyProtection="1">
      <protection locked="0"/>
    </xf>
    <xf numFmtId="49" fontId="8" fillId="2" borderId="4" xfId="5" applyNumberFormat="1" applyFont="1" applyFill="1" applyBorder="1" applyAlignment="1" applyProtection="1">
      <protection locked="0"/>
    </xf>
    <xf numFmtId="0" fontId="5" fillId="0" borderId="0" xfId="5" applyAlignment="1">
      <alignment horizontal="centerContinuous"/>
    </xf>
    <xf numFmtId="0" fontId="6" fillId="0" borderId="0" xfId="5" applyFont="1" applyAlignment="1">
      <alignment horizontal="centerContinuous"/>
    </xf>
    <xf numFmtId="0" fontId="7" fillId="0" borderId="0" xfId="5" applyFont="1" applyFill="1" applyBorder="1" applyAlignment="1">
      <alignment horizontal="left"/>
    </xf>
    <xf numFmtId="49" fontId="5" fillId="2" borderId="1" xfId="5" applyNumberFormat="1" applyFill="1" applyBorder="1" applyAlignment="1" applyProtection="1">
      <protection locked="0"/>
    </xf>
    <xf numFmtId="49" fontId="5" fillId="2" borderId="7" xfId="5" applyNumberFormat="1" applyFill="1" applyBorder="1" applyAlignment="1" applyProtection="1">
      <protection locked="0"/>
    </xf>
    <xf numFmtId="38" fontId="5" fillId="2" borderId="2" xfId="5" applyNumberFormat="1" applyFill="1" applyBorder="1" applyProtection="1">
      <protection locked="0"/>
    </xf>
    <xf numFmtId="0" fontId="21" fillId="0" borderId="0" xfId="45"/>
    <xf numFmtId="10" fontId="5" fillId="2" borderId="2" xfId="4" applyNumberFormat="1" applyFont="1" applyFill="1" applyBorder="1" applyProtection="1"/>
    <xf numFmtId="7" fontId="5" fillId="2" borderId="2" xfId="5" applyNumberFormat="1" applyFill="1" applyBorder="1"/>
    <xf numFmtId="7" fontId="5" fillId="2" borderId="9" xfId="5" applyNumberFormat="1" applyFill="1" applyBorder="1"/>
    <xf numFmtId="3" fontId="5" fillId="2" borderId="2" xfId="5" applyNumberFormat="1" applyFill="1" applyBorder="1" applyProtection="1"/>
    <xf numFmtId="49" fontId="22" fillId="2" borderId="6" xfId="45" applyNumberFormat="1" applyFont="1" applyFill="1" applyBorder="1" applyAlignment="1" applyProtection="1">
      <alignment horizontal="left"/>
      <protection locked="0"/>
    </xf>
    <xf numFmtId="49" fontId="22" fillId="2" borderId="5" xfId="45" applyNumberFormat="1" applyFont="1" applyFill="1" applyBorder="1" applyAlignment="1" applyProtection="1">
      <alignment horizontal="left"/>
      <protection locked="0"/>
    </xf>
    <xf numFmtId="49" fontId="5" fillId="2" borderId="4" xfId="45" applyNumberFormat="1" applyFont="1" applyFill="1" applyBorder="1" applyAlignment="1" applyProtection="1">
      <alignment horizontal="left"/>
      <protection locked="0"/>
    </xf>
    <xf numFmtId="49" fontId="22" fillId="2" borderId="6" xfId="45" quotePrefix="1" applyNumberFormat="1" applyFont="1" applyFill="1" applyBorder="1" applyAlignment="1" applyProtection="1">
      <alignment horizontal="left"/>
      <protection locked="0"/>
    </xf>
    <xf numFmtId="49" fontId="22" fillId="2" borderId="5" xfId="45" quotePrefix="1" applyNumberFormat="1" applyFont="1" applyFill="1" applyBorder="1" applyAlignment="1" applyProtection="1">
      <alignment horizontal="left"/>
      <protection locked="0"/>
    </xf>
    <xf numFmtId="49" fontId="5" fillId="2" borderId="4" xfId="45" quotePrefix="1" applyNumberFormat="1" applyFont="1" applyFill="1" applyBorder="1" applyAlignment="1" applyProtection="1">
      <alignment horizontal="left"/>
      <protection locked="0"/>
    </xf>
    <xf numFmtId="49" fontId="22" fillId="2" borderId="6" xfId="45" applyNumberFormat="1" applyFont="1" applyFill="1" applyBorder="1" applyAlignment="1" applyProtection="1">
      <protection locked="0"/>
    </xf>
    <xf numFmtId="49" fontId="22" fillId="2" borderId="5" xfId="45" applyNumberFormat="1" applyFont="1" applyFill="1" applyBorder="1" applyAlignment="1" applyProtection="1">
      <protection locked="0"/>
    </xf>
    <xf numFmtId="49" fontId="5" fillId="2" borderId="4" xfId="45" applyNumberFormat="1" applyFont="1" applyFill="1" applyBorder="1" applyAlignment="1" applyProtection="1">
      <protection locked="0"/>
    </xf>
    <xf numFmtId="168" fontId="5" fillId="2" borderId="2" xfId="22" applyNumberFormat="1" applyFont="1" applyFill="1" applyBorder="1"/>
    <xf numFmtId="49" fontId="5" fillId="2" borderId="6" xfId="5" applyNumberFormat="1" applyFont="1" applyFill="1" applyBorder="1" applyAlignment="1" applyProtection="1">
      <protection locked="0"/>
    </xf>
    <xf numFmtId="49" fontId="5" fillId="2" borderId="5" xfId="5" applyNumberFormat="1" applyFont="1" applyFill="1" applyBorder="1" applyAlignment="1" applyProtection="1">
      <protection locked="0"/>
    </xf>
    <xf numFmtId="49" fontId="5" fillId="2" borderId="4" xfId="5" applyNumberFormat="1" applyFont="1" applyFill="1" applyBorder="1" applyAlignment="1" applyProtection="1">
      <protection locked="0"/>
    </xf>
    <xf numFmtId="0" fontId="5" fillId="0" borderId="0" xfId="5" applyAlignment="1">
      <alignment horizontal="center"/>
    </xf>
    <xf numFmtId="0" fontId="6" fillId="0" borderId="0" xfId="5" applyFont="1" applyAlignment="1">
      <alignment horizontal="center"/>
    </xf>
    <xf numFmtId="44" fontId="0" fillId="2" borderId="2" xfId="0" applyNumberFormat="1" applyFill="1" applyBorder="1" applyProtection="1">
      <protection locked="0"/>
    </xf>
    <xf numFmtId="37" fontId="0" fillId="2" borderId="2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8" fillId="2" borderId="4" xfId="0" applyNumberFormat="1" applyFont="1" applyFill="1" applyBorder="1" applyAlignment="1" applyProtection="1">
      <protection locked="0"/>
    </xf>
    <xf numFmtId="49" fontId="8" fillId="2" borderId="5" xfId="0" applyNumberFormat="1" applyFont="1" applyFill="1" applyBorder="1" applyAlignment="1" applyProtection="1">
      <protection locked="0"/>
    </xf>
    <xf numFmtId="49" fontId="8" fillId="2" borderId="6" xfId="0" applyNumberFormat="1" applyFont="1" applyFill="1" applyBorder="1" applyAlignment="1" applyProtection="1">
      <protection locked="0"/>
    </xf>
    <xf numFmtId="49" fontId="5" fillId="2" borderId="4" xfId="0" applyNumberFormat="1" applyFont="1" applyFill="1" applyBorder="1" applyAlignment="1" applyProtection="1">
      <protection locked="0"/>
    </xf>
    <xf numFmtId="0" fontId="23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4" fillId="0" borderId="0" xfId="0" applyFont="1"/>
    <xf numFmtId="10" fontId="23" fillId="2" borderId="2" xfId="4" applyNumberFormat="1" applyFont="1" applyFill="1" applyBorder="1" applyProtection="1"/>
    <xf numFmtId="0" fontId="24" fillId="0" borderId="0" xfId="0" applyFont="1" applyAlignment="1">
      <alignment horizontal="left"/>
    </xf>
    <xf numFmtId="167" fontId="23" fillId="2" borderId="2" xfId="0" applyNumberFormat="1" applyFont="1" applyFill="1" applyBorder="1" applyAlignment="1">
      <alignment horizontal="right"/>
    </xf>
    <xf numFmtId="3" fontId="23" fillId="2" borderId="2" xfId="0" applyNumberFormat="1" applyFont="1" applyFill="1" applyBorder="1"/>
    <xf numFmtId="0" fontId="23" fillId="0" borderId="12" xfId="0" applyFont="1" applyBorder="1"/>
    <xf numFmtId="0" fontId="23" fillId="0" borderId="12" xfId="0" applyFont="1" applyBorder="1" applyAlignment="1">
      <alignment horizontal="right"/>
    </xf>
    <xf numFmtId="164" fontId="23" fillId="2" borderId="9" xfId="0" applyNumberFormat="1" applyFont="1" applyFill="1" applyBorder="1"/>
    <xf numFmtId="3" fontId="23" fillId="2" borderId="2" xfId="0" applyNumberFormat="1" applyFont="1" applyFill="1" applyBorder="1" applyAlignment="1">
      <alignment horizontal="right"/>
    </xf>
    <xf numFmtId="3" fontId="23" fillId="3" borderId="9" xfId="0" applyNumberFormat="1" applyFont="1" applyFill="1" applyBorder="1" applyAlignment="1">
      <alignment horizontal="center"/>
    </xf>
    <xf numFmtId="0" fontId="24" fillId="0" borderId="0" xfId="0" applyFont="1" applyAlignment="1">
      <alignment horizontal="right"/>
    </xf>
    <xf numFmtId="164" fontId="23" fillId="3" borderId="9" xfId="0" applyNumberFormat="1" applyFont="1" applyFill="1" applyBorder="1" applyAlignment="1">
      <alignment horizontal="center"/>
    </xf>
    <xf numFmtId="164" fontId="23" fillId="3" borderId="9" xfId="0" applyNumberFormat="1" applyFont="1" applyFill="1" applyBorder="1" applyAlignment="1">
      <alignment horizontal="right"/>
    </xf>
    <xf numFmtId="164" fontId="23" fillId="2" borderId="2" xfId="0" applyNumberFormat="1" applyFont="1" applyFill="1" applyBorder="1"/>
    <xf numFmtId="164" fontId="23" fillId="2" borderId="2" xfId="0" applyNumberFormat="1" applyFont="1" applyFill="1" applyBorder="1" applyAlignment="1">
      <alignment horizontal="right"/>
    </xf>
    <xf numFmtId="164" fontId="23" fillId="2" borderId="9" xfId="0" applyNumberFormat="1" applyFont="1" applyFill="1" applyBorder="1" applyAlignment="1">
      <alignment horizontal="right"/>
    </xf>
    <xf numFmtId="3" fontId="23" fillId="2" borderId="9" xfId="0" applyNumberFormat="1" applyFont="1" applyFill="1" applyBorder="1"/>
    <xf numFmtId="0" fontId="24" fillId="0" borderId="0" xfId="0" applyFont="1" applyAlignment="1">
      <alignment horizontal="center" wrapText="1"/>
    </xf>
    <xf numFmtId="164" fontId="23" fillId="2" borderId="2" xfId="0" applyNumberFormat="1" applyFont="1" applyFill="1" applyBorder="1" applyProtection="1">
      <protection locked="0"/>
    </xf>
    <xf numFmtId="164" fontId="23" fillId="2" borderId="4" xfId="0" applyNumberFormat="1" applyFont="1" applyFill="1" applyBorder="1" applyProtection="1">
      <protection locked="0"/>
    </xf>
    <xf numFmtId="164" fontId="23" fillId="2" borderId="2" xfId="0" applyNumberFormat="1" applyFont="1" applyFill="1" applyBorder="1" applyAlignment="1" applyProtection="1">
      <alignment horizontal="right"/>
      <protection locked="0"/>
    </xf>
    <xf numFmtId="3" fontId="23" fillId="2" borderId="2" xfId="0" applyNumberFormat="1" applyFont="1" applyFill="1" applyBorder="1" applyProtection="1">
      <protection locked="0"/>
    </xf>
    <xf numFmtId="164" fontId="23" fillId="2" borderId="4" xfId="0" applyNumberFormat="1" applyFont="1" applyFill="1" applyBorder="1" applyAlignment="1" applyProtection="1">
      <alignment horizontal="right"/>
      <protection locked="0"/>
    </xf>
    <xf numFmtId="164" fontId="23" fillId="2" borderId="2" xfId="0" applyNumberFormat="1" applyFont="1" applyFill="1" applyBorder="1" applyProtection="1"/>
    <xf numFmtId="10" fontId="23" fillId="2" borderId="2" xfId="0" applyNumberFormat="1" applyFont="1" applyFill="1" applyBorder="1" applyProtection="1">
      <protection locked="0"/>
    </xf>
    <xf numFmtId="0" fontId="23" fillId="0" borderId="0" xfId="0" applyFont="1" applyFill="1" applyBorder="1"/>
    <xf numFmtId="0" fontId="23" fillId="0" borderId="0" xfId="0" applyFont="1" applyBorder="1"/>
    <xf numFmtId="0" fontId="23" fillId="0" borderId="3" xfId="0" applyFont="1" applyBorder="1"/>
    <xf numFmtId="0" fontId="23" fillId="0" borderId="3" xfId="0" applyFont="1" applyBorder="1" applyAlignment="1">
      <alignment horizontal="right"/>
    </xf>
    <xf numFmtId="0" fontId="23" fillId="0" borderId="1" xfId="0" applyFont="1" applyBorder="1"/>
    <xf numFmtId="0" fontId="24" fillId="0" borderId="1" xfId="0" applyFont="1" applyBorder="1"/>
    <xf numFmtId="0" fontId="23" fillId="0" borderId="1" xfId="0" applyFont="1" applyBorder="1" applyAlignment="1">
      <alignment horizontal="left"/>
    </xf>
    <xf numFmtId="0" fontId="24" fillId="0" borderId="0" xfId="0" applyFont="1" applyBorder="1"/>
    <xf numFmtId="164" fontId="23" fillId="18" borderId="2" xfId="0" applyNumberFormat="1" applyFont="1" applyFill="1" applyBorder="1" applyAlignment="1" applyProtection="1">
      <alignment horizontal="right"/>
      <protection locked="0"/>
    </xf>
    <xf numFmtId="164" fontId="22" fillId="2" borderId="4" xfId="0" applyNumberFormat="1" applyFont="1" applyFill="1" applyBorder="1" applyProtection="1">
      <protection locked="0"/>
    </xf>
    <xf numFmtId="49" fontId="23" fillId="18" borderId="2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Protection="1">
      <protection locked="0"/>
    </xf>
    <xf numFmtId="164" fontId="23" fillId="18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Protection="1">
      <protection locked="0"/>
    </xf>
    <xf numFmtId="167" fontId="23" fillId="18" borderId="2" xfId="0" applyNumberFormat="1" applyFont="1" applyFill="1" applyBorder="1" applyAlignment="1">
      <alignment horizontal="right"/>
    </xf>
    <xf numFmtId="164" fontId="23" fillId="2" borderId="2" xfId="0" applyNumberFormat="1" applyFont="1" applyFill="1" applyBorder="1" applyAlignment="1" applyProtection="1">
      <alignment horizontal="right"/>
    </xf>
    <xf numFmtId="164" fontId="23" fillId="3" borderId="2" xfId="0" applyNumberFormat="1" applyFont="1" applyFill="1" applyBorder="1"/>
    <xf numFmtId="164" fontId="23" fillId="2" borderId="4" xfId="0" applyNumberFormat="1" applyFont="1" applyFill="1" applyBorder="1" applyProtection="1"/>
    <xf numFmtId="0" fontId="23" fillId="2" borderId="2" xfId="0" applyFont="1" applyFill="1" applyBorder="1" applyProtection="1"/>
    <xf numFmtId="164" fontId="23" fillId="3" borderId="0" xfId="0" applyNumberFormat="1" applyFont="1" applyFill="1" applyBorder="1"/>
    <xf numFmtId="164" fontId="23" fillId="3" borderId="0" xfId="0" applyNumberFormat="1" applyFont="1" applyFill="1" applyBorder="1" applyProtection="1">
      <protection locked="0"/>
    </xf>
    <xf numFmtId="164" fontId="23" fillId="3" borderId="0" xfId="0" applyNumberFormat="1" applyFont="1" applyFill="1" applyBorder="1" applyProtection="1"/>
    <xf numFmtId="164" fontId="23" fillId="3" borderId="0" xfId="0" applyNumberFormat="1" applyFont="1" applyFill="1" applyBorder="1" applyAlignment="1" applyProtection="1">
      <alignment horizontal="right"/>
      <protection locked="0"/>
    </xf>
    <xf numFmtId="3" fontId="23" fillId="3" borderId="0" xfId="0" applyNumberFormat="1" applyFont="1" applyFill="1" applyBorder="1" applyProtection="1">
      <protection locked="0"/>
    </xf>
    <xf numFmtId="49" fontId="23" fillId="2" borderId="8" xfId="0" applyNumberFormat="1" applyFont="1" applyFill="1" applyBorder="1" applyAlignment="1" applyProtection="1">
      <protection locked="0"/>
    </xf>
    <xf numFmtId="49" fontId="23" fillId="2" borderId="1" xfId="0" applyNumberFormat="1" applyFont="1" applyFill="1" applyBorder="1" applyAlignment="1" applyProtection="1">
      <protection locked="0"/>
    </xf>
    <xf numFmtId="49" fontId="23" fillId="2" borderId="7" xfId="0" applyNumberFormat="1" applyFont="1" applyFill="1" applyBorder="1" applyAlignment="1" applyProtection="1">
      <protection locked="0"/>
    </xf>
    <xf numFmtId="164" fontId="23" fillId="2" borderId="9" xfId="0" applyNumberFormat="1" applyFont="1" applyFill="1" applyBorder="1" applyProtection="1">
      <protection locked="0"/>
    </xf>
    <xf numFmtId="164" fontId="23" fillId="2" borderId="9" xfId="0" applyNumberFormat="1" applyFont="1" applyFill="1" applyBorder="1" applyAlignment="1" applyProtection="1">
      <alignment horizontal="right"/>
      <protection locked="0"/>
    </xf>
    <xf numFmtId="3" fontId="23" fillId="2" borderId="9" xfId="0" applyNumberFormat="1" applyFont="1" applyFill="1" applyBorder="1" applyProtection="1">
      <protection locked="0"/>
    </xf>
    <xf numFmtId="49" fontId="23" fillId="2" borderId="6" xfId="0" applyNumberFormat="1" applyFont="1" applyFill="1" applyBorder="1" applyAlignment="1" applyProtection="1">
      <protection locked="0"/>
    </xf>
    <xf numFmtId="49" fontId="23" fillId="2" borderId="5" xfId="0" applyNumberFormat="1" applyFont="1" applyFill="1" applyBorder="1" applyAlignment="1" applyProtection="1">
      <protection locked="0"/>
    </xf>
    <xf numFmtId="49" fontId="23" fillId="2" borderId="4" xfId="0" applyNumberFormat="1" applyFont="1" applyFill="1" applyBorder="1" applyAlignment="1" applyProtection="1">
      <protection locked="0"/>
    </xf>
    <xf numFmtId="0" fontId="23" fillId="2" borderId="2" xfId="0" applyFont="1" applyFill="1" applyBorder="1" applyProtection="1">
      <protection locked="0"/>
    </xf>
    <xf numFmtId="8" fontId="23" fillId="2" borderId="2" xfId="0" applyNumberFormat="1" applyFont="1" applyFill="1" applyBorder="1" applyAlignment="1" applyProtection="1">
      <alignment horizontal="right"/>
      <protection locked="0"/>
    </xf>
    <xf numFmtId="8" fontId="23" fillId="2" borderId="2" xfId="0" applyNumberFormat="1" applyFont="1" applyFill="1" applyBorder="1" applyProtection="1">
      <protection locked="0"/>
    </xf>
    <xf numFmtId="0" fontId="23" fillId="3" borderId="0" xfId="0" applyFont="1" applyFill="1" applyBorder="1"/>
    <xf numFmtId="0" fontId="23" fillId="3" borderId="0" xfId="0" applyFont="1" applyFill="1" applyBorder="1" applyAlignment="1">
      <alignment horizontal="right"/>
    </xf>
    <xf numFmtId="0" fontId="24" fillId="0" borderId="0" xfId="0" applyFont="1" applyBorder="1" applyAlignment="1">
      <alignment horizontal="center" wrapText="1"/>
    </xf>
    <xf numFmtId="3" fontId="23" fillId="2" borderId="2" xfId="0" applyNumberFormat="1" applyFont="1" applyFill="1" applyBorder="1" applyAlignment="1" applyProtection="1">
      <alignment horizontal="right"/>
      <protection locked="0"/>
    </xf>
    <xf numFmtId="164" fontId="23" fillId="18" borderId="2" xfId="0" applyNumberFormat="1" applyFont="1" applyFill="1" applyBorder="1" applyAlignment="1">
      <alignment horizontal="right"/>
    </xf>
    <xf numFmtId="164" fontId="23" fillId="18" borderId="9" xfId="0" applyNumberFormat="1" applyFont="1" applyFill="1" applyBorder="1" applyAlignment="1">
      <alignment horizontal="right"/>
    </xf>
    <xf numFmtId="3" fontId="23" fillId="18" borderId="2" xfId="0" applyNumberFormat="1" applyFont="1" applyFill="1" applyBorder="1" applyProtection="1">
      <protection locked="0"/>
    </xf>
    <xf numFmtId="164" fontId="23" fillId="18" borderId="2" xfId="0" applyNumberFormat="1" applyFont="1" applyFill="1" applyBorder="1" applyProtection="1"/>
    <xf numFmtId="164" fontId="23" fillId="3" borderId="11" xfId="0" applyNumberFormat="1" applyFont="1" applyFill="1" applyBorder="1"/>
    <xf numFmtId="164" fontId="23" fillId="0" borderId="3" xfId="0" applyNumberFormat="1" applyFont="1" applyFill="1" applyBorder="1"/>
    <xf numFmtId="164" fontId="23" fillId="0" borderId="3" xfId="0" applyNumberFormat="1" applyFont="1" applyFill="1" applyBorder="1" applyAlignment="1">
      <alignment horizontal="right"/>
    </xf>
    <xf numFmtId="3" fontId="23" fillId="0" borderId="3" xfId="0" applyNumberFormat="1" applyFont="1" applyFill="1" applyBorder="1"/>
    <xf numFmtId="164" fontId="23" fillId="0" borderId="2" xfId="0" applyNumberFormat="1" applyFont="1" applyFill="1" applyBorder="1"/>
    <xf numFmtId="0" fontId="23" fillId="0" borderId="0" xfId="0" applyFont="1" applyFill="1"/>
    <xf numFmtId="164" fontId="23" fillId="18" borderId="2" xfId="0" applyNumberFormat="1" applyFont="1" applyFill="1" applyBorder="1"/>
    <xf numFmtId="164" fontId="23" fillId="18" borderId="2" xfId="0" applyNumberFormat="1" applyFont="1" applyFill="1" applyBorder="1" applyProtection="1">
      <protection locked="0"/>
    </xf>
    <xf numFmtId="0" fontId="24" fillId="0" borderId="0" xfId="0" applyFont="1" applyFill="1" applyAlignment="1">
      <alignment horizontal="right"/>
    </xf>
    <xf numFmtId="0" fontId="24" fillId="0" borderId="0" xfId="0" applyFont="1" applyAlignment="1">
      <alignment horizontal="right" wrapText="1"/>
    </xf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3" fontId="23" fillId="2" borderId="2" xfId="0" applyNumberFormat="1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>
      <alignment horizontal="left"/>
    </xf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49" fontId="8" fillId="2" borderId="4" xfId="0" applyNumberFormat="1" applyFont="1" applyFill="1" applyBorder="1" applyAlignment="1" applyProtection="1">
      <protection locked="0"/>
    </xf>
    <xf numFmtId="49" fontId="8" fillId="2" borderId="5" xfId="0" applyNumberFormat="1" applyFont="1" applyFill="1" applyBorder="1" applyAlignment="1" applyProtection="1">
      <protection locked="0"/>
    </xf>
    <xf numFmtId="49" fontId="8" fillId="2" borderId="6" xfId="0" applyNumberFormat="1" applyFont="1" applyFill="1" applyBorder="1" applyAlignment="1" applyProtection="1">
      <protection locked="0"/>
    </xf>
    <xf numFmtId="49" fontId="0" fillId="2" borderId="7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49" fontId="5" fillId="2" borderId="4" xfId="0" applyNumberFormat="1" applyFont="1" applyFill="1" applyBorder="1" applyAlignment="1" applyProtection="1">
      <protection locked="0"/>
    </xf>
    <xf numFmtId="1" fontId="0" fillId="2" borderId="2" xfId="0" applyNumberFormat="1" applyFill="1" applyBorder="1" applyProtection="1">
      <protection locked="0"/>
    </xf>
    <xf numFmtId="0" fontId="2" fillId="0" borderId="0" xfId="47"/>
    <xf numFmtId="0" fontId="2" fillId="0" borderId="0" xfId="47" applyAlignment="1">
      <alignment horizontal="left"/>
    </xf>
    <xf numFmtId="0" fontId="6" fillId="0" borderId="0" xfId="47" applyFont="1"/>
    <xf numFmtId="10" fontId="2" fillId="2" borderId="2" xfId="48" applyNumberFormat="1" applyFont="1" applyFill="1" applyBorder="1" applyProtection="1"/>
    <xf numFmtId="0" fontId="6" fillId="0" borderId="0" xfId="47" applyFont="1" applyAlignment="1">
      <alignment horizontal="left"/>
    </xf>
    <xf numFmtId="3" fontId="2" fillId="2" borderId="13" xfId="47" applyNumberFormat="1" applyFill="1" applyBorder="1"/>
    <xf numFmtId="0" fontId="2" fillId="0" borderId="12" xfId="47" applyBorder="1"/>
    <xf numFmtId="3" fontId="2" fillId="2" borderId="2" xfId="47" applyNumberFormat="1" applyFill="1" applyBorder="1"/>
    <xf numFmtId="3" fontId="2" fillId="3" borderId="9" xfId="47" applyNumberFormat="1" applyFill="1" applyBorder="1"/>
    <xf numFmtId="0" fontId="6" fillId="0" borderId="0" xfId="47" applyFont="1" applyAlignment="1">
      <alignment horizontal="right"/>
    </xf>
    <xf numFmtId="164" fontId="2" fillId="2" borderId="9" xfId="47" applyNumberFormat="1" applyFill="1" applyBorder="1"/>
    <xf numFmtId="164" fontId="2" fillId="3" borderId="9" xfId="47" applyNumberFormat="1" applyFill="1" applyBorder="1"/>
    <xf numFmtId="3" fontId="2" fillId="2" borderId="9" xfId="47" applyNumberFormat="1" applyFill="1" applyBorder="1"/>
    <xf numFmtId="0" fontId="6" fillId="0" borderId="0" xfId="47" applyFont="1" applyAlignment="1">
      <alignment horizontal="center" wrapText="1"/>
    </xf>
    <xf numFmtId="164" fontId="2" fillId="2" borderId="2" xfId="47" applyNumberFormat="1" applyFill="1" applyBorder="1"/>
    <xf numFmtId="164" fontId="2" fillId="2" borderId="2" xfId="47" applyNumberFormat="1" applyFill="1" applyBorder="1" applyProtection="1">
      <protection locked="0"/>
    </xf>
    <xf numFmtId="164" fontId="2" fillId="2" borderId="4" xfId="47" applyNumberFormat="1" applyFill="1" applyBorder="1" applyProtection="1">
      <protection locked="0"/>
    </xf>
    <xf numFmtId="3" fontId="2" fillId="2" borderId="2" xfId="47" applyNumberFormat="1" applyFill="1" applyBorder="1" applyProtection="1">
      <protection locked="0"/>
    </xf>
    <xf numFmtId="168" fontId="27" fillId="0" borderId="0" xfId="49" applyNumberFormat="1" applyFont="1"/>
    <xf numFmtId="164" fontId="2" fillId="2" borderId="2" xfId="47" applyNumberFormat="1" applyFill="1" applyBorder="1" applyProtection="1"/>
    <xf numFmtId="0" fontId="5" fillId="0" borderId="0" xfId="47" applyFont="1"/>
    <xf numFmtId="10" fontId="2" fillId="2" borderId="2" xfId="47" applyNumberFormat="1" applyFill="1" applyBorder="1" applyProtection="1">
      <protection locked="0"/>
    </xf>
    <xf numFmtId="0" fontId="2" fillId="0" borderId="0" xfId="47" applyFill="1" applyBorder="1"/>
    <xf numFmtId="0" fontId="2" fillId="0" borderId="0" xfId="47" applyBorder="1"/>
    <xf numFmtId="0" fontId="2" fillId="0" borderId="3" xfId="47" applyBorder="1"/>
    <xf numFmtId="0" fontId="2" fillId="0" borderId="1" xfId="47" applyBorder="1"/>
    <xf numFmtId="0" fontId="6" fillId="0" borderId="1" xfId="47" applyFont="1" applyBorder="1"/>
    <xf numFmtId="0" fontId="2" fillId="0" borderId="1" xfId="47" applyBorder="1" applyAlignment="1">
      <alignment horizontal="left"/>
    </xf>
    <xf numFmtId="0" fontId="6" fillId="0" borderId="0" xfId="47" applyFont="1" applyBorder="1"/>
    <xf numFmtId="164" fontId="2" fillId="2" borderId="10" xfId="47" applyNumberFormat="1" applyFill="1" applyBorder="1" applyProtection="1">
      <protection locked="0"/>
    </xf>
    <xf numFmtId="3" fontId="2" fillId="2" borderId="10" xfId="47" applyNumberFormat="1" applyFill="1" applyBorder="1" applyProtection="1">
      <protection locked="0"/>
    </xf>
    <xf numFmtId="0" fontId="2" fillId="2" borderId="2" xfId="47" applyFill="1" applyBorder="1" applyProtection="1"/>
    <xf numFmtId="164" fontId="2" fillId="3" borderId="2" xfId="47" applyNumberFormat="1" applyFill="1" applyBorder="1"/>
    <xf numFmtId="164" fontId="2" fillId="2" borderId="4" xfId="47" applyNumberFormat="1" applyFill="1" applyBorder="1" applyProtection="1"/>
    <xf numFmtId="164" fontId="2" fillId="3" borderId="0" xfId="47" applyNumberFormat="1" applyFill="1" applyBorder="1"/>
    <xf numFmtId="164" fontId="2" fillId="3" borderId="0" xfId="47" applyNumberFormat="1" applyFill="1" applyBorder="1" applyProtection="1">
      <protection locked="0"/>
    </xf>
    <xf numFmtId="164" fontId="2" fillId="3" borderId="0" xfId="47" applyNumberFormat="1" applyFill="1" applyBorder="1" applyProtection="1"/>
    <xf numFmtId="3" fontId="2" fillId="3" borderId="0" xfId="47" applyNumberFormat="1" applyFill="1" applyBorder="1" applyProtection="1">
      <protection locked="0"/>
    </xf>
    <xf numFmtId="49" fontId="2" fillId="2" borderId="8" xfId="47" applyNumberFormat="1" applyFill="1" applyBorder="1" applyAlignment="1" applyProtection="1">
      <protection locked="0"/>
    </xf>
    <xf numFmtId="49" fontId="2" fillId="2" borderId="1" xfId="47" applyNumberFormat="1" applyFill="1" applyBorder="1" applyAlignment="1" applyProtection="1">
      <protection locked="0"/>
    </xf>
    <xf numFmtId="49" fontId="2" fillId="2" borderId="7" xfId="47" applyNumberFormat="1" applyFill="1" applyBorder="1" applyAlignment="1" applyProtection="1">
      <protection locked="0"/>
    </xf>
    <xf numFmtId="164" fontId="2" fillId="2" borderId="9" xfId="47" applyNumberFormat="1" applyFill="1" applyBorder="1" applyProtection="1">
      <protection locked="0"/>
    </xf>
    <xf numFmtId="3" fontId="2" fillId="2" borderId="9" xfId="47" applyNumberFormat="1" applyFill="1" applyBorder="1" applyProtection="1">
      <protection locked="0"/>
    </xf>
    <xf numFmtId="49" fontId="2" fillId="2" borderId="6" xfId="47" applyNumberFormat="1" applyFill="1" applyBorder="1" applyAlignment="1" applyProtection="1">
      <protection locked="0"/>
    </xf>
    <xf numFmtId="49" fontId="2" fillId="2" borderId="5" xfId="47" applyNumberFormat="1" applyFill="1" applyBorder="1" applyAlignment="1" applyProtection="1">
      <protection locked="0"/>
    </xf>
    <xf numFmtId="49" fontId="2" fillId="2" borderId="4" xfId="47" applyNumberFormat="1" applyFill="1" applyBorder="1" applyAlignment="1" applyProtection="1">
      <protection locked="0"/>
    </xf>
    <xf numFmtId="0" fontId="2" fillId="2" borderId="2" xfId="47" applyFill="1" applyBorder="1" applyProtection="1">
      <protection locked="0"/>
    </xf>
    <xf numFmtId="0" fontId="2" fillId="3" borderId="0" xfId="47" applyFill="1" applyBorder="1"/>
    <xf numFmtId="0" fontId="6" fillId="0" borderId="0" xfId="47" applyFont="1" applyBorder="1" applyAlignment="1">
      <alignment horizontal="center" wrapText="1"/>
    </xf>
    <xf numFmtId="164" fontId="2" fillId="3" borderId="4" xfId="47" applyNumberFormat="1" applyFill="1" applyBorder="1" applyProtection="1"/>
    <xf numFmtId="1" fontId="2" fillId="2" borderId="2" xfId="47" applyNumberFormat="1" applyFill="1" applyBorder="1"/>
    <xf numFmtId="0" fontId="5" fillId="0" borderId="0" xfId="47" applyFont="1" applyBorder="1"/>
    <xf numFmtId="164" fontId="2" fillId="3" borderId="11" xfId="47" applyNumberFormat="1" applyFill="1" applyBorder="1"/>
    <xf numFmtId="164" fontId="2" fillId="0" borderId="3" xfId="47" applyNumberFormat="1" applyFill="1" applyBorder="1"/>
    <xf numFmtId="3" fontId="2" fillId="0" borderId="3" xfId="47" applyNumberFormat="1" applyFill="1" applyBorder="1"/>
    <xf numFmtId="164" fontId="2" fillId="0" borderId="2" xfId="47" applyNumberFormat="1" applyFill="1" applyBorder="1"/>
    <xf numFmtId="3" fontId="5" fillId="2" borderId="2" xfId="47" applyNumberFormat="1" applyFont="1" applyFill="1" applyBorder="1" applyProtection="1">
      <protection locked="0"/>
    </xf>
    <xf numFmtId="49" fontId="8" fillId="2" borderId="6" xfId="47" applyNumberFormat="1" applyFont="1" applyFill="1" applyBorder="1" applyAlignment="1" applyProtection="1">
      <protection locked="0"/>
    </xf>
    <xf numFmtId="49" fontId="8" fillId="2" borderId="5" xfId="47" applyNumberFormat="1" applyFont="1" applyFill="1" applyBorder="1" applyAlignment="1" applyProtection="1">
      <protection locked="0"/>
    </xf>
    <xf numFmtId="49" fontId="8" fillId="2" borderId="4" xfId="47" applyNumberFormat="1" applyFont="1" applyFill="1" applyBorder="1" applyAlignment="1" applyProtection="1">
      <protection locked="0"/>
    </xf>
    <xf numFmtId="0" fontId="2" fillId="0" borderId="0" xfId="47" applyAlignment="1">
      <alignment horizontal="centerContinuous"/>
    </xf>
    <xf numFmtId="0" fontId="6" fillId="0" borderId="0" xfId="47" applyFont="1" applyAlignment="1">
      <alignment horizontal="centerContinuous"/>
    </xf>
    <xf numFmtId="0" fontId="7" fillId="0" borderId="0" xfId="47" applyFont="1" applyFill="1" applyBorder="1" applyAlignment="1">
      <alignment horizontal="left"/>
    </xf>
    <xf numFmtId="0" fontId="28" fillId="0" borderId="0" xfId="47" applyFont="1" applyAlignment="1">
      <alignment horizontal="left"/>
    </xf>
    <xf numFmtId="0" fontId="28" fillId="0" borderId="0" xfId="47" applyFont="1" applyAlignment="1">
      <alignment horizontal="center"/>
    </xf>
    <xf numFmtId="0" fontId="28" fillId="0" borderId="15" xfId="47" applyFont="1" applyBorder="1" applyAlignment="1">
      <alignment horizontal="center"/>
    </xf>
    <xf numFmtId="164" fontId="2" fillId="18" borderId="2" xfId="47" applyNumberFormat="1" applyFill="1" applyBorder="1" applyProtection="1"/>
    <xf numFmtId="3" fontId="2" fillId="18" borderId="2" xfId="47" applyNumberFormat="1" applyFill="1" applyBorder="1" applyProtection="1">
      <protection locked="0"/>
    </xf>
    <xf numFmtId="164" fontId="2" fillId="18" borderId="4" xfId="47" applyNumberFormat="1" applyFill="1" applyBorder="1" applyProtection="1">
      <protection locked="0"/>
    </xf>
    <xf numFmtId="0" fontId="2" fillId="0" borderId="0" xfId="47" applyAlignment="1">
      <alignment horizontal="center"/>
    </xf>
    <xf numFmtId="0" fontId="28" fillId="0" borderId="0" xfId="47" applyFont="1"/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49" fontId="0" fillId="2" borderId="7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49" fontId="8" fillId="2" borderId="4" xfId="0" applyNumberFormat="1" applyFont="1" applyFill="1" applyBorder="1" applyAlignment="1" applyProtection="1">
      <protection locked="0"/>
    </xf>
    <xf numFmtId="49" fontId="8" fillId="2" borderId="5" xfId="0" applyNumberFormat="1" applyFont="1" applyFill="1" applyBorder="1" applyAlignment="1" applyProtection="1">
      <protection locked="0"/>
    </xf>
    <xf numFmtId="49" fontId="8" fillId="2" borderId="6" xfId="0" applyNumberFormat="1" applyFont="1" applyFill="1" applyBorder="1" applyAlignment="1" applyProtection="1">
      <protection locked="0"/>
    </xf>
    <xf numFmtId="43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wrapText="1"/>
      <protection locked="0"/>
    </xf>
    <xf numFmtId="3" fontId="0" fillId="2" borderId="2" xfId="0" applyNumberFormat="1" applyFill="1" applyBorder="1" applyAlignment="1" applyProtection="1">
      <alignment wrapText="1"/>
      <protection locked="0"/>
    </xf>
    <xf numFmtId="166" fontId="4" fillId="0" borderId="0" xfId="3" applyNumberFormat="1"/>
    <xf numFmtId="166" fontId="4" fillId="2" borderId="13" xfId="3" applyNumberFormat="1" applyFill="1" applyBorder="1"/>
    <xf numFmtId="166" fontId="4" fillId="0" borderId="12" xfId="3" applyNumberFormat="1" applyBorder="1"/>
    <xf numFmtId="166" fontId="4" fillId="2" borderId="2" xfId="3" applyNumberFormat="1" applyFill="1" applyBorder="1"/>
    <xf numFmtId="166" fontId="4" fillId="3" borderId="9" xfId="3" applyNumberFormat="1" applyFill="1" applyBorder="1"/>
    <xf numFmtId="166" fontId="4" fillId="2" borderId="9" xfId="3" applyNumberFormat="1" applyFill="1" applyBorder="1"/>
    <xf numFmtId="166" fontId="6" fillId="0" borderId="0" xfId="3" applyNumberFormat="1" applyFont="1" applyAlignment="1">
      <alignment horizontal="center" wrapText="1"/>
    </xf>
    <xf numFmtId="166" fontId="4" fillId="2" borderId="4" xfId="3" applyNumberFormat="1" applyFill="1" applyBorder="1" applyProtection="1">
      <protection locked="0"/>
    </xf>
    <xf numFmtId="167" fontId="0" fillId="0" borderId="0" xfId="0" applyNumberFormat="1"/>
    <xf numFmtId="167" fontId="0" fillId="2" borderId="2" xfId="0" applyNumberFormat="1" applyFill="1" applyBorder="1" applyProtection="1"/>
    <xf numFmtId="166" fontId="4" fillId="0" borderId="3" xfId="3" applyNumberFormat="1" applyBorder="1"/>
    <xf numFmtId="166" fontId="4" fillId="2" borderId="10" xfId="3" applyNumberFormat="1" applyFill="1" applyBorder="1" applyProtection="1">
      <protection locked="0"/>
    </xf>
    <xf numFmtId="166" fontId="4" fillId="2" borderId="2" xfId="3" applyNumberFormat="1" applyFill="1" applyBorder="1" applyProtection="1"/>
    <xf numFmtId="166" fontId="4" fillId="2" borderId="4" xfId="3" applyNumberFormat="1" applyFill="1" applyBorder="1" applyProtection="1"/>
    <xf numFmtId="166" fontId="4" fillId="3" borderId="0" xfId="3" applyNumberFormat="1" applyFill="1" applyBorder="1" applyProtection="1">
      <protection locked="0"/>
    </xf>
    <xf numFmtId="166" fontId="4" fillId="3" borderId="0" xfId="3" applyNumberFormat="1" applyFill="1" applyBorder="1" applyProtection="1"/>
    <xf numFmtId="166" fontId="4" fillId="2" borderId="9" xfId="3" applyNumberFormat="1" applyFill="1" applyBorder="1" applyProtection="1">
      <protection locked="0"/>
    </xf>
    <xf numFmtId="166" fontId="4" fillId="3" borderId="0" xfId="3" applyNumberFormat="1" applyFill="1" applyBorder="1"/>
    <xf numFmtId="166" fontId="6" fillId="0" borderId="0" xfId="3" applyNumberFormat="1" applyFont="1" applyBorder="1" applyAlignment="1">
      <alignment horizontal="center" wrapText="1"/>
    </xf>
    <xf numFmtId="166" fontId="4" fillId="3" borderId="4" xfId="3" applyNumberFormat="1" applyFill="1" applyBorder="1" applyProtection="1"/>
    <xf numFmtId="166" fontId="4" fillId="0" borderId="3" xfId="3" applyNumberFormat="1" applyFill="1" applyBorder="1"/>
    <xf numFmtId="166" fontId="4" fillId="0" borderId="0" xfId="3" applyNumberFormat="1" applyAlignment="1">
      <alignment horizontal="centerContinuous"/>
    </xf>
    <xf numFmtId="0" fontId="61" fillId="0" borderId="0" xfId="0" applyFont="1" applyAlignment="1">
      <alignment horizontal="left"/>
    </xf>
    <xf numFmtId="0" fontId="62" fillId="0" borderId="0" xfId="0" applyFont="1" applyAlignment="1">
      <alignment horizontal="left"/>
    </xf>
    <xf numFmtId="0" fontId="62" fillId="0" borderId="0" xfId="0" applyFont="1" applyAlignment="1">
      <alignment horizontal="right"/>
    </xf>
    <xf numFmtId="0" fontId="61" fillId="0" borderId="0" xfId="0" applyFont="1"/>
    <xf numFmtId="0" fontId="61" fillId="0" borderId="1" xfId="0" applyFont="1" applyBorder="1" applyAlignment="1">
      <alignment horizontal="left"/>
    </xf>
    <xf numFmtId="166" fontId="4" fillId="3" borderId="2" xfId="3" applyNumberFormat="1" applyFill="1" applyBorder="1"/>
    <xf numFmtId="166" fontId="4" fillId="3" borderId="11" xfId="3" applyNumberFormat="1" applyFill="1" applyBorder="1"/>
    <xf numFmtId="166" fontId="4" fillId="0" borderId="2" xfId="3" applyNumberFormat="1" applyFill="1" applyBorder="1"/>
    <xf numFmtId="0" fontId="62" fillId="0" borderId="0" xfId="0" applyFont="1" applyAlignment="1">
      <alignment horizontal="centerContinuous"/>
    </xf>
    <xf numFmtId="0" fontId="5" fillId="0" borderId="0" xfId="0" applyFont="1" applyAlignment="1"/>
    <xf numFmtId="49" fontId="0" fillId="2" borderId="4" xfId="0" applyNumberFormat="1" applyFill="1" applyBorder="1" applyAlignment="1" applyProtection="1">
      <protection locked="0"/>
    </xf>
    <xf numFmtId="0" fontId="6" fillId="0" borderId="0" xfId="0" applyFont="1" applyAlignment="1"/>
    <xf numFmtId="167" fontId="6" fillId="2" borderId="2" xfId="0" applyNumberFormat="1" applyFont="1" applyFill="1" applyBorder="1"/>
    <xf numFmtId="167" fontId="6" fillId="18" borderId="2" xfId="0" applyNumberFormat="1" applyFont="1" applyFill="1" applyBorder="1"/>
    <xf numFmtId="164" fontId="0" fillId="0" borderId="0" xfId="0" applyNumberFormat="1"/>
    <xf numFmtId="7" fontId="0" fillId="0" borderId="0" xfId="0" applyNumberFormat="1"/>
    <xf numFmtId="3" fontId="6" fillId="2" borderId="2" xfId="0" applyNumberFormat="1" applyFont="1" applyFill="1" applyBorder="1"/>
    <xf numFmtId="3" fontId="6" fillId="0" borderId="0" xfId="0" applyNumberFormat="1" applyFont="1" applyFill="1" applyBorder="1"/>
    <xf numFmtId="167" fontId="6" fillId="0" borderId="0" xfId="0" applyNumberFormat="1" applyFont="1" applyFill="1" applyBorder="1"/>
    <xf numFmtId="3" fontId="0" fillId="0" borderId="0" xfId="0" applyNumberFormat="1" applyFill="1" applyBorder="1"/>
    <xf numFmtId="3" fontId="0" fillId="0" borderId="0" xfId="0" applyNumberFormat="1"/>
    <xf numFmtId="167" fontId="0" fillId="3" borderId="0" xfId="0" applyNumberFormat="1" applyFill="1" applyBorder="1"/>
    <xf numFmtId="0" fontId="5" fillId="0" borderId="26" xfId="0" applyFont="1" applyBorder="1" applyAlignment="1"/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wrapText="1"/>
    </xf>
    <xf numFmtId="164" fontId="0" fillId="0" borderId="0" xfId="0" applyNumberFormat="1" applyBorder="1"/>
    <xf numFmtId="7" fontId="0" fillId="0" borderId="0" xfId="0" applyNumberFormat="1" applyBorder="1"/>
    <xf numFmtId="3" fontId="0" fillId="0" borderId="0" xfId="0" applyNumberFormat="1" applyBorder="1"/>
    <xf numFmtId="3" fontId="0" fillId="0" borderId="2" xfId="0" applyNumberFormat="1" applyFill="1" applyBorder="1" applyProtection="1">
      <protection locked="0"/>
    </xf>
    <xf numFmtId="3" fontId="0" fillId="0" borderId="2" xfId="0" applyNumberFormat="1" applyFill="1" applyBorder="1"/>
    <xf numFmtId="3" fontId="6" fillId="2" borderId="2" xfId="0" applyNumberFormat="1" applyFont="1" applyFill="1" applyBorder="1" applyProtection="1"/>
    <xf numFmtId="49" fontId="9" fillId="0" borderId="0" xfId="0" applyNumberFormat="1" applyFont="1" applyAlignment="1">
      <alignment horizontal="left"/>
    </xf>
    <xf numFmtId="0" fontId="64" fillId="0" borderId="0" xfId="0" applyFont="1" applyAlignment="1">
      <alignment horizontal="center" wrapText="1"/>
    </xf>
    <xf numFmtId="49" fontId="0" fillId="44" borderId="0" xfId="0" applyNumberFormat="1" applyFill="1" applyBorder="1" applyAlignment="1" applyProtection="1">
      <protection locked="0"/>
    </xf>
    <xf numFmtId="3" fontId="0" fillId="0" borderId="2" xfId="0" applyNumberFormat="1" applyFill="1" applyBorder="1" applyProtection="1"/>
    <xf numFmtId="167" fontId="6" fillId="2" borderId="9" xfId="0" applyNumberFormat="1" applyFont="1" applyFill="1" applyBorder="1"/>
    <xf numFmtId="167" fontId="6" fillId="18" borderId="9" xfId="0" applyNumberFormat="1" applyFont="1" applyFill="1" applyBorder="1"/>
    <xf numFmtId="3" fontId="0" fillId="0" borderId="12" xfId="0" applyNumberFormat="1" applyFill="1" applyBorder="1" applyProtection="1"/>
    <xf numFmtId="0" fontId="6" fillId="0" borderId="26" xfId="0" applyFont="1" applyBorder="1" applyAlignment="1"/>
    <xf numFmtId="3" fontId="6" fillId="2" borderId="9" xfId="0" applyNumberFormat="1" applyFont="1" applyFill="1" applyBorder="1"/>
    <xf numFmtId="3" fontId="6" fillId="0" borderId="12" xfId="0" applyNumberFormat="1" applyFont="1" applyFill="1" applyBorder="1"/>
    <xf numFmtId="0" fontId="0" fillId="0" borderId="0" xfId="0" applyProtection="1"/>
    <xf numFmtId="3" fontId="0" fillId="0" borderId="12" xfId="0" applyNumberFormat="1" applyFill="1" applyBorder="1" applyProtection="1">
      <protection locked="0"/>
    </xf>
    <xf numFmtId="0" fontId="0" fillId="0" borderId="0" xfId="0" applyBorder="1" applyAlignment="1">
      <alignment horizontal="left"/>
    </xf>
    <xf numFmtId="167" fontId="6" fillId="2" borderId="2" xfId="0" applyNumberFormat="1" applyFont="1" applyFill="1" applyBorder="1" applyProtection="1"/>
    <xf numFmtId="167" fontId="6" fillId="2" borderId="9" xfId="0" applyNumberFormat="1" applyFont="1" applyFill="1" applyBorder="1" applyProtection="1"/>
    <xf numFmtId="0" fontId="0" fillId="0" borderId="12" xfId="0" applyFill="1" applyBorder="1"/>
    <xf numFmtId="164" fontId="6" fillId="2" borderId="2" xfId="0" applyNumberFormat="1" applyFont="1" applyFill="1" applyBorder="1"/>
    <xf numFmtId="164" fontId="6" fillId="0" borderId="0" xfId="0" applyNumberFormat="1" applyFont="1" applyFill="1" applyBorder="1"/>
    <xf numFmtId="0" fontId="6" fillId="0" borderId="0" xfId="0" applyFont="1" applyFill="1"/>
    <xf numFmtId="10" fontId="6" fillId="2" borderId="2" xfId="743" applyNumberFormat="1" applyFont="1" applyFill="1" applyBorder="1" applyProtection="1"/>
    <xf numFmtId="10" fontId="6" fillId="0" borderId="0" xfId="743" applyNumberFormat="1" applyFont="1" applyFill="1" applyBorder="1" applyProtection="1"/>
    <xf numFmtId="10" fontId="6" fillId="2" borderId="2" xfId="0" applyNumberFormat="1" applyFont="1" applyFill="1" applyBorder="1"/>
    <xf numFmtId="10" fontId="6" fillId="0" borderId="0" xfId="0" applyNumberFormat="1" applyFont="1" applyFill="1" applyBorder="1"/>
    <xf numFmtId="3" fontId="6" fillId="0" borderId="0" xfId="0" applyNumberFormat="1" applyFont="1" applyFill="1" applyBorder="1" applyProtection="1"/>
    <xf numFmtId="167" fontId="6" fillId="0" borderId="0" xfId="0" applyNumberFormat="1" applyFont="1" applyFill="1" applyBorder="1" applyProtection="1"/>
    <xf numFmtId="3" fontId="0" fillId="0" borderId="12" xfId="0" applyNumberFormat="1" applyBorder="1"/>
    <xf numFmtId="3" fontId="6" fillId="0" borderId="0" xfId="0" applyNumberFormat="1" applyFont="1" applyFill="1" applyBorder="1" applyProtection="1">
      <protection locked="0"/>
    </xf>
    <xf numFmtId="167" fontId="0" fillId="0" borderId="0" xfId="0" applyNumberFormat="1" applyBorder="1"/>
    <xf numFmtId="3" fontId="0" fillId="0" borderId="10" xfId="0" applyNumberFormat="1" applyFill="1" applyBorder="1" applyProtection="1"/>
    <xf numFmtId="10" fontId="6" fillId="18" borderId="2" xfId="0" applyNumberFormat="1" applyFont="1" applyFill="1" applyBorder="1"/>
    <xf numFmtId="167" fontId="6" fillId="0" borderId="12" xfId="0" applyNumberFormat="1" applyFont="1" applyFill="1" applyBorder="1"/>
    <xf numFmtId="164" fontId="6" fillId="0" borderId="0" xfId="0" applyNumberFormat="1" applyFont="1" applyAlignment="1">
      <alignment horizontal="center" wrapText="1"/>
    </xf>
    <xf numFmtId="7" fontId="6" fillId="0" borderId="0" xfId="0" applyNumberFormat="1" applyFont="1" applyAlignment="1">
      <alignment horizontal="center" wrapText="1"/>
    </xf>
    <xf numFmtId="10" fontId="6" fillId="2" borderId="2" xfId="5" applyNumberFormat="1" applyFont="1" applyFill="1" applyBorder="1"/>
    <xf numFmtId="167" fontId="6" fillId="2" borderId="2" xfId="5" applyNumberFormat="1" applyFont="1" applyFill="1" applyBorder="1"/>
    <xf numFmtId="10" fontId="5" fillId="44" borderId="10" xfId="5" applyNumberFormat="1" applyFill="1" applyBorder="1"/>
    <xf numFmtId="167" fontId="5" fillId="0" borderId="0" xfId="5" applyNumberFormat="1"/>
    <xf numFmtId="10" fontId="5" fillId="2" borderId="9" xfId="5" applyNumberFormat="1" applyFill="1" applyBorder="1"/>
    <xf numFmtId="167" fontId="5" fillId="2" borderId="9" xfId="5" applyNumberFormat="1" applyFill="1" applyBorder="1" applyProtection="1"/>
    <xf numFmtId="167" fontId="6" fillId="2" borderId="2" xfId="5" applyNumberFormat="1" applyFont="1" applyFill="1" applyBorder="1" applyProtection="1"/>
    <xf numFmtId="167" fontId="6" fillId="2" borderId="9" xfId="5" applyNumberFormat="1" applyFont="1" applyFill="1" applyBorder="1" applyProtection="1"/>
    <xf numFmtId="10" fontId="5" fillId="2" borderId="2" xfId="5" applyNumberFormat="1" applyFill="1" applyBorder="1"/>
    <xf numFmtId="167" fontId="5" fillId="2" borderId="2" xfId="5" applyNumberFormat="1" applyFill="1" applyBorder="1" applyProtection="1"/>
    <xf numFmtId="0" fontId="5" fillId="0" borderId="0" xfId="5" applyAlignment="1">
      <alignment wrapText="1"/>
    </xf>
    <xf numFmtId="0" fontId="6" fillId="0" borderId="0" xfId="5" applyFont="1" applyAlignment="1">
      <alignment wrapText="1"/>
    </xf>
    <xf numFmtId="10" fontId="6" fillId="0" borderId="0" xfId="5" applyNumberFormat="1" applyFont="1" applyFill="1" applyBorder="1"/>
    <xf numFmtId="167" fontId="6" fillId="0" borderId="0" xfId="5" applyNumberFormat="1" applyFont="1" applyFill="1" applyBorder="1"/>
    <xf numFmtId="10" fontId="5" fillId="2" borderId="2" xfId="5" applyNumberFormat="1" applyFont="1" applyFill="1" applyBorder="1"/>
    <xf numFmtId="167" fontId="5" fillId="2" borderId="2" xfId="5" applyNumberFormat="1" applyFont="1" applyFill="1" applyBorder="1"/>
    <xf numFmtId="10" fontId="5" fillId="2" borderId="9" xfId="5" applyNumberFormat="1" applyFont="1" applyFill="1" applyBorder="1"/>
    <xf numFmtId="167" fontId="5" fillId="2" borderId="9" xfId="5" applyNumberFormat="1" applyFont="1" applyFill="1" applyBorder="1"/>
    <xf numFmtId="10" fontId="5" fillId="0" borderId="0" xfId="5" applyNumberFormat="1" applyFill="1" applyBorder="1"/>
    <xf numFmtId="167" fontId="5" fillId="0" borderId="0" xfId="5" applyNumberFormat="1" applyFill="1" applyBorder="1"/>
    <xf numFmtId="167" fontId="5" fillId="0" borderId="0" xfId="5" applyNumberFormat="1" applyBorder="1"/>
    <xf numFmtId="167" fontId="5" fillId="2" borderId="9" xfId="5" applyNumberFormat="1" applyFill="1" applyBorder="1"/>
    <xf numFmtId="167" fontId="6" fillId="2" borderId="2" xfId="778" applyNumberFormat="1" applyFont="1" applyFill="1" applyBorder="1" applyProtection="1"/>
    <xf numFmtId="167" fontId="6" fillId="2" borderId="9" xfId="778" applyNumberFormat="1" applyFont="1" applyFill="1" applyBorder="1" applyProtection="1"/>
    <xf numFmtId="167" fontId="5" fillId="2" borderId="2" xfId="5" applyNumberFormat="1" applyFill="1" applyBorder="1"/>
    <xf numFmtId="3" fontId="6" fillId="2" borderId="2" xfId="778" applyNumberFormat="1" applyFont="1" applyFill="1" applyBorder="1" applyProtection="1"/>
    <xf numFmtId="167" fontId="6" fillId="44" borderId="0" xfId="5" applyNumberFormat="1" applyFont="1" applyFill="1" applyBorder="1"/>
    <xf numFmtId="3" fontId="6" fillId="44" borderId="0" xfId="5" applyNumberFormat="1" applyFont="1" applyFill="1" applyBorder="1"/>
    <xf numFmtId="3" fontId="6" fillId="2" borderId="2" xfId="5" applyNumberFormat="1" applyFont="1" applyFill="1" applyBorder="1" applyProtection="1"/>
    <xf numFmtId="3" fontId="5" fillId="0" borderId="0" xfId="5" applyNumberFormat="1"/>
    <xf numFmtId="7" fontId="5" fillId="0" borderId="0" xfId="5" applyNumberFormat="1"/>
    <xf numFmtId="164" fontId="5" fillId="0" borderId="0" xfId="5" applyNumberFormat="1"/>
    <xf numFmtId="7" fontId="6" fillId="0" borderId="0" xfId="5" applyNumberFormat="1" applyFont="1" applyAlignment="1">
      <alignment vertical="center" wrapText="1"/>
    </xf>
    <xf numFmtId="164" fontId="6" fillId="0" borderId="0" xfId="5" applyNumberFormat="1" applyFont="1" applyAlignment="1">
      <alignment vertical="center" wrapText="1"/>
    </xf>
    <xf numFmtId="0" fontId="66" fillId="0" borderId="0" xfId="5" applyFont="1" applyAlignment="1">
      <alignment horizontal="left"/>
    </xf>
    <xf numFmtId="3" fontId="6" fillId="0" borderId="0" xfId="5" applyNumberFormat="1" applyFont="1" applyFill="1" applyBorder="1" applyProtection="1"/>
    <xf numFmtId="49" fontId="6" fillId="0" borderId="0" xfId="5" applyNumberFormat="1" applyFont="1" applyAlignment="1">
      <alignment horizontal="left"/>
    </xf>
    <xf numFmtId="5" fontId="5" fillId="0" borderId="0" xfId="5" applyNumberFormat="1"/>
    <xf numFmtId="164" fontId="6" fillId="2" borderId="2" xfId="778" applyNumberFormat="1" applyFont="1" applyFill="1" applyBorder="1" applyProtection="1"/>
    <xf numFmtId="5" fontId="6" fillId="0" borderId="0" xfId="5" applyNumberFormat="1" applyFont="1" applyAlignment="1">
      <alignment wrapText="1"/>
    </xf>
    <xf numFmtId="3" fontId="0" fillId="4" borderId="4" xfId="0" applyNumberFormat="1" applyFill="1" applyBorder="1" applyAlignment="1" applyProtection="1">
      <alignment horizontal="left" shrinkToFit="1"/>
      <protection locked="0"/>
    </xf>
    <xf numFmtId="49" fontId="0" fillId="0" borderId="0" xfId="0" applyNumberFormat="1" applyFill="1" applyBorder="1" applyAlignment="1" applyProtection="1">
      <protection locked="0"/>
    </xf>
    <xf numFmtId="49" fontId="6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24" fillId="0" borderId="1" xfId="0" applyFont="1" applyBorder="1" applyAlignment="1">
      <alignment wrapText="1"/>
    </xf>
    <xf numFmtId="0" fontId="23" fillId="0" borderId="1" xfId="0" applyFont="1" applyBorder="1" applyAlignment="1">
      <alignment wrapText="1"/>
    </xf>
    <xf numFmtId="49" fontId="23" fillId="2" borderId="7" xfId="0" applyNumberFormat="1" applyFont="1" applyFill="1" applyBorder="1" applyAlignment="1" applyProtection="1">
      <protection locked="0"/>
    </xf>
    <xf numFmtId="49" fontId="23" fillId="2" borderId="1" xfId="0" applyNumberFormat="1" applyFont="1" applyFill="1" applyBorder="1" applyAlignment="1" applyProtection="1">
      <protection locked="0"/>
    </xf>
    <xf numFmtId="49" fontId="23" fillId="2" borderId="6" xfId="0" applyNumberFormat="1" applyFont="1" applyFill="1" applyBorder="1" applyAlignment="1" applyProtection="1">
      <protection locked="0"/>
    </xf>
    <xf numFmtId="49" fontId="23" fillId="2" borderId="4" xfId="0" applyNumberFormat="1" applyFont="1" applyFill="1" applyBorder="1" applyAlignment="1" applyProtection="1">
      <protection locked="0"/>
    </xf>
    <xf numFmtId="49" fontId="23" fillId="2" borderId="5" xfId="0" applyNumberFormat="1" applyFont="1" applyFill="1" applyBorder="1" applyAlignment="1" applyProtection="1">
      <protection locked="0"/>
    </xf>
    <xf numFmtId="0" fontId="23" fillId="0" borderId="0" xfId="0" applyFont="1" applyAlignme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49" fontId="26" fillId="4" borderId="4" xfId="46" applyNumberFormat="1" applyFill="1" applyBorder="1" applyAlignment="1" applyProtection="1">
      <alignment shrinkToFit="1"/>
      <protection locked="0"/>
    </xf>
    <xf numFmtId="49" fontId="23" fillId="4" borderId="5" xfId="0" applyNumberFormat="1" applyFont="1" applyFill="1" applyBorder="1" applyAlignment="1" applyProtection="1">
      <alignment shrinkToFit="1"/>
      <protection locked="0"/>
    </xf>
    <xf numFmtId="49" fontId="23" fillId="4" borderId="6" xfId="0" applyNumberFormat="1" applyFont="1" applyFill="1" applyBorder="1" applyAlignment="1" applyProtection="1">
      <alignment shrinkToFit="1"/>
      <protection locked="0"/>
    </xf>
    <xf numFmtId="0" fontId="25" fillId="0" borderId="0" xfId="0" applyFont="1" applyFill="1" applyBorder="1" applyAlignment="1">
      <alignment vertical="justify" wrapText="1"/>
    </xf>
    <xf numFmtId="0" fontId="23" fillId="0" borderId="0" xfId="0" applyFont="1" applyAlignment="1">
      <alignment vertical="justify" wrapText="1"/>
    </xf>
    <xf numFmtId="49" fontId="23" fillId="4" borderId="4" xfId="0" applyNumberFormat="1" applyFont="1" applyFill="1" applyBorder="1" applyAlignment="1" applyProtection="1">
      <alignment shrinkToFit="1"/>
      <protection locked="0"/>
    </xf>
    <xf numFmtId="49" fontId="23" fillId="0" borderId="5" xfId="0" applyNumberFormat="1" applyFont="1" applyBorder="1" applyAlignment="1" applyProtection="1">
      <alignment shrinkToFit="1"/>
      <protection locked="0"/>
    </xf>
    <xf numFmtId="49" fontId="23" fillId="0" borderId="6" xfId="0" applyNumberFormat="1" applyFont="1" applyBorder="1" applyAlignment="1" applyProtection="1">
      <alignment shrinkToFit="1"/>
      <protection locked="0"/>
    </xf>
    <xf numFmtId="1" fontId="23" fillId="4" borderId="4" xfId="0" quotePrefix="1" applyNumberFormat="1" applyFont="1" applyFill="1" applyBorder="1" applyAlignment="1" applyProtection="1">
      <alignment horizontal="left" shrinkToFit="1"/>
      <protection locked="0"/>
    </xf>
    <xf numFmtId="0" fontId="23" fillId="0" borderId="5" xfId="0" applyFont="1" applyBorder="1" applyAlignment="1" applyProtection="1">
      <alignment horizontal="left" shrinkToFit="1"/>
      <protection locked="0"/>
    </xf>
    <xf numFmtId="0" fontId="23" fillId="0" borderId="6" xfId="0" applyFont="1" applyBorder="1" applyAlignment="1" applyProtection="1">
      <alignment horizontal="left" shrinkToFit="1"/>
      <protection locked="0"/>
    </xf>
    <xf numFmtId="3" fontId="23" fillId="20" borderId="4" xfId="0" applyNumberFormat="1" applyFont="1" applyFill="1" applyBorder="1" applyAlignment="1" applyProtection="1">
      <alignment horizontal="left" shrinkToFit="1"/>
      <protection locked="0"/>
    </xf>
    <xf numFmtId="3" fontId="23" fillId="20" borderId="5" xfId="0" applyNumberFormat="1" applyFont="1" applyFill="1" applyBorder="1" applyAlignment="1" applyProtection="1">
      <alignment horizontal="left" shrinkToFit="1"/>
      <protection locked="0"/>
    </xf>
    <xf numFmtId="3" fontId="23" fillId="20" borderId="6" xfId="0" applyNumberFormat="1" applyFont="1" applyFill="1" applyBorder="1" applyAlignment="1" applyProtection="1">
      <alignment horizontal="left" shrinkToFit="1"/>
      <protection locked="0"/>
    </xf>
    <xf numFmtId="165" fontId="23" fillId="4" borderId="4" xfId="0" applyNumberFormat="1" applyFont="1" applyFill="1" applyBorder="1" applyAlignment="1" applyProtection="1">
      <alignment shrinkToFit="1"/>
      <protection locked="0"/>
    </xf>
    <xf numFmtId="165" fontId="23" fillId="0" borderId="5" xfId="0" applyNumberFormat="1" applyFont="1" applyBorder="1" applyAlignment="1" applyProtection="1">
      <alignment shrinkToFit="1"/>
      <protection locked="0"/>
    </xf>
    <xf numFmtId="165" fontId="23" fillId="0" borderId="6" xfId="0" applyNumberFormat="1" applyFont="1" applyBorder="1" applyAlignment="1" applyProtection="1">
      <alignment shrinkToFit="1"/>
      <protection locked="0"/>
    </xf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49" fontId="0" fillId="4" borderId="4" xfId="0" applyNumberFormat="1" applyFill="1" applyBorder="1" applyAlignment="1" applyProtection="1">
      <alignment shrinkToFit="1"/>
      <protection locked="0"/>
    </xf>
    <xf numFmtId="49" fontId="0" fillId="0" borderId="5" xfId="0" applyNumberFormat="1" applyBorder="1" applyAlignment="1" applyProtection="1">
      <alignment shrinkToFit="1"/>
      <protection locked="0"/>
    </xf>
    <xf numFmtId="49" fontId="0" fillId="0" borderId="6" xfId="0" applyNumberFormat="1" applyBorder="1" applyAlignment="1" applyProtection="1">
      <alignment shrinkToFit="1"/>
      <protection locked="0"/>
    </xf>
    <xf numFmtId="1" fontId="0" fillId="4" borderId="4" xfId="0" quotePrefix="1" applyNumberFormat="1" applyFill="1" applyBorder="1" applyAlignment="1" applyProtection="1">
      <alignment shrinkToFit="1"/>
      <protection locked="0"/>
    </xf>
    <xf numFmtId="0" fontId="0" fillId="0" borderId="5" xfId="0" applyBorder="1" applyAlignment="1" applyProtection="1">
      <alignment shrinkToFit="1"/>
      <protection locked="0"/>
    </xf>
    <xf numFmtId="0" fontId="0" fillId="0" borderId="6" xfId="0" applyBorder="1" applyAlignment="1" applyProtection="1">
      <alignment shrinkToFit="1"/>
      <protection locked="0"/>
    </xf>
    <xf numFmtId="3" fontId="0" fillId="0" borderId="5" xfId="0" applyNumberFormat="1" applyBorder="1" applyAlignment="1" applyProtection="1">
      <alignment shrinkToFit="1"/>
      <protection locked="0"/>
    </xf>
    <xf numFmtId="3" fontId="0" fillId="0" borderId="6" xfId="0" applyNumberFormat="1" applyBorder="1" applyAlignment="1" applyProtection="1">
      <alignment shrinkToFit="1"/>
      <protection locked="0"/>
    </xf>
    <xf numFmtId="49" fontId="0" fillId="4" borderId="5" xfId="0" applyNumberFormat="1" applyFill="1" applyBorder="1" applyAlignment="1" applyProtection="1">
      <alignment shrinkToFit="1"/>
      <protection locked="0"/>
    </xf>
    <xf numFmtId="165" fontId="0" fillId="4" borderId="4" xfId="0" applyNumberFormat="1" applyFill="1" applyBorder="1" applyAlignment="1" applyProtection="1">
      <alignment shrinkToFit="1"/>
      <protection locked="0"/>
    </xf>
    <xf numFmtId="165" fontId="0" fillId="0" borderId="5" xfId="0" applyNumberFormat="1" applyBorder="1" applyAlignment="1" applyProtection="1">
      <alignment shrinkToFit="1"/>
      <protection locked="0"/>
    </xf>
    <xf numFmtId="165" fontId="0" fillId="0" borderId="6" xfId="0" applyNumberFormat="1" applyBorder="1" applyAlignment="1" applyProtection="1">
      <alignment shrinkToFit="1"/>
      <protection locked="0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8" fillId="2" borderId="4" xfId="0" applyNumberFormat="1" applyFont="1" applyFill="1" applyBorder="1" applyAlignment="1" applyProtection="1">
      <protection locked="0"/>
    </xf>
    <xf numFmtId="49" fontId="8" fillId="2" borderId="5" xfId="0" applyNumberFormat="1" applyFont="1" applyFill="1" applyBorder="1" applyAlignment="1" applyProtection="1">
      <protection locked="0"/>
    </xf>
    <xf numFmtId="49" fontId="8" fillId="2" borderId="6" xfId="0" applyNumberFormat="1" applyFont="1" applyFill="1" applyBorder="1" applyAlignment="1" applyProtection="1">
      <protection locked="0"/>
    </xf>
    <xf numFmtId="0" fontId="5" fillId="0" borderId="0" xfId="0" applyFont="1" applyAlignment="1"/>
    <xf numFmtId="0" fontId="0" fillId="0" borderId="0" xfId="0" applyAlignment="1"/>
    <xf numFmtId="0" fontId="10" fillId="0" borderId="0" xfId="0" applyFont="1" applyFill="1" applyBorder="1" applyAlignment="1">
      <alignment vertical="justify" wrapText="1"/>
    </xf>
    <xf numFmtId="0" fontId="11" fillId="0" borderId="0" xfId="0" applyFont="1" applyAlignment="1">
      <alignment vertical="justify" wrapText="1"/>
    </xf>
    <xf numFmtId="0" fontId="11" fillId="0" borderId="0" xfId="0" applyFont="1" applyAlignment="1"/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49" fontId="5" fillId="2" borderId="4" xfId="0" applyNumberFormat="1" applyFont="1" applyFill="1" applyBorder="1" applyAlignment="1" applyProtection="1">
      <protection locked="0"/>
    </xf>
    <xf numFmtId="49" fontId="0" fillId="2" borderId="7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0" fontId="9" fillId="0" borderId="0" xfId="47" applyFont="1" applyAlignment="1">
      <alignment horizontal="center"/>
    </xf>
    <xf numFmtId="0" fontId="7" fillId="0" borderId="0" xfId="47" applyFont="1" applyAlignment="1">
      <alignment horizontal="center"/>
    </xf>
    <xf numFmtId="49" fontId="2" fillId="4" borderId="4" xfId="47" applyNumberFormat="1" applyFill="1" applyBorder="1" applyAlignment="1" applyProtection="1">
      <alignment shrinkToFit="1"/>
      <protection locked="0"/>
    </xf>
    <xf numFmtId="49" fontId="2" fillId="0" borderId="5" xfId="47" applyNumberFormat="1" applyBorder="1" applyAlignment="1" applyProtection="1">
      <alignment shrinkToFit="1"/>
      <protection locked="0"/>
    </xf>
    <xf numFmtId="49" fontId="2" fillId="0" borderId="6" xfId="47" applyNumberFormat="1" applyBorder="1" applyAlignment="1" applyProtection="1">
      <alignment shrinkToFit="1"/>
      <protection locked="0"/>
    </xf>
    <xf numFmtId="165" fontId="2" fillId="4" borderId="4" xfId="47" applyNumberFormat="1" applyFill="1" applyBorder="1" applyAlignment="1" applyProtection="1">
      <alignment shrinkToFit="1"/>
      <protection locked="0"/>
    </xf>
    <xf numFmtId="165" fontId="2" fillId="0" borderId="5" xfId="47" applyNumberFormat="1" applyBorder="1" applyAlignment="1" applyProtection="1">
      <alignment shrinkToFit="1"/>
      <protection locked="0"/>
    </xf>
    <xf numFmtId="165" fontId="2" fillId="0" borderId="6" xfId="47" applyNumberFormat="1" applyBorder="1" applyAlignment="1" applyProtection="1">
      <alignment shrinkToFit="1"/>
      <protection locked="0"/>
    </xf>
    <xf numFmtId="49" fontId="2" fillId="4" borderId="5" xfId="47" applyNumberFormat="1" applyFill="1" applyBorder="1" applyAlignment="1" applyProtection="1">
      <alignment shrinkToFit="1"/>
      <protection locked="0"/>
    </xf>
    <xf numFmtId="0" fontId="10" fillId="0" borderId="0" xfId="47" applyFont="1" applyFill="1" applyBorder="1" applyAlignment="1">
      <alignment vertical="justify" wrapText="1"/>
    </xf>
    <xf numFmtId="0" fontId="11" fillId="0" borderId="0" xfId="47" applyFont="1" applyAlignment="1">
      <alignment vertical="justify" wrapText="1"/>
    </xf>
    <xf numFmtId="0" fontId="11" fillId="0" borderId="0" xfId="47" applyFont="1" applyAlignment="1"/>
    <xf numFmtId="49" fontId="8" fillId="2" borderId="4" xfId="47" applyNumberFormat="1" applyFont="1" applyFill="1" applyBorder="1" applyAlignment="1" applyProtection="1">
      <protection locked="0"/>
    </xf>
    <xf numFmtId="49" fontId="8" fillId="2" borderId="5" xfId="47" applyNumberFormat="1" applyFont="1" applyFill="1" applyBorder="1" applyAlignment="1" applyProtection="1">
      <protection locked="0"/>
    </xf>
    <xf numFmtId="49" fontId="8" fillId="2" borderId="6" xfId="47" applyNumberFormat="1" applyFont="1" applyFill="1" applyBorder="1" applyAlignment="1" applyProtection="1">
      <protection locked="0"/>
    </xf>
    <xf numFmtId="0" fontId="5" fillId="0" borderId="0" xfId="47" applyFont="1" applyAlignment="1"/>
    <xf numFmtId="0" fontId="2" fillId="0" borderId="0" xfId="47" applyAlignment="1"/>
    <xf numFmtId="0" fontId="6" fillId="0" borderId="1" xfId="47" applyFont="1" applyBorder="1" applyAlignment="1">
      <alignment wrapText="1"/>
    </xf>
    <xf numFmtId="0" fontId="2" fillId="0" borderId="1" xfId="47" applyBorder="1" applyAlignment="1">
      <alignment wrapText="1"/>
    </xf>
    <xf numFmtId="49" fontId="2" fillId="2" borderId="7" xfId="47" applyNumberFormat="1" applyFill="1" applyBorder="1" applyAlignment="1" applyProtection="1">
      <protection locked="0"/>
    </xf>
    <xf numFmtId="49" fontId="2" fillId="2" borderId="1" xfId="47" applyNumberFormat="1" applyFill="1" applyBorder="1" applyAlignment="1" applyProtection="1">
      <protection locked="0"/>
    </xf>
    <xf numFmtId="49" fontId="2" fillId="2" borderId="6" xfId="47" applyNumberFormat="1" applyFill="1" applyBorder="1" applyAlignment="1" applyProtection="1">
      <protection locked="0"/>
    </xf>
    <xf numFmtId="49" fontId="2" fillId="2" borderId="4" xfId="47" applyNumberFormat="1" applyFill="1" applyBorder="1" applyAlignment="1" applyProtection="1">
      <protection locked="0"/>
    </xf>
    <xf numFmtId="49" fontId="2" fillId="2" borderId="5" xfId="47" applyNumberFormat="1" applyFill="1" applyBorder="1" applyAlignment="1" applyProtection="1">
      <protection locked="0"/>
    </xf>
    <xf numFmtId="49" fontId="5" fillId="4" borderId="4" xfId="0" applyNumberFormat="1" applyFont="1" applyFill="1" applyBorder="1" applyAlignment="1" applyProtection="1">
      <alignment shrinkToFit="1"/>
      <protection locked="0"/>
    </xf>
    <xf numFmtId="49" fontId="5" fillId="2" borderId="7" xfId="0" applyNumberFormat="1" applyFont="1" applyFill="1" applyBorder="1" applyAlignment="1" applyProtection="1">
      <protection locked="0"/>
    </xf>
    <xf numFmtId="165" fontId="5" fillId="4" borderId="4" xfId="0" applyNumberFormat="1" applyFont="1" applyFill="1" applyBorder="1" applyAlignment="1" applyProtection="1">
      <alignment shrinkToFit="1"/>
      <protection locked="0"/>
    </xf>
    <xf numFmtId="3" fontId="0" fillId="4" borderId="4" xfId="0" quotePrefix="1" applyNumberFormat="1" applyFill="1" applyBorder="1" applyAlignment="1" applyProtection="1">
      <alignment shrinkToFit="1"/>
      <protection locked="0"/>
    </xf>
    <xf numFmtId="1" fontId="0" fillId="4" borderId="4" xfId="0" applyNumberFormat="1" applyFill="1" applyBorder="1" applyAlignment="1" applyProtection="1">
      <alignment shrinkToFit="1"/>
      <protection locked="0"/>
    </xf>
    <xf numFmtId="49" fontId="0" fillId="4" borderId="6" xfId="0" applyNumberFormat="1" applyFill="1" applyBorder="1" applyAlignment="1" applyProtection="1">
      <alignment shrinkToFit="1"/>
      <protection locked="0"/>
    </xf>
    <xf numFmtId="165" fontId="0" fillId="4" borderId="5" xfId="0" applyNumberFormat="1" applyFill="1" applyBorder="1" applyAlignment="1" applyProtection="1">
      <alignment shrinkToFit="1"/>
      <protection locked="0"/>
    </xf>
    <xf numFmtId="165" fontId="0" fillId="4" borderId="6" xfId="0" applyNumberFormat="1" applyFill="1" applyBorder="1" applyAlignment="1" applyProtection="1">
      <alignment shrinkToFit="1"/>
      <protection locked="0"/>
    </xf>
    <xf numFmtId="3" fontId="0" fillId="2" borderId="4" xfId="0" applyNumberFormat="1" applyFill="1" applyBorder="1" applyAlignment="1" applyProtection="1">
      <protection locked="0"/>
    </xf>
    <xf numFmtId="3" fontId="0" fillId="2" borderId="5" xfId="0" applyNumberFormat="1" applyFill="1" applyBorder="1" applyAlignment="1" applyProtection="1">
      <protection locked="0"/>
    </xf>
    <xf numFmtId="3" fontId="0" fillId="2" borderId="6" xfId="0" applyNumberFormat="1" applyFill="1" applyBorder="1" applyAlignment="1" applyProtection="1">
      <protection locked="0"/>
    </xf>
    <xf numFmtId="3" fontId="0" fillId="2" borderId="4" xfId="0" applyNumberFormat="1" applyFill="1" applyBorder="1" applyAlignment="1" applyProtection="1">
      <alignment horizontal="left"/>
      <protection locked="0"/>
    </xf>
    <xf numFmtId="3" fontId="0" fillId="2" borderId="5" xfId="0" applyNumberFormat="1" applyFill="1" applyBorder="1" applyAlignment="1" applyProtection="1">
      <alignment horizontal="left"/>
      <protection locked="0"/>
    </xf>
    <xf numFmtId="3" fontId="0" fillId="2" borderId="6" xfId="0" applyNumberFormat="1" applyFill="1" applyBorder="1" applyAlignment="1" applyProtection="1">
      <alignment horizontal="left"/>
      <protection locked="0"/>
    </xf>
    <xf numFmtId="0" fontId="5" fillId="0" borderId="0" xfId="5" applyFont="1" applyAlignment="1"/>
    <xf numFmtId="0" fontId="5" fillId="0" borderId="0" xfId="5" applyAlignment="1"/>
    <xf numFmtId="0" fontId="9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49" fontId="5" fillId="4" borderId="4" xfId="5" applyNumberFormat="1" applyFill="1" applyBorder="1" applyAlignment="1" applyProtection="1">
      <alignment shrinkToFit="1"/>
      <protection locked="0"/>
    </xf>
    <xf numFmtId="49" fontId="5" fillId="0" borderId="5" xfId="5" applyNumberFormat="1" applyBorder="1" applyAlignment="1" applyProtection="1">
      <alignment shrinkToFit="1"/>
      <protection locked="0"/>
    </xf>
    <xf numFmtId="49" fontId="5" fillId="0" borderId="6" xfId="5" applyNumberFormat="1" applyBorder="1" applyAlignment="1" applyProtection="1">
      <alignment shrinkToFit="1"/>
      <protection locked="0"/>
    </xf>
    <xf numFmtId="1" fontId="5" fillId="4" borderId="4" xfId="5" quotePrefix="1" applyNumberFormat="1" applyFill="1" applyBorder="1" applyAlignment="1" applyProtection="1">
      <alignment shrinkToFit="1"/>
      <protection locked="0"/>
    </xf>
    <xf numFmtId="1" fontId="5" fillId="4" borderId="5" xfId="5" quotePrefix="1" applyNumberFormat="1" applyFill="1" applyBorder="1" applyAlignment="1" applyProtection="1">
      <alignment shrinkToFit="1"/>
      <protection locked="0"/>
    </xf>
    <xf numFmtId="1" fontId="5" fillId="4" borderId="6" xfId="5" quotePrefix="1" applyNumberFormat="1" applyFill="1" applyBorder="1" applyAlignment="1" applyProtection="1">
      <alignment shrinkToFit="1"/>
      <protection locked="0"/>
    </xf>
    <xf numFmtId="3" fontId="5" fillId="4" borderId="4" xfId="5" quotePrefix="1" applyNumberFormat="1" applyFill="1" applyBorder="1" applyAlignment="1" applyProtection="1">
      <alignment shrinkToFit="1"/>
      <protection locked="0"/>
    </xf>
    <xf numFmtId="3" fontId="5" fillId="0" borderId="5" xfId="5" applyNumberFormat="1" applyBorder="1" applyAlignment="1" applyProtection="1">
      <alignment shrinkToFit="1"/>
      <protection locked="0"/>
    </xf>
    <xf numFmtId="3" fontId="5" fillId="0" borderId="6" xfId="5" applyNumberFormat="1" applyBorder="1" applyAlignment="1" applyProtection="1">
      <alignment shrinkToFit="1"/>
      <protection locked="0"/>
    </xf>
    <xf numFmtId="165" fontId="5" fillId="4" borderId="4" xfId="5" applyNumberFormat="1" applyFill="1" applyBorder="1" applyAlignment="1" applyProtection="1">
      <alignment shrinkToFit="1"/>
      <protection locked="0"/>
    </xf>
    <xf numFmtId="165" fontId="5" fillId="0" borderId="5" xfId="5" applyNumberFormat="1" applyBorder="1" applyAlignment="1" applyProtection="1">
      <alignment shrinkToFit="1"/>
      <protection locked="0"/>
    </xf>
    <xf numFmtId="165" fontId="5" fillId="0" borderId="6" xfId="5" applyNumberFormat="1" applyBorder="1" applyAlignment="1" applyProtection="1">
      <alignment shrinkToFit="1"/>
      <protection locked="0"/>
    </xf>
    <xf numFmtId="49" fontId="5" fillId="4" borderId="5" xfId="5" applyNumberFormat="1" applyFill="1" applyBorder="1" applyAlignment="1" applyProtection="1">
      <alignment shrinkToFit="1"/>
      <protection locked="0"/>
    </xf>
    <xf numFmtId="0" fontId="10" fillId="0" borderId="0" xfId="5" applyFont="1" applyFill="1" applyBorder="1" applyAlignment="1">
      <alignment vertical="justify" wrapText="1"/>
    </xf>
    <xf numFmtId="0" fontId="11" fillId="0" borderId="0" xfId="5" applyFont="1" applyAlignment="1">
      <alignment vertical="justify" wrapText="1"/>
    </xf>
    <xf numFmtId="0" fontId="11" fillId="0" borderId="0" xfId="5" applyFont="1" applyAlignment="1"/>
    <xf numFmtId="49" fontId="8" fillId="2" borderId="4" xfId="5" applyNumberFormat="1" applyFont="1" applyFill="1" applyBorder="1" applyAlignment="1" applyProtection="1">
      <protection locked="0"/>
    </xf>
    <xf numFmtId="49" fontId="8" fillId="2" borderId="5" xfId="5" applyNumberFormat="1" applyFont="1" applyFill="1" applyBorder="1" applyAlignment="1" applyProtection="1">
      <protection locked="0"/>
    </xf>
    <xf numFmtId="49" fontId="8" fillId="2" borderId="6" xfId="5" applyNumberFormat="1" applyFont="1" applyFill="1" applyBorder="1" applyAlignment="1" applyProtection="1">
      <protection locked="0"/>
    </xf>
    <xf numFmtId="0" fontId="6" fillId="0" borderId="1" xfId="5" applyFont="1" applyBorder="1" applyAlignment="1">
      <alignment wrapText="1"/>
    </xf>
    <xf numFmtId="0" fontId="5" fillId="0" borderId="1" xfId="5" applyBorder="1" applyAlignment="1">
      <alignment wrapText="1"/>
    </xf>
    <xf numFmtId="49" fontId="5" fillId="2" borderId="7" xfId="5" applyNumberFormat="1" applyFill="1" applyBorder="1" applyAlignment="1" applyProtection="1">
      <protection locked="0"/>
    </xf>
    <xf numFmtId="49" fontId="5" fillId="2" borderId="1" xfId="5" applyNumberFormat="1" applyFill="1" applyBorder="1" applyAlignment="1" applyProtection="1">
      <protection locked="0"/>
    </xf>
    <xf numFmtId="49" fontId="5" fillId="2" borderId="6" xfId="5" applyNumberFormat="1" applyFill="1" applyBorder="1" applyAlignment="1" applyProtection="1">
      <protection locked="0"/>
    </xf>
    <xf numFmtId="49" fontId="5" fillId="2" borderId="4" xfId="5" applyNumberFormat="1" applyFill="1" applyBorder="1" applyAlignment="1" applyProtection="1">
      <protection locked="0"/>
    </xf>
    <xf numFmtId="49" fontId="5" fillId="2" borderId="5" xfId="5" applyNumberFormat="1" applyFill="1" applyBorder="1" applyAlignment="1" applyProtection="1">
      <protection locked="0"/>
    </xf>
    <xf numFmtId="49" fontId="5" fillId="2" borderId="4" xfId="5" applyNumberFormat="1" applyFont="1" applyFill="1" applyBorder="1" applyAlignment="1" applyProtection="1">
      <protection locked="0"/>
    </xf>
    <xf numFmtId="49" fontId="5" fillId="2" borderId="5" xfId="5" applyNumberFormat="1" applyFont="1" applyFill="1" applyBorder="1" applyAlignment="1" applyProtection="1">
      <protection locked="0"/>
    </xf>
    <xf numFmtId="49" fontId="5" fillId="2" borderId="6" xfId="5" applyNumberFormat="1" applyFont="1" applyFill="1" applyBorder="1" applyAlignment="1" applyProtection="1">
      <protection locked="0"/>
    </xf>
    <xf numFmtId="0" fontId="6" fillId="0" borderId="0" xfId="5" applyFont="1" applyAlignment="1">
      <alignment horizontal="center"/>
    </xf>
    <xf numFmtId="49" fontId="5" fillId="4" borderId="6" xfId="5" applyNumberFormat="1" applyFill="1" applyBorder="1" applyAlignment="1" applyProtection="1">
      <alignment shrinkToFit="1"/>
      <protection locked="0"/>
    </xf>
    <xf numFmtId="3" fontId="5" fillId="4" borderId="4" xfId="5" applyNumberFormat="1" applyFill="1" applyBorder="1" applyAlignment="1" applyProtection="1">
      <alignment horizontal="left" shrinkToFit="1"/>
      <protection locked="0"/>
    </xf>
    <xf numFmtId="3" fontId="5" fillId="4" borderId="5" xfId="5" applyNumberFormat="1" applyFill="1" applyBorder="1" applyAlignment="1" applyProtection="1">
      <alignment horizontal="left" shrinkToFit="1"/>
      <protection locked="0"/>
    </xf>
    <xf numFmtId="3" fontId="5" fillId="4" borderId="6" xfId="5" applyNumberFormat="1" applyFill="1" applyBorder="1" applyAlignment="1" applyProtection="1">
      <alignment horizontal="left" shrinkToFit="1"/>
      <protection locked="0"/>
    </xf>
    <xf numFmtId="165" fontId="5" fillId="4" borderId="5" xfId="5" applyNumberFormat="1" applyFill="1" applyBorder="1" applyAlignment="1" applyProtection="1">
      <alignment shrinkToFit="1"/>
      <protection locked="0"/>
    </xf>
    <xf numFmtId="165" fontId="5" fillId="4" borderId="6" xfId="5" applyNumberFormat="1" applyFill="1" applyBorder="1" applyAlignment="1" applyProtection="1">
      <alignment shrinkToFit="1"/>
      <protection locked="0"/>
    </xf>
    <xf numFmtId="0" fontId="5" fillId="0" borderId="1" xfId="5" applyFont="1" applyBorder="1" applyAlignment="1"/>
    <xf numFmtId="49" fontId="26" fillId="4" borderId="4" xfId="46" applyNumberFormat="1" applyFont="1" applyFill="1" applyBorder="1" applyAlignment="1" applyProtection="1">
      <alignment shrinkToFit="1"/>
      <protection locked="0"/>
    </xf>
    <xf numFmtId="3" fontId="0" fillId="4" borderId="4" xfId="0" applyNumberFormat="1" applyFill="1" applyBorder="1" applyAlignment="1" applyProtection="1">
      <alignment horizontal="left" shrinkToFit="1"/>
      <protection locked="0"/>
    </xf>
    <xf numFmtId="3" fontId="0" fillId="0" borderId="5" xfId="0" applyNumberFormat="1" applyBorder="1" applyAlignment="1" applyProtection="1">
      <alignment horizontal="left" shrinkToFit="1"/>
      <protection locked="0"/>
    </xf>
    <xf numFmtId="3" fontId="0" fillId="0" borderId="6" xfId="0" applyNumberFormat="1" applyBorder="1" applyAlignment="1" applyProtection="1">
      <alignment horizontal="left" shrinkToFit="1"/>
      <protection locked="0"/>
    </xf>
    <xf numFmtId="1" fontId="5" fillId="4" borderId="4" xfId="0" quotePrefix="1" applyNumberFormat="1" applyFont="1" applyFill="1" applyBorder="1" applyAlignment="1" applyProtection="1">
      <alignment shrinkToFit="1"/>
      <protection locked="0"/>
    </xf>
    <xf numFmtId="0" fontId="5" fillId="0" borderId="5" xfId="5" applyBorder="1" applyAlignment="1" applyProtection="1">
      <alignment shrinkToFit="1"/>
      <protection locked="0"/>
    </xf>
    <xf numFmtId="0" fontId="5" fillId="0" borderId="6" xfId="5" applyBorder="1" applyAlignment="1" applyProtection="1">
      <alignment shrinkToFit="1"/>
      <protection locked="0"/>
    </xf>
    <xf numFmtId="41" fontId="8" fillId="2" borderId="4" xfId="5" applyNumberFormat="1" applyFont="1" applyFill="1" applyBorder="1" applyAlignment="1" applyProtection="1">
      <alignment horizontal="left"/>
      <protection locked="0"/>
    </xf>
    <xf numFmtId="41" fontId="8" fillId="2" borderId="5" xfId="5" applyNumberFormat="1" applyFont="1" applyFill="1" applyBorder="1" applyAlignment="1" applyProtection="1">
      <alignment horizontal="left"/>
      <protection locked="0"/>
    </xf>
    <xf numFmtId="41" fontId="8" fillId="2" borderId="6" xfId="5" applyNumberFormat="1" applyFont="1" applyFill="1" applyBorder="1" applyAlignment="1" applyProtection="1">
      <alignment horizontal="left"/>
      <protection locked="0"/>
    </xf>
    <xf numFmtId="49" fontId="5" fillId="4" borderId="4" xfId="5" applyNumberFormat="1" applyFont="1" applyFill="1" applyBorder="1" applyAlignment="1" applyProtection="1">
      <alignment shrinkToFit="1"/>
      <protection locked="0"/>
    </xf>
    <xf numFmtId="1" fontId="5" fillId="4" borderId="4" xfId="5" applyNumberFormat="1" applyFont="1" applyFill="1" applyBorder="1" applyAlignment="1" applyProtection="1">
      <alignment shrinkToFit="1"/>
      <protection locked="0"/>
    </xf>
    <xf numFmtId="165" fontId="5" fillId="4" borderId="4" xfId="5" applyNumberFormat="1" applyFont="1" applyFill="1" applyBorder="1" applyAlignment="1" applyProtection="1">
      <alignment shrinkToFit="1"/>
      <protection locked="0"/>
    </xf>
    <xf numFmtId="49" fontId="26" fillId="4" borderId="4" xfId="776" applyNumberFormat="1" applyFont="1" applyFill="1" applyBorder="1" applyAlignment="1" applyProtection="1">
      <alignment shrinkToFit="1"/>
      <protection locked="0"/>
    </xf>
    <xf numFmtId="1" fontId="5" fillId="4" borderId="4" xfId="0" applyNumberFormat="1" applyFont="1" applyFill="1" applyBorder="1" applyAlignment="1" applyProtection="1">
      <alignment shrinkToFit="1"/>
      <protection locked="0"/>
    </xf>
    <xf numFmtId="3" fontId="5" fillId="4" borderId="4" xfId="0" quotePrefix="1" applyNumberFormat="1" applyFont="1" applyFill="1" applyBorder="1" applyAlignment="1" applyProtection="1">
      <alignment shrinkToFit="1"/>
      <protection locked="0"/>
    </xf>
    <xf numFmtId="1" fontId="0" fillId="4" borderId="4" xfId="0" quotePrefix="1" applyNumberFormat="1" applyFill="1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0" fontId="0" fillId="0" borderId="6" xfId="0" applyBorder="1" applyAlignment="1" applyProtection="1">
      <alignment horizontal="left" shrinkToFit="1"/>
      <protection locked="0"/>
    </xf>
    <xf numFmtId="1" fontId="0" fillId="4" borderId="4" xfId="0" applyNumberFormat="1" applyFill="1" applyBorder="1" applyAlignment="1" applyProtection="1">
      <alignment horizontal="left" shrinkToFit="1"/>
      <protection locked="0"/>
    </xf>
    <xf numFmtId="3" fontId="5" fillId="0" borderId="5" xfId="5" applyNumberFormat="1" applyBorder="1" applyAlignment="1" applyProtection="1">
      <alignment horizontal="left" shrinkToFit="1"/>
      <protection locked="0"/>
    </xf>
    <xf numFmtId="3" fontId="5" fillId="0" borderId="6" xfId="5" applyNumberFormat="1" applyBorder="1" applyAlignment="1" applyProtection="1">
      <alignment horizontal="left" shrinkToFit="1"/>
      <protection locked="0"/>
    </xf>
    <xf numFmtId="1" fontId="5" fillId="4" borderId="4" xfId="5" quotePrefix="1" applyNumberFormat="1" applyFill="1" applyBorder="1" applyAlignment="1" applyProtection="1">
      <alignment horizontal="left" shrinkToFit="1"/>
      <protection locked="0"/>
    </xf>
    <xf numFmtId="0" fontId="5" fillId="0" borderId="5" xfId="5" applyBorder="1" applyAlignment="1" applyProtection="1">
      <alignment horizontal="left" shrinkToFit="1"/>
      <protection locked="0"/>
    </xf>
    <xf numFmtId="0" fontId="5" fillId="0" borderId="6" xfId="5" applyBorder="1" applyAlignment="1" applyProtection="1">
      <alignment horizontal="left" shrinkToFit="1"/>
      <protection locked="0"/>
    </xf>
    <xf numFmtId="1" fontId="5" fillId="4" borderId="4" xfId="0" quotePrefix="1" applyNumberFormat="1" applyFont="1" applyFill="1" applyBorder="1" applyAlignment="1" applyProtection="1">
      <alignment horizontal="left" shrinkToFit="1"/>
      <protection locked="0"/>
    </xf>
    <xf numFmtId="1" fontId="2" fillId="4" borderId="4" xfId="47" quotePrefix="1" applyNumberFormat="1" applyFill="1" applyBorder="1" applyAlignment="1" applyProtection="1">
      <alignment horizontal="left" shrinkToFit="1"/>
      <protection locked="0"/>
    </xf>
    <xf numFmtId="0" fontId="2" fillId="0" borderId="5" xfId="47" applyBorder="1" applyAlignment="1" applyProtection="1">
      <alignment horizontal="left" shrinkToFit="1"/>
      <protection locked="0"/>
    </xf>
    <xf numFmtId="0" fontId="2" fillId="0" borderId="6" xfId="47" applyBorder="1" applyAlignment="1" applyProtection="1">
      <alignment horizontal="left" shrinkToFit="1"/>
      <protection locked="0"/>
    </xf>
    <xf numFmtId="3" fontId="2" fillId="4" borderId="4" xfId="47" applyNumberFormat="1" applyFill="1" applyBorder="1" applyAlignment="1" applyProtection="1">
      <alignment horizontal="left" shrinkToFit="1"/>
      <protection locked="0"/>
    </xf>
    <xf numFmtId="3" fontId="2" fillId="0" borderId="5" xfId="47" applyNumberFormat="1" applyBorder="1" applyAlignment="1" applyProtection="1">
      <alignment horizontal="left" shrinkToFit="1"/>
      <protection locked="0"/>
    </xf>
    <xf numFmtId="3" fontId="2" fillId="0" borderId="6" xfId="47" applyNumberFormat="1" applyBorder="1" applyAlignment="1" applyProtection="1">
      <alignment horizontal="left" shrinkToFit="1"/>
      <protection locked="0"/>
    </xf>
    <xf numFmtId="3" fontId="0" fillId="4" borderId="5" xfId="0" applyNumberFormat="1" applyFill="1" applyBorder="1" applyAlignment="1" applyProtection="1">
      <alignment shrinkToFit="1"/>
      <protection locked="0"/>
    </xf>
    <xf numFmtId="3" fontId="0" fillId="4" borderId="6" xfId="0" applyNumberFormat="1" applyFill="1" applyBorder="1" applyAlignment="1" applyProtection="1">
      <alignment shrinkToFit="1"/>
      <protection locked="0"/>
    </xf>
  </cellXfs>
  <cellStyles count="779">
    <cellStyle name="20% - Accent1 2" xfId="10"/>
    <cellStyle name="20% - Accent1 2 2" xfId="50"/>
    <cellStyle name="20% - Accent1 2_Revenue" xfId="51"/>
    <cellStyle name="20% - Accent1 3" xfId="52"/>
    <cellStyle name="20% - Accent2 2" xfId="11"/>
    <cellStyle name="20% - Accent2 2 2" xfId="53"/>
    <cellStyle name="20% - Accent2 2_Revenue" xfId="54"/>
    <cellStyle name="20% - Accent2 3" xfId="55"/>
    <cellStyle name="20% - Accent3 2" xfId="12"/>
    <cellStyle name="20% - Accent3 2 2" xfId="56"/>
    <cellStyle name="20% - Accent3 2_Revenue" xfId="57"/>
    <cellStyle name="20% - Accent3 3" xfId="58"/>
    <cellStyle name="20% - Accent4 2" xfId="13"/>
    <cellStyle name="20% - Accent4 2 2" xfId="59"/>
    <cellStyle name="20% - Accent4 2_Revenue" xfId="60"/>
    <cellStyle name="20% - Accent4 3" xfId="61"/>
    <cellStyle name="20% - Accent5 2" xfId="14"/>
    <cellStyle name="20% - Accent5 2 2" xfId="62"/>
    <cellStyle name="20% - Accent5 2_Revenue" xfId="63"/>
    <cellStyle name="20% - Accent5 3" xfId="64"/>
    <cellStyle name="20% - Accent6 2" xfId="15"/>
    <cellStyle name="20% - Accent6 2 2" xfId="65"/>
    <cellStyle name="20% - Accent6 2_Revenue" xfId="66"/>
    <cellStyle name="20% - Accent6 3" xfId="67"/>
    <cellStyle name="40% - Accent1 2" xfId="16"/>
    <cellStyle name="40% - Accent1 2 2" xfId="68"/>
    <cellStyle name="40% - Accent1 2_Revenue" xfId="69"/>
    <cellStyle name="40% - Accent1 3" xfId="70"/>
    <cellStyle name="40% - Accent2 2" xfId="17"/>
    <cellStyle name="40% - Accent2 2 2" xfId="71"/>
    <cellStyle name="40% - Accent2 2_Revenue" xfId="72"/>
    <cellStyle name="40% - Accent2 3" xfId="73"/>
    <cellStyle name="40% - Accent3 2" xfId="18"/>
    <cellStyle name="40% - Accent3 2 2" xfId="74"/>
    <cellStyle name="40% - Accent3 2_Revenue" xfId="75"/>
    <cellStyle name="40% - Accent3 3" xfId="76"/>
    <cellStyle name="40% - Accent4 2" xfId="19"/>
    <cellStyle name="40% - Accent4 2 2" xfId="77"/>
    <cellStyle name="40% - Accent4 2_Revenue" xfId="78"/>
    <cellStyle name="40% - Accent4 3" xfId="79"/>
    <cellStyle name="40% - Accent5 2" xfId="20"/>
    <cellStyle name="40% - Accent5 2 2" xfId="80"/>
    <cellStyle name="40% - Accent5 2_Revenue" xfId="81"/>
    <cellStyle name="40% - Accent5 3" xfId="82"/>
    <cellStyle name="40% - Accent6 2" xfId="21"/>
    <cellStyle name="40% - Accent6 2 2" xfId="83"/>
    <cellStyle name="40% - Accent6 2_Revenue" xfId="84"/>
    <cellStyle name="40% - Accent6 3" xfId="85"/>
    <cellStyle name="60% - Accent1 2" xfId="86"/>
    <cellStyle name="60% - Accent1 2 2" xfId="87"/>
    <cellStyle name="60% - Accent1 2_Revenue" xfId="88"/>
    <cellStyle name="60% - Accent1 3" xfId="89"/>
    <cellStyle name="60% - Accent2 2" xfId="90"/>
    <cellStyle name="60% - Accent2 2 2" xfId="91"/>
    <cellStyle name="60% - Accent2 2_Revenue" xfId="92"/>
    <cellStyle name="60% - Accent2 3" xfId="93"/>
    <cellStyle name="60% - Accent3 2" xfId="94"/>
    <cellStyle name="60% - Accent3 2 2" xfId="95"/>
    <cellStyle name="60% - Accent3 2_Revenue" xfId="96"/>
    <cellStyle name="60% - Accent3 3" xfId="97"/>
    <cellStyle name="60% - Accent4 2" xfId="98"/>
    <cellStyle name="60% - Accent4 2 2" xfId="99"/>
    <cellStyle name="60% - Accent4 2_Revenue" xfId="100"/>
    <cellStyle name="60% - Accent4 3" xfId="101"/>
    <cellStyle name="60% - Accent5 2" xfId="102"/>
    <cellStyle name="60% - Accent5 2 2" xfId="103"/>
    <cellStyle name="60% - Accent5 2_Revenue" xfId="104"/>
    <cellStyle name="60% - Accent5 3" xfId="105"/>
    <cellStyle name="60% - Accent6 2" xfId="106"/>
    <cellStyle name="60% - Accent6 2 2" xfId="107"/>
    <cellStyle name="60% - Accent6 2_Revenue" xfId="108"/>
    <cellStyle name="60% - Accent6 3" xfId="109"/>
    <cellStyle name="Accent1 2" xfId="110"/>
    <cellStyle name="Accent1 2 2" xfId="111"/>
    <cellStyle name="Accent1 2_Revenue" xfId="112"/>
    <cellStyle name="Accent1 3" xfId="113"/>
    <cellStyle name="Accent2 2" xfId="114"/>
    <cellStyle name="Accent2 2 2" xfId="115"/>
    <cellStyle name="Accent2 2_Revenue" xfId="116"/>
    <cellStyle name="Accent2 3" xfId="117"/>
    <cellStyle name="Accent3 2" xfId="118"/>
    <cellStyle name="Accent3 2 2" xfId="119"/>
    <cellStyle name="Accent3 2_Revenue" xfId="120"/>
    <cellStyle name="Accent3 3" xfId="121"/>
    <cellStyle name="Accent4 2" xfId="122"/>
    <cellStyle name="Accent4 2 2" xfId="123"/>
    <cellStyle name="Accent4 2_Revenue" xfId="124"/>
    <cellStyle name="Accent4 3" xfId="125"/>
    <cellStyle name="Accent5 2" xfId="126"/>
    <cellStyle name="Accent5 2 2" xfId="127"/>
    <cellStyle name="Accent5 2_Revenue" xfId="128"/>
    <cellStyle name="Accent5 3" xfId="129"/>
    <cellStyle name="Accent6 2" xfId="130"/>
    <cellStyle name="Accent6 2 2" xfId="131"/>
    <cellStyle name="Accent6 2_Revenue" xfId="132"/>
    <cellStyle name="Accent6 3" xfId="133"/>
    <cellStyle name="Bad 2" xfId="134"/>
    <cellStyle name="Bad 2 2" xfId="135"/>
    <cellStyle name="Bad 2_Revenue" xfId="136"/>
    <cellStyle name="Bad 3" xfId="137"/>
    <cellStyle name="Calculation 2" xfId="138"/>
    <cellStyle name="Calculation 2 2" xfId="139"/>
    <cellStyle name="Calculation 2_Revenue" xfId="140"/>
    <cellStyle name="Calculation 3" xfId="141"/>
    <cellStyle name="Check Cell 2" xfId="142"/>
    <cellStyle name="Check Cell 2 2" xfId="143"/>
    <cellStyle name="Check Cell 2_Revenue" xfId="144"/>
    <cellStyle name="Check Cell 3" xfId="145"/>
    <cellStyle name="Comma" xfId="2" builtinId="3"/>
    <cellStyle name="Comma [0] 2" xfId="146"/>
    <cellStyle name="Comma [0] 3" xfId="147"/>
    <cellStyle name="Comma [0] 4" xfId="148"/>
    <cellStyle name="Comma [0] 4 2" xfId="149"/>
    <cellStyle name="Comma [0] 5" xfId="150"/>
    <cellStyle name="Comma [0] 5 2" xfId="151"/>
    <cellStyle name="Comma [0] 5 3" xfId="152"/>
    <cellStyle name="Comma [0] 5 4" xfId="153"/>
    <cellStyle name="Comma [0] 5 5" xfId="154"/>
    <cellStyle name="Comma [0] 6" xfId="155"/>
    <cellStyle name="Comma [0] 6 2" xfId="156"/>
    <cellStyle name="Comma [0] 6 3" xfId="157"/>
    <cellStyle name="Comma [0] 7" xfId="158"/>
    <cellStyle name="Comma [0] 7 2" xfId="159"/>
    <cellStyle name="Comma [0] 7 2 2" xfId="160"/>
    <cellStyle name="Comma [0] 7 2 3" xfId="161"/>
    <cellStyle name="Comma [0] 7 3" xfId="162"/>
    <cellStyle name="Comma [0] 7 4" xfId="163"/>
    <cellStyle name="Comma [0] 8" xfId="164"/>
    <cellStyle name="Comma [0] 8 2" xfId="165"/>
    <cellStyle name="Comma [0] 8 3" xfId="166"/>
    <cellStyle name="Comma 10" xfId="167"/>
    <cellStyle name="Comma 100" xfId="168"/>
    <cellStyle name="Comma 100 2" xfId="169"/>
    <cellStyle name="Comma 101" xfId="170"/>
    <cellStyle name="Comma 101 2" xfId="171"/>
    <cellStyle name="Comma 102" xfId="172"/>
    <cellStyle name="Comma 102 2" xfId="173"/>
    <cellStyle name="Comma 103" xfId="174"/>
    <cellStyle name="Comma 103 2" xfId="175"/>
    <cellStyle name="Comma 104" xfId="176"/>
    <cellStyle name="Comma 104 2" xfId="177"/>
    <cellStyle name="Comma 105" xfId="178"/>
    <cellStyle name="Comma 105 2" xfId="179"/>
    <cellStyle name="Comma 106" xfId="180"/>
    <cellStyle name="Comma 106 2" xfId="181"/>
    <cellStyle name="Comma 106 3" xfId="182"/>
    <cellStyle name="Comma 107" xfId="183"/>
    <cellStyle name="Comma 107 2" xfId="184"/>
    <cellStyle name="Comma 107 3" xfId="185"/>
    <cellStyle name="Comma 108" xfId="186"/>
    <cellStyle name="Comma 108 2" xfId="187"/>
    <cellStyle name="Comma 109" xfId="188"/>
    <cellStyle name="Comma 109 2" xfId="189"/>
    <cellStyle name="Comma 11" xfId="190"/>
    <cellStyle name="Comma 110" xfId="191"/>
    <cellStyle name="Comma 110 2" xfId="192"/>
    <cellStyle name="Comma 111" xfId="193"/>
    <cellStyle name="Comma 111 2" xfId="194"/>
    <cellStyle name="Comma 112" xfId="195"/>
    <cellStyle name="Comma 112 2" xfId="196"/>
    <cellStyle name="Comma 113" xfId="197"/>
    <cellStyle name="Comma 113 2" xfId="198"/>
    <cellStyle name="Comma 114" xfId="199"/>
    <cellStyle name="Comma 114 2" xfId="200"/>
    <cellStyle name="Comma 115" xfId="201"/>
    <cellStyle name="Comma 115 2" xfId="202"/>
    <cellStyle name="Comma 116" xfId="203"/>
    <cellStyle name="Comma 116 2" xfId="204"/>
    <cellStyle name="Comma 117" xfId="205"/>
    <cellStyle name="Comma 117 2" xfId="206"/>
    <cellStyle name="Comma 118" xfId="207"/>
    <cellStyle name="Comma 118 2" xfId="208"/>
    <cellStyle name="Comma 119" xfId="209"/>
    <cellStyle name="Comma 119 2" xfId="210"/>
    <cellStyle name="Comma 12" xfId="211"/>
    <cellStyle name="Comma 120" xfId="212"/>
    <cellStyle name="Comma 120 2" xfId="213"/>
    <cellStyle name="Comma 121" xfId="214"/>
    <cellStyle name="Comma 122" xfId="215"/>
    <cellStyle name="Comma 123" xfId="216"/>
    <cellStyle name="Comma 124" xfId="217"/>
    <cellStyle name="Comma 125" xfId="218"/>
    <cellStyle name="Comma 13" xfId="219"/>
    <cellStyle name="Comma 14" xfId="220"/>
    <cellStyle name="Comma 15" xfId="221"/>
    <cellStyle name="Comma 16" xfId="222"/>
    <cellStyle name="Comma 17" xfId="223"/>
    <cellStyle name="Comma 18" xfId="224"/>
    <cellStyle name="Comma 19" xfId="225"/>
    <cellStyle name="Comma 2" xfId="22"/>
    <cellStyle name="Comma 2 2" xfId="49"/>
    <cellStyle name="Comma 20" xfId="226"/>
    <cellStyle name="Comma 21" xfId="227"/>
    <cellStyle name="Comma 22" xfId="228"/>
    <cellStyle name="Comma 23" xfId="229"/>
    <cellStyle name="Comma 24" xfId="230"/>
    <cellStyle name="Comma 25" xfId="231"/>
    <cellStyle name="Comma 25 2" xfId="232"/>
    <cellStyle name="Comma 26" xfId="233"/>
    <cellStyle name="Comma 26 2" xfId="234"/>
    <cellStyle name="Comma 27" xfId="235"/>
    <cellStyle name="Comma 27 2" xfId="236"/>
    <cellStyle name="Comma 28" xfId="237"/>
    <cellStyle name="Comma 28 2" xfId="238"/>
    <cellStyle name="Comma 29" xfId="239"/>
    <cellStyle name="Comma 3" xfId="23"/>
    <cellStyle name="Comma 3 2" xfId="240"/>
    <cellStyle name="Comma 30" xfId="241"/>
    <cellStyle name="Comma 31" xfId="242"/>
    <cellStyle name="Comma 32" xfId="243"/>
    <cellStyle name="Comma 32 2" xfId="244"/>
    <cellStyle name="Comma 32 3" xfId="245"/>
    <cellStyle name="Comma 33" xfId="246"/>
    <cellStyle name="Comma 33 2" xfId="247"/>
    <cellStyle name="Comma 33 3" xfId="248"/>
    <cellStyle name="Comma 34" xfId="249"/>
    <cellStyle name="Comma 34 2" xfId="250"/>
    <cellStyle name="Comma 34 3" xfId="251"/>
    <cellStyle name="Comma 34 4" xfId="252"/>
    <cellStyle name="Comma 34 5" xfId="253"/>
    <cellStyle name="Comma 34 6" xfId="254"/>
    <cellStyle name="Comma 35" xfId="255"/>
    <cellStyle name="Comma 35 2" xfId="256"/>
    <cellStyle name="Comma 36" xfId="257"/>
    <cellStyle name="Comma 36 2" xfId="258"/>
    <cellStyle name="Comma 37" xfId="259"/>
    <cellStyle name="Comma 38" xfId="260"/>
    <cellStyle name="Comma 39" xfId="261"/>
    <cellStyle name="Comma 4" xfId="24"/>
    <cellStyle name="Comma 40" xfId="262"/>
    <cellStyle name="Comma 41" xfId="263"/>
    <cellStyle name="Comma 42" xfId="264"/>
    <cellStyle name="Comma 42 2" xfId="265"/>
    <cellStyle name="Comma 42 3" xfId="266"/>
    <cellStyle name="Comma 43" xfId="267"/>
    <cellStyle name="Comma 43 2" xfId="268"/>
    <cellStyle name="Comma 43 3" xfId="269"/>
    <cellStyle name="Comma 44" xfId="270"/>
    <cellStyle name="Comma 44 2" xfId="271"/>
    <cellStyle name="Comma 44 3" xfId="272"/>
    <cellStyle name="Comma 44 4" xfId="273"/>
    <cellStyle name="Comma 45" xfId="274"/>
    <cellStyle name="Comma 45 2" xfId="275"/>
    <cellStyle name="Comma 45 3" xfId="276"/>
    <cellStyle name="Comma 45 4" xfId="277"/>
    <cellStyle name="Comma 46" xfId="278"/>
    <cellStyle name="Comma 46 2" xfId="279"/>
    <cellStyle name="Comma 46 3" xfId="280"/>
    <cellStyle name="Comma 46 4" xfId="281"/>
    <cellStyle name="Comma 47" xfId="282"/>
    <cellStyle name="Comma 47 2" xfId="283"/>
    <cellStyle name="Comma 47 3" xfId="284"/>
    <cellStyle name="Comma 47 4" xfId="285"/>
    <cellStyle name="Comma 48" xfId="286"/>
    <cellStyle name="Comma 48 2" xfId="287"/>
    <cellStyle name="Comma 48 3" xfId="288"/>
    <cellStyle name="Comma 48 4" xfId="289"/>
    <cellStyle name="Comma 49" xfId="290"/>
    <cellStyle name="Comma 49 2" xfId="291"/>
    <cellStyle name="Comma 49 3" xfId="292"/>
    <cellStyle name="Comma 49 4" xfId="293"/>
    <cellStyle name="Comma 5" xfId="294"/>
    <cellStyle name="Comma 50" xfId="295"/>
    <cellStyle name="Comma 50 2" xfId="296"/>
    <cellStyle name="Comma 50 3" xfId="297"/>
    <cellStyle name="Comma 50 4" xfId="298"/>
    <cellStyle name="Comma 51" xfId="299"/>
    <cellStyle name="Comma 51 2" xfId="300"/>
    <cellStyle name="Comma 51 3" xfId="301"/>
    <cellStyle name="Comma 51 4" xfId="302"/>
    <cellStyle name="Comma 52" xfId="303"/>
    <cellStyle name="Comma 52 2" xfId="304"/>
    <cellStyle name="Comma 52 3" xfId="305"/>
    <cellStyle name="Comma 52 4" xfId="306"/>
    <cellStyle name="Comma 53" xfId="307"/>
    <cellStyle name="Comma 53 2" xfId="308"/>
    <cellStyle name="Comma 53 3" xfId="309"/>
    <cellStyle name="Comma 53 4" xfId="310"/>
    <cellStyle name="Comma 54" xfId="311"/>
    <cellStyle name="Comma 54 2" xfId="312"/>
    <cellStyle name="Comma 54 3" xfId="313"/>
    <cellStyle name="Comma 54 4" xfId="314"/>
    <cellStyle name="Comma 55" xfId="315"/>
    <cellStyle name="Comma 55 2" xfId="316"/>
    <cellStyle name="Comma 55 3" xfId="317"/>
    <cellStyle name="Comma 55 4" xfId="318"/>
    <cellStyle name="Comma 56" xfId="319"/>
    <cellStyle name="Comma 56 2" xfId="320"/>
    <cellStyle name="Comma 56 3" xfId="321"/>
    <cellStyle name="Comma 56 4" xfId="322"/>
    <cellStyle name="Comma 57" xfId="323"/>
    <cellStyle name="Comma 57 2" xfId="324"/>
    <cellStyle name="Comma 57 3" xfId="325"/>
    <cellStyle name="Comma 57 4" xfId="326"/>
    <cellStyle name="Comma 58" xfId="327"/>
    <cellStyle name="Comma 58 2" xfId="328"/>
    <cellStyle name="Comma 58 3" xfId="329"/>
    <cellStyle name="Comma 58 4" xfId="330"/>
    <cellStyle name="Comma 59" xfId="331"/>
    <cellStyle name="Comma 59 2" xfId="332"/>
    <cellStyle name="Comma 59 3" xfId="333"/>
    <cellStyle name="Comma 59 4" xfId="334"/>
    <cellStyle name="Comma 6" xfId="335"/>
    <cellStyle name="Comma 60" xfId="336"/>
    <cellStyle name="Comma 60 2" xfId="337"/>
    <cellStyle name="Comma 60 3" xfId="338"/>
    <cellStyle name="Comma 60 4" xfId="339"/>
    <cellStyle name="Comma 61" xfId="340"/>
    <cellStyle name="Comma 61 2" xfId="341"/>
    <cellStyle name="Comma 61 3" xfId="342"/>
    <cellStyle name="Comma 61 4" xfId="343"/>
    <cellStyle name="Comma 62" xfId="344"/>
    <cellStyle name="Comma 62 2" xfId="345"/>
    <cellStyle name="Comma 62 3" xfId="346"/>
    <cellStyle name="Comma 62 4" xfId="347"/>
    <cellStyle name="Comma 63" xfId="348"/>
    <cellStyle name="Comma 63 2" xfId="349"/>
    <cellStyle name="Comma 63 3" xfId="350"/>
    <cellStyle name="Comma 63 4" xfId="351"/>
    <cellStyle name="Comma 64" xfId="352"/>
    <cellStyle name="Comma 64 2" xfId="353"/>
    <cellStyle name="Comma 64 3" xfId="354"/>
    <cellStyle name="Comma 64 4" xfId="355"/>
    <cellStyle name="Comma 65" xfId="356"/>
    <cellStyle name="Comma 65 2" xfId="357"/>
    <cellStyle name="Comma 65 3" xfId="358"/>
    <cellStyle name="Comma 65 4" xfId="359"/>
    <cellStyle name="Comma 66" xfId="360"/>
    <cellStyle name="Comma 66 2" xfId="361"/>
    <cellStyle name="Comma 66 2 2" xfId="362"/>
    <cellStyle name="Comma 66 2 3" xfId="363"/>
    <cellStyle name="Comma 66 3" xfId="364"/>
    <cellStyle name="Comma 66 4" xfId="365"/>
    <cellStyle name="Comma 66 5" xfId="366"/>
    <cellStyle name="Comma 67" xfId="367"/>
    <cellStyle name="Comma 67 2" xfId="368"/>
    <cellStyle name="Comma 67 2 2" xfId="369"/>
    <cellStyle name="Comma 67 2 3" xfId="370"/>
    <cellStyle name="Comma 67 3" xfId="371"/>
    <cellStyle name="Comma 67 4" xfId="372"/>
    <cellStyle name="Comma 67 5" xfId="373"/>
    <cellStyle name="Comma 68" xfId="374"/>
    <cellStyle name="Comma 68 2" xfId="375"/>
    <cellStyle name="Comma 69" xfId="376"/>
    <cellStyle name="Comma 69 2" xfId="377"/>
    <cellStyle name="Comma 7" xfId="378"/>
    <cellStyle name="Comma 70" xfId="379"/>
    <cellStyle name="Comma 70 2" xfId="380"/>
    <cellStyle name="Comma 71" xfId="381"/>
    <cellStyle name="Comma 71 2" xfId="382"/>
    <cellStyle name="Comma 72" xfId="383"/>
    <cellStyle name="Comma 72 2" xfId="384"/>
    <cellStyle name="Comma 73" xfId="385"/>
    <cellStyle name="Comma 73 2" xfId="386"/>
    <cellStyle name="Comma 74" xfId="387"/>
    <cellStyle name="Comma 74 2" xfId="388"/>
    <cellStyle name="Comma 75" xfId="389"/>
    <cellStyle name="Comma 75 2" xfId="390"/>
    <cellStyle name="Comma 75 3" xfId="391"/>
    <cellStyle name="Comma 76" xfId="392"/>
    <cellStyle name="Comma 76 2" xfId="393"/>
    <cellStyle name="Comma 76 3" xfId="394"/>
    <cellStyle name="Comma 77" xfId="395"/>
    <cellStyle name="Comma 78" xfId="396"/>
    <cellStyle name="Comma 79" xfId="397"/>
    <cellStyle name="Comma 79 2" xfId="398"/>
    <cellStyle name="Comma 79 3" xfId="399"/>
    <cellStyle name="Comma 8" xfId="400"/>
    <cellStyle name="Comma 80" xfId="401"/>
    <cellStyle name="Comma 80 2" xfId="402"/>
    <cellStyle name="Comma 80 3" xfId="403"/>
    <cellStyle name="Comma 81" xfId="404"/>
    <cellStyle name="Comma 81 2" xfId="405"/>
    <cellStyle name="Comma 81 3" xfId="406"/>
    <cellStyle name="Comma 82" xfId="407"/>
    <cellStyle name="Comma 82 2" xfId="408"/>
    <cellStyle name="Comma 82 3" xfId="409"/>
    <cellStyle name="Comma 83" xfId="410"/>
    <cellStyle name="Comma 83 2" xfId="411"/>
    <cellStyle name="Comma 83 3" xfId="412"/>
    <cellStyle name="Comma 84" xfId="413"/>
    <cellStyle name="Comma 84 2" xfId="414"/>
    <cellStyle name="Comma 84 3" xfId="415"/>
    <cellStyle name="Comma 85" xfId="416"/>
    <cellStyle name="Comma 85 2" xfId="417"/>
    <cellStyle name="Comma 85 3" xfId="418"/>
    <cellStyle name="Comma 86" xfId="419"/>
    <cellStyle name="Comma 86 2" xfId="420"/>
    <cellStyle name="Comma 86 3" xfId="421"/>
    <cellStyle name="Comma 87" xfId="422"/>
    <cellStyle name="Comma 87 2" xfId="423"/>
    <cellStyle name="Comma 87 3" xfId="424"/>
    <cellStyle name="Comma 88" xfId="425"/>
    <cellStyle name="Comma 88 2" xfId="426"/>
    <cellStyle name="Comma 88 3" xfId="427"/>
    <cellStyle name="Comma 89" xfId="428"/>
    <cellStyle name="Comma 89 2" xfId="429"/>
    <cellStyle name="Comma 89 3" xfId="430"/>
    <cellStyle name="Comma 9" xfId="431"/>
    <cellStyle name="Comma 90" xfId="432"/>
    <cellStyle name="Comma 90 2" xfId="433"/>
    <cellStyle name="Comma 90 3" xfId="434"/>
    <cellStyle name="Comma 91" xfId="435"/>
    <cellStyle name="Comma 91 2" xfId="436"/>
    <cellStyle name="Comma 91 3" xfId="437"/>
    <cellStyle name="Comma 92" xfId="438"/>
    <cellStyle name="Comma 93" xfId="439"/>
    <cellStyle name="Comma 94" xfId="440"/>
    <cellStyle name="Comma 94 2" xfId="441"/>
    <cellStyle name="Comma 95" xfId="442"/>
    <cellStyle name="Comma 95 2" xfId="443"/>
    <cellStyle name="Comma 96" xfId="444"/>
    <cellStyle name="Comma 96 2" xfId="445"/>
    <cellStyle name="Comma 97" xfId="446"/>
    <cellStyle name="Comma 97 2" xfId="447"/>
    <cellStyle name="Comma 98" xfId="448"/>
    <cellStyle name="Comma 98 2" xfId="449"/>
    <cellStyle name="Comma 99" xfId="450"/>
    <cellStyle name="Comma 99 2" xfId="451"/>
    <cellStyle name="Comma0" xfId="452"/>
    <cellStyle name="Comma0 2" xfId="453"/>
    <cellStyle name="Currency" xfId="3" builtinId="4"/>
    <cellStyle name="Currency [0] 2" xfId="454"/>
    <cellStyle name="Currency [0] 3" xfId="455"/>
    <cellStyle name="Currency [0] 4" xfId="456"/>
    <cellStyle name="Currency [0] 4 2" xfId="457"/>
    <cellStyle name="Currency [0] 5" xfId="458"/>
    <cellStyle name="Currency [0] 5 2" xfId="459"/>
    <cellStyle name="Currency [0] 5 3" xfId="460"/>
    <cellStyle name="Currency [0] 5 4" xfId="461"/>
    <cellStyle name="Currency [0] 5 5" xfId="462"/>
    <cellStyle name="Currency [0] 6" xfId="463"/>
    <cellStyle name="Currency [0] 6 2" xfId="464"/>
    <cellStyle name="Currency [0] 6 3" xfId="465"/>
    <cellStyle name="Currency [0] 7" xfId="466"/>
    <cellStyle name="Currency [0] 7 2" xfId="467"/>
    <cellStyle name="Currency [0] 7 2 2" xfId="468"/>
    <cellStyle name="Currency [0] 7 2 3" xfId="469"/>
    <cellStyle name="Currency [0] 7 3" xfId="470"/>
    <cellStyle name="Currency [0] 7 4" xfId="471"/>
    <cellStyle name="Currency [0] 8" xfId="472"/>
    <cellStyle name="Currency [0] 8 2" xfId="473"/>
    <cellStyle name="Currency [0] 9" xfId="474"/>
    <cellStyle name="Currency [0] 9 2" xfId="475"/>
    <cellStyle name="Currency 10" xfId="476"/>
    <cellStyle name="Currency 100" xfId="477"/>
    <cellStyle name="Currency 100 2" xfId="478"/>
    <cellStyle name="Currency 101" xfId="479"/>
    <cellStyle name="Currency 101 2" xfId="480"/>
    <cellStyle name="Currency 102" xfId="481"/>
    <cellStyle name="Currency 102 2" xfId="482"/>
    <cellStyle name="Currency 103" xfId="483"/>
    <cellStyle name="Currency 103 2" xfId="484"/>
    <cellStyle name="Currency 104" xfId="485"/>
    <cellStyle name="Currency 104 2" xfId="486"/>
    <cellStyle name="Currency 105" xfId="487"/>
    <cellStyle name="Currency 105 2" xfId="488"/>
    <cellStyle name="Currency 106" xfId="489"/>
    <cellStyle name="Currency 106 2" xfId="490"/>
    <cellStyle name="Currency 107" xfId="491"/>
    <cellStyle name="Currency 107 2" xfId="492"/>
    <cellStyle name="Currency 108" xfId="493"/>
    <cellStyle name="Currency 108 2" xfId="494"/>
    <cellStyle name="Currency 109" xfId="495"/>
    <cellStyle name="Currency 109 2" xfId="496"/>
    <cellStyle name="Currency 11" xfId="497"/>
    <cellStyle name="Currency 110" xfId="498"/>
    <cellStyle name="Currency 111" xfId="499"/>
    <cellStyle name="Currency 112" xfId="500"/>
    <cellStyle name="Currency 113" xfId="501"/>
    <cellStyle name="Currency 114" xfId="502"/>
    <cellStyle name="Currency 12" xfId="503"/>
    <cellStyle name="Currency 13" xfId="504"/>
    <cellStyle name="Currency 14" xfId="505"/>
    <cellStyle name="Currency 15" xfId="506"/>
    <cellStyle name="Currency 16" xfId="507"/>
    <cellStyle name="Currency 17" xfId="508"/>
    <cellStyle name="Currency 18" xfId="509"/>
    <cellStyle name="Currency 19" xfId="510"/>
    <cellStyle name="Currency 2" xfId="25"/>
    <cellStyle name="Currency 2 2" xfId="26"/>
    <cellStyle name="Currency 20" xfId="511"/>
    <cellStyle name="Currency 21" xfId="512"/>
    <cellStyle name="Currency 22" xfId="513"/>
    <cellStyle name="Currency 23" xfId="514"/>
    <cellStyle name="Currency 24" xfId="515"/>
    <cellStyle name="Currency 24 2" xfId="516"/>
    <cellStyle name="Currency 25" xfId="517"/>
    <cellStyle name="Currency 25 2" xfId="518"/>
    <cellStyle name="Currency 26" xfId="519"/>
    <cellStyle name="Currency 26 2" xfId="520"/>
    <cellStyle name="Currency 27" xfId="521"/>
    <cellStyle name="Currency 27 2" xfId="522"/>
    <cellStyle name="Currency 27 3" xfId="523"/>
    <cellStyle name="Currency 27 4" xfId="524"/>
    <cellStyle name="Currency 28" xfId="525"/>
    <cellStyle name="Currency 28 2" xfId="526"/>
    <cellStyle name="Currency 28 3" xfId="527"/>
    <cellStyle name="Currency 28 4" xfId="528"/>
    <cellStyle name="Currency 28 5" xfId="529"/>
    <cellStyle name="Currency 29" xfId="530"/>
    <cellStyle name="Currency 29 2" xfId="531"/>
    <cellStyle name="Currency 29 3" xfId="532"/>
    <cellStyle name="Currency 29 4" xfId="533"/>
    <cellStyle name="Currency 29 5" xfId="534"/>
    <cellStyle name="Currency 3" xfId="27"/>
    <cellStyle name="Currency 30" xfId="535"/>
    <cellStyle name="Currency 30 2" xfId="536"/>
    <cellStyle name="Currency 31" xfId="537"/>
    <cellStyle name="Currency 32" xfId="538"/>
    <cellStyle name="Currency 32 2" xfId="539"/>
    <cellStyle name="Currency 33" xfId="540"/>
    <cellStyle name="Currency 33 2" xfId="541"/>
    <cellStyle name="Currency 34" xfId="542"/>
    <cellStyle name="Currency 34 2" xfId="543"/>
    <cellStyle name="Currency 35" xfId="544"/>
    <cellStyle name="Currency 35 2" xfId="545"/>
    <cellStyle name="Currency 36" xfId="546"/>
    <cellStyle name="Currency 37" xfId="547"/>
    <cellStyle name="Currency 37 2" xfId="548"/>
    <cellStyle name="Currency 38" xfId="549"/>
    <cellStyle name="Currency 38 2" xfId="550"/>
    <cellStyle name="Currency 39" xfId="551"/>
    <cellStyle name="Currency 4" xfId="28"/>
    <cellStyle name="Currency 40" xfId="552"/>
    <cellStyle name="Currency 40 2" xfId="553"/>
    <cellStyle name="Currency 41" xfId="554"/>
    <cellStyle name="Currency 41 2" xfId="555"/>
    <cellStyle name="Currency 42" xfId="556"/>
    <cellStyle name="Currency 42 2" xfId="557"/>
    <cellStyle name="Currency 43" xfId="558"/>
    <cellStyle name="Currency 43 2" xfId="559"/>
    <cellStyle name="Currency 44" xfId="560"/>
    <cellStyle name="Currency 44 2" xfId="561"/>
    <cellStyle name="Currency 45" xfId="562"/>
    <cellStyle name="Currency 45 2" xfId="563"/>
    <cellStyle name="Currency 46" xfId="564"/>
    <cellStyle name="Currency 46 2" xfId="565"/>
    <cellStyle name="Currency 47" xfId="566"/>
    <cellStyle name="Currency 47 2" xfId="567"/>
    <cellStyle name="Currency 48" xfId="568"/>
    <cellStyle name="Currency 48 2" xfId="569"/>
    <cellStyle name="Currency 49" xfId="570"/>
    <cellStyle name="Currency 49 2" xfId="571"/>
    <cellStyle name="Currency 5" xfId="29"/>
    <cellStyle name="Currency 50" xfId="572"/>
    <cellStyle name="Currency 50 2" xfId="573"/>
    <cellStyle name="Currency 51" xfId="574"/>
    <cellStyle name="Currency 51 2" xfId="575"/>
    <cellStyle name="Currency 52" xfId="576"/>
    <cellStyle name="Currency 52 2" xfId="577"/>
    <cellStyle name="Currency 53" xfId="578"/>
    <cellStyle name="Currency 53 2" xfId="579"/>
    <cellStyle name="Currency 53 2 2" xfId="580"/>
    <cellStyle name="Currency 53 2 3" xfId="581"/>
    <cellStyle name="Currency 53 3" xfId="582"/>
    <cellStyle name="Currency 54" xfId="583"/>
    <cellStyle name="Currency 54 2" xfId="584"/>
    <cellStyle name="Currency 54 2 2" xfId="585"/>
    <cellStyle name="Currency 54 2 3" xfId="586"/>
    <cellStyle name="Currency 54 3" xfId="587"/>
    <cellStyle name="Currency 55" xfId="588"/>
    <cellStyle name="Currency 56" xfId="589"/>
    <cellStyle name="Currency 57" xfId="590"/>
    <cellStyle name="Currency 58" xfId="591"/>
    <cellStyle name="Currency 59" xfId="592"/>
    <cellStyle name="Currency 6" xfId="593"/>
    <cellStyle name="Currency 60" xfId="594"/>
    <cellStyle name="Currency 61" xfId="595"/>
    <cellStyle name="Currency 62" xfId="596"/>
    <cellStyle name="Currency 63" xfId="597"/>
    <cellStyle name="Currency 64" xfId="598"/>
    <cellStyle name="Currency 64 2" xfId="599"/>
    <cellStyle name="Currency 64 3" xfId="600"/>
    <cellStyle name="Currency 65" xfId="601"/>
    <cellStyle name="Currency 65 2" xfId="602"/>
    <cellStyle name="Currency 65 3" xfId="603"/>
    <cellStyle name="Currency 66" xfId="604"/>
    <cellStyle name="Currency 67" xfId="605"/>
    <cellStyle name="Currency 68" xfId="606"/>
    <cellStyle name="Currency 68 2" xfId="607"/>
    <cellStyle name="Currency 68 3" xfId="608"/>
    <cellStyle name="Currency 69" xfId="609"/>
    <cellStyle name="Currency 69 2" xfId="610"/>
    <cellStyle name="Currency 69 3" xfId="611"/>
    <cellStyle name="Currency 7" xfId="612"/>
    <cellStyle name="Currency 70" xfId="613"/>
    <cellStyle name="Currency 70 2" xfId="614"/>
    <cellStyle name="Currency 70 3" xfId="615"/>
    <cellStyle name="Currency 71" xfId="616"/>
    <cellStyle name="Currency 71 2" xfId="617"/>
    <cellStyle name="Currency 71 3" xfId="618"/>
    <cellStyle name="Currency 72" xfId="619"/>
    <cellStyle name="Currency 72 2" xfId="620"/>
    <cellStyle name="Currency 72 3" xfId="621"/>
    <cellStyle name="Currency 73" xfId="622"/>
    <cellStyle name="Currency 73 2" xfId="623"/>
    <cellStyle name="Currency 73 3" xfId="624"/>
    <cellStyle name="Currency 74" xfId="625"/>
    <cellStyle name="Currency 74 2" xfId="626"/>
    <cellStyle name="Currency 74 3" xfId="627"/>
    <cellStyle name="Currency 75" xfId="628"/>
    <cellStyle name="Currency 75 2" xfId="629"/>
    <cellStyle name="Currency 75 3" xfId="630"/>
    <cellStyle name="Currency 76" xfId="631"/>
    <cellStyle name="Currency 76 2" xfId="632"/>
    <cellStyle name="Currency 76 3" xfId="633"/>
    <cellStyle name="Currency 77" xfId="634"/>
    <cellStyle name="Currency 77 2" xfId="635"/>
    <cellStyle name="Currency 77 3" xfId="636"/>
    <cellStyle name="Currency 78" xfId="637"/>
    <cellStyle name="Currency 78 2" xfId="638"/>
    <cellStyle name="Currency 78 3" xfId="639"/>
    <cellStyle name="Currency 79" xfId="640"/>
    <cellStyle name="Currency 79 2" xfId="641"/>
    <cellStyle name="Currency 79 3" xfId="642"/>
    <cellStyle name="Currency 8" xfId="643"/>
    <cellStyle name="Currency 80" xfId="644"/>
    <cellStyle name="Currency 80 2" xfId="645"/>
    <cellStyle name="Currency 80 3" xfId="646"/>
    <cellStyle name="Currency 81" xfId="647"/>
    <cellStyle name="Currency 82" xfId="648"/>
    <cellStyle name="Currency 83" xfId="649"/>
    <cellStyle name="Currency 83 2" xfId="650"/>
    <cellStyle name="Currency 84" xfId="651"/>
    <cellStyle name="Currency 84 2" xfId="652"/>
    <cellStyle name="Currency 85" xfId="653"/>
    <cellStyle name="Currency 85 2" xfId="654"/>
    <cellStyle name="Currency 86" xfId="655"/>
    <cellStyle name="Currency 86 2" xfId="656"/>
    <cellStyle name="Currency 87" xfId="657"/>
    <cellStyle name="Currency 87 2" xfId="658"/>
    <cellStyle name="Currency 88" xfId="659"/>
    <cellStyle name="Currency 88 2" xfId="660"/>
    <cellStyle name="Currency 89" xfId="661"/>
    <cellStyle name="Currency 89 2" xfId="662"/>
    <cellStyle name="Currency 9" xfId="663"/>
    <cellStyle name="Currency 90" xfId="664"/>
    <cellStyle name="Currency 90 2" xfId="665"/>
    <cellStyle name="Currency 91" xfId="666"/>
    <cellStyle name="Currency 91 2" xfId="667"/>
    <cellStyle name="Currency 92" xfId="668"/>
    <cellStyle name="Currency 92 2" xfId="669"/>
    <cellStyle name="Currency 93" xfId="670"/>
    <cellStyle name="Currency 93 2" xfId="671"/>
    <cellStyle name="Currency 94" xfId="672"/>
    <cellStyle name="Currency 94 2" xfId="673"/>
    <cellStyle name="Currency 95" xfId="674"/>
    <cellStyle name="Currency 95 2" xfId="675"/>
    <cellStyle name="Currency 95 3" xfId="676"/>
    <cellStyle name="Currency 96" xfId="677"/>
    <cellStyle name="Currency 96 2" xfId="678"/>
    <cellStyle name="Currency 96 3" xfId="679"/>
    <cellStyle name="Currency 97" xfId="680"/>
    <cellStyle name="Currency 97 2" xfId="681"/>
    <cellStyle name="Currency 98" xfId="682"/>
    <cellStyle name="Currency 98 2" xfId="683"/>
    <cellStyle name="Currency 99" xfId="684"/>
    <cellStyle name="Currency 99 2" xfId="685"/>
    <cellStyle name="Currency0" xfId="686"/>
    <cellStyle name="Currency0 2" xfId="687"/>
    <cellStyle name="Date" xfId="688"/>
    <cellStyle name="Date 2" xfId="689"/>
    <cellStyle name="ds" xfId="690"/>
    <cellStyle name="Explanatory Text 2" xfId="691"/>
    <cellStyle name="Explanatory Text 2 2" xfId="692"/>
    <cellStyle name="Explanatory Text 2_Revenue" xfId="693"/>
    <cellStyle name="Explanatory Text 3" xfId="694"/>
    <cellStyle name="F3" xfId="695"/>
    <cellStyle name="F4" xfId="696"/>
    <cellStyle name="F5" xfId="697"/>
    <cellStyle name="Fixed" xfId="698"/>
    <cellStyle name="Fixed 2" xfId="699"/>
    <cellStyle name="Followed Hyperlink 2" xfId="30"/>
    <cellStyle name="Good 2" xfId="700"/>
    <cellStyle name="Good 2 2" xfId="701"/>
    <cellStyle name="Good 2_Revenue" xfId="702"/>
    <cellStyle name="Good 3" xfId="703"/>
    <cellStyle name="Heading 1 2" xfId="704"/>
    <cellStyle name="Heading 1 2 2" xfId="705"/>
    <cellStyle name="Heading 1 2_Revenue" xfId="706"/>
    <cellStyle name="Heading 1 3" xfId="707"/>
    <cellStyle name="Heading 2 2" xfId="708"/>
    <cellStyle name="Heading 2 2 2" xfId="709"/>
    <cellStyle name="Heading 2 2 3" xfId="710"/>
    <cellStyle name="Heading 2 2_Revenue" xfId="711"/>
    <cellStyle name="Heading 2 3" xfId="712"/>
    <cellStyle name="Heading 3 2" xfId="713"/>
    <cellStyle name="Heading 3 2 2" xfId="714"/>
    <cellStyle name="Heading 3 2_Revenue" xfId="715"/>
    <cellStyle name="Heading 3 3" xfId="716"/>
    <cellStyle name="Heading 4 2" xfId="717"/>
    <cellStyle name="Heading 4 2 2" xfId="718"/>
    <cellStyle name="Heading 4 2_Revenue" xfId="719"/>
    <cellStyle name="Heading 4 3" xfId="720"/>
    <cellStyle name="Hyperlink" xfId="46" builtinId="8"/>
    <cellStyle name="Hyperlink 2" xfId="31"/>
    <cellStyle name="Hyperlink 3" xfId="32"/>
    <cellStyle name="Hyperlink 4" xfId="776"/>
    <cellStyle name="Input 2" xfId="721"/>
    <cellStyle name="Input 2 2" xfId="722"/>
    <cellStyle name="Input 2_Revenue" xfId="723"/>
    <cellStyle name="Input 3" xfId="724"/>
    <cellStyle name="Linked Cell 2" xfId="725"/>
    <cellStyle name="Linked Cell 2 2" xfId="726"/>
    <cellStyle name="Linked Cell 2_Revenue" xfId="727"/>
    <cellStyle name="Linked Cell 3" xfId="728"/>
    <cellStyle name="Neutral 2" xfId="729"/>
    <cellStyle name="Neutral 2 2" xfId="730"/>
    <cellStyle name="Neutral 2_Revenue" xfId="731"/>
    <cellStyle name="Neutral 3" xfId="732"/>
    <cellStyle name="Normal" xfId="0" builtinId="0"/>
    <cellStyle name="Normal - Style1" xfId="777"/>
    <cellStyle name="Normal 10" xfId="778"/>
    <cellStyle name="Normal 2" xfId="5"/>
    <cellStyle name="Normal 2 2" xfId="33"/>
    <cellStyle name="Normal 2_PY RO" xfId="733"/>
    <cellStyle name="Normal 3" xfId="6"/>
    <cellStyle name="Normal 3 2" xfId="7"/>
    <cellStyle name="Normal 3_PY RO" xfId="734"/>
    <cellStyle name="Normal 4" xfId="34"/>
    <cellStyle name="Normal 4 2" xfId="35"/>
    <cellStyle name="Normal 5" xfId="36"/>
    <cellStyle name="Normal 5 2" xfId="37"/>
    <cellStyle name="Normal 6" xfId="38"/>
    <cellStyle name="Normal 6 2" xfId="39"/>
    <cellStyle name="Normal 6 3" xfId="735"/>
    <cellStyle name="Normal 7" xfId="40"/>
    <cellStyle name="Normal 8" xfId="45"/>
    <cellStyle name="Normal 9" xfId="47"/>
    <cellStyle name="Note 2" xfId="41"/>
    <cellStyle name="Note 2 2" xfId="42"/>
    <cellStyle name="Note 3" xfId="736"/>
    <cellStyle name="NUM" xfId="737"/>
    <cellStyle name="NUM 2" xfId="738"/>
    <cellStyle name="Output 2" xfId="739"/>
    <cellStyle name="Output 2 2" xfId="740"/>
    <cellStyle name="Output 2_Revenue" xfId="741"/>
    <cellStyle name="Output 3" xfId="742"/>
    <cellStyle name="Percent" xfId="1" builtinId="5"/>
    <cellStyle name="Percent 10" xfId="743"/>
    <cellStyle name="Percent 10 2" xfId="744"/>
    <cellStyle name="Percent 2" xfId="4"/>
    <cellStyle name="Percent 2 2" xfId="43"/>
    <cellStyle name="Percent 3" xfId="8"/>
    <cellStyle name="Percent 3 2" xfId="9"/>
    <cellStyle name="Percent 4" xfId="44"/>
    <cellStyle name="Percent 4 2" xfId="745"/>
    <cellStyle name="Percent 5" xfId="48"/>
    <cellStyle name="Percent 5 2" xfId="746"/>
    <cellStyle name="Percent 5 3" xfId="747"/>
    <cellStyle name="Percent 5 4" xfId="748"/>
    <cellStyle name="Percent 5 5" xfId="749"/>
    <cellStyle name="Percent 6" xfId="750"/>
    <cellStyle name="Percent 6 2" xfId="751"/>
    <cellStyle name="Percent 6 3" xfId="752"/>
    <cellStyle name="Percent 7" xfId="753"/>
    <cellStyle name="Percent 7 2" xfId="754"/>
    <cellStyle name="Percent 7 2 2" xfId="755"/>
    <cellStyle name="Percent 7 2 3" xfId="756"/>
    <cellStyle name="Percent 7 3" xfId="757"/>
    <cellStyle name="Percent 7 4" xfId="758"/>
    <cellStyle name="Percent 8" xfId="759"/>
    <cellStyle name="Percent 8 2" xfId="760"/>
    <cellStyle name="Percent 8 3" xfId="761"/>
    <cellStyle name="Percent 9" xfId="762"/>
    <cellStyle name="Percent 9 2" xfId="763"/>
    <cellStyle name="Title 2" xfId="764"/>
    <cellStyle name="Title 2 2" xfId="765"/>
    <cellStyle name="Title 2_Revenue" xfId="766"/>
    <cellStyle name="Total 2" xfId="767"/>
    <cellStyle name="Total 2 2" xfId="768"/>
    <cellStyle name="Total 2 3" xfId="769"/>
    <cellStyle name="Total 2_Revenue" xfId="770"/>
    <cellStyle name="Total 3" xfId="771"/>
    <cellStyle name="Warning Text 2" xfId="772"/>
    <cellStyle name="Warning Text 2 2" xfId="773"/>
    <cellStyle name="Warning Text 2_Revenue" xfId="774"/>
    <cellStyle name="Warning Text 3" xfId="77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15.xml"/><Relationship Id="rId6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5.xml"/><Relationship Id="rId58" Type="http://schemas.openxmlformats.org/officeDocument/2006/relationships/externalLink" Target="externalLinks/externalLink10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8.xml"/><Relationship Id="rId64" Type="http://schemas.openxmlformats.org/officeDocument/2006/relationships/theme" Target="theme/theme1.xml"/><Relationship Id="rId69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1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6.xml"/><Relationship Id="rId62" Type="http://schemas.openxmlformats.org/officeDocument/2006/relationships/externalLink" Target="externalLinks/externalLink14.xml"/><Relationship Id="rId7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Relationship Id="rId57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4.xml"/><Relationship Id="rId60" Type="http://schemas.openxmlformats.org/officeDocument/2006/relationships/externalLink" Target="externalLinks/externalLink12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2.xml"/><Relationship Id="rId55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waugustin\Local%20Settings\Temp\DOCUME~1\GHEMIN~1\LOCALS~1\Temp\UMMS_BudBk_FY06_draft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Greene.HSCRC\Local%20Settings\Temporary%20Internet%20Files\Content.Outlook\CDMFC8T2\FY2012%20JHH%20CBR%20WORKBOOK_All%20Sheets_ZH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WILLIAM\LOCALS~1\Temp\XPgrpwise\Community%20Benefit%20Report%20Detail%20-%20FY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DJACOBS\LOCALS~1\Temp\XPgrpwise\SHS%20MHE%20DGH%20Copy%20of%20Inventory%202012%20WS%20FF%20KM%20FY12.rev%201116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unity%20Benefit\Community%20Benefit%20SFY%202012\SGAH%20CB%20List%202012%20(sort%20by%20category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unity%20Benefit\Community%20Benefit%20SFY%202012\WAH%20CB%20List%202012%20(sort%20by%20category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unity%20Benefit\Community%20Benefit%20SFY%202012\Direct%20Costs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ANU_FILE\FY%202010\UMMC\UMMC_UMH\AF_2010%20UMH%20Unlink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ANU_FILE\FY%202011\UMMC\UMH\Annual%20Filing%20Model\UMH%20AF_2011_v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MAS\MASTER\FY03\Control%20Structure\Control%20Structure%20FY03%20060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ANU_FILE\FY%202008\UMMC\UMH\AF_2008_UMH%20v2%20Sequence%201A%20110408_LOCK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manda/CommunityBenefitsReports/fy11%20Reports/FY11CB_total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CommunityBenefits/FY2012/Copy%20of%20CMH%202012%20COMMUNITY%20BENEFIT%20DETAIL%20WORKSHE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an%20Moll\FinPlan\HSCRC_Community%20Benefit%20Rpt\FY%202012\Master%20File_12\Data%20Entry_Master%20File_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osped1\AppData\Local\Microsoft\Windows\Temporary%20Internet%20Files\Content.Outlook\L81B67YC\FY2012%20JHH%20CBR%20WORKBOOK_All%20Sheets_Z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6 BUD IS"/>
      <sheetName val="p7 CONS IS"/>
      <sheetName val="p8 CONS BS"/>
      <sheetName val="p9 NARF"/>
      <sheetName val="p10 CF"/>
      <sheetName val="p11 EBIDA"/>
      <sheetName val="p12 RATIOS"/>
      <sheetName val="p13 SRCS"/>
      <sheetName val="p14 USES"/>
      <sheetName val="p26 UMSH IS"/>
      <sheetName val="p27 JLK IS"/>
      <sheetName val="p28 MGHS IS"/>
      <sheetName val="p29 NAHS IS"/>
      <sheetName val="is fy01"/>
      <sheetName val="is fy02"/>
      <sheetName val="is fy03"/>
      <sheetName val="is fy04"/>
      <sheetName val="proj bs"/>
      <sheetName val="bud bs"/>
      <sheetName val="proj is"/>
      <sheetName val="bud is"/>
      <sheetName val="GAAP JE"/>
      <sheetName val="ELIMS"/>
      <sheetName val="Ummcsh"/>
      <sheetName val="UMMCSH ratios for hank"/>
      <sheetName val="UCare"/>
      <sheetName val="Kernan"/>
      <sheetName val="Kern End"/>
      <sheetName val="MGHS"/>
      <sheetName val="NAHS"/>
      <sheetName val="Fdtn"/>
      <sheetName val="Shiple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 vs 12 Analysis"/>
      <sheetName val="FY2012 HSCRC INVENTORY"/>
      <sheetName val="A40 CHS - Other"/>
      <sheetName val="B50 HPE - Other"/>
      <sheetName val="C91 MDHS - Other"/>
      <sheetName val="F90 CBA - Other"/>
      <sheetName val="FY2011 HSCRC Inventory"/>
      <sheetName val="10 vs 11 Analysis"/>
      <sheetName val="FY2012 Variance by CATEGORY"/>
      <sheetName val="FY2012 VarianceDetail by DEPT"/>
      <sheetName val="Unregulated Physician - Detail"/>
      <sheetName val="Unregulated Physician - Summary"/>
      <sheetName val="JHH and JHBMC Charity - Desiree"/>
      <sheetName val="FY2012 Indirect Cost"/>
      <sheetName val="JH Outpatient Pharmacies"/>
      <sheetName val="JHCP"/>
      <sheetName val="Med Assistance - Fran"/>
      <sheetName val="FY2012 Deficit Assessments"/>
      <sheetName val="FY2012 JHH Endowment Fund"/>
      <sheetName val="FY2012 JHM Sponsorships GG"/>
      <sheetName val="FY2012 Admin Fellows_Residents"/>
      <sheetName val="MD Regional Neonatal"/>
      <sheetName val="Fran_Marty Section B_Financi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53">
          <cell r="AY153">
            <v>1465283.2521599999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"/>
      <sheetName val="B1 detail"/>
    </sheetNames>
    <sheetDataSet>
      <sheetData sheetId="0">
        <row r="22">
          <cell r="I22">
            <v>148.5</v>
          </cell>
        </row>
        <row r="28">
          <cell r="I28">
            <v>1496.7400000000002</v>
          </cell>
        </row>
        <row r="34">
          <cell r="I34">
            <v>18576</v>
          </cell>
        </row>
        <row r="37">
          <cell r="I37">
            <v>148</v>
          </cell>
        </row>
        <row r="54">
          <cell r="I54">
            <v>328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HE CBR FY2012"/>
      <sheetName val="DGH CBR FY2012"/>
      <sheetName val="UMMS FSS FIN DATA 2012"/>
      <sheetName val="SHS MHE DGH Com Ben Rpt 2012 "/>
      <sheetName val="DGH "/>
      <sheetName val="MHE"/>
      <sheetName val="Activities Comm Ben 2012"/>
    </sheetNames>
    <sheetDataSet>
      <sheetData sheetId="0"/>
      <sheetData sheetId="1"/>
      <sheetData sheetId="2">
        <row r="8">
          <cell r="Q8">
            <v>168172000</v>
          </cell>
        </row>
      </sheetData>
      <sheetData sheetId="3">
        <row r="43">
          <cell r="G43">
            <v>1146</v>
          </cell>
        </row>
        <row r="66">
          <cell r="K66">
            <v>0</v>
          </cell>
        </row>
      </sheetData>
      <sheetData sheetId="4">
        <row r="6">
          <cell r="G6">
            <v>0.55503509784653882</v>
          </cell>
        </row>
      </sheetData>
      <sheetData sheetId="5">
        <row r="9">
          <cell r="G9">
            <v>0.52232808868445713</v>
          </cell>
        </row>
        <row r="20">
          <cell r="D20">
            <v>1330</v>
          </cell>
        </row>
      </sheetData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AH CB List "/>
      <sheetName val="V_Physicians"/>
      <sheetName val="Sheet1"/>
    </sheetNames>
    <sheetDataSet>
      <sheetData sheetId="0">
        <row r="104">
          <cell r="L104">
            <v>9484179</v>
          </cell>
        </row>
        <row r="149">
          <cell r="J149">
            <v>0</v>
          </cell>
          <cell r="K149">
            <v>0</v>
          </cell>
          <cell r="L149">
            <v>0</v>
          </cell>
          <cell r="N149">
            <v>0</v>
          </cell>
        </row>
        <row r="150">
          <cell r="J150">
            <v>0</v>
          </cell>
          <cell r="K150">
            <v>0</v>
          </cell>
          <cell r="L150">
            <v>0</v>
          </cell>
          <cell r="N150">
            <v>0</v>
          </cell>
        </row>
        <row r="151">
          <cell r="J151">
            <v>0</v>
          </cell>
          <cell r="K151">
            <v>0</v>
          </cell>
          <cell r="L151">
            <v>0</v>
          </cell>
          <cell r="N151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_Physicians"/>
    </sheetNames>
    <sheetDataSet>
      <sheetData sheetId="0">
        <row r="111">
          <cell r="L111">
            <v>7454521</v>
          </cell>
          <cell r="N111">
            <v>-6374548</v>
          </cell>
        </row>
        <row r="112">
          <cell r="J112">
            <v>25536.652499999993</v>
          </cell>
          <cell r="K112">
            <v>16874</v>
          </cell>
          <cell r="L112">
            <v>1386764.3425</v>
          </cell>
          <cell r="N112">
            <v>-165155.10800000001</v>
          </cell>
        </row>
        <row r="113">
          <cell r="J113">
            <v>2968.1000000000004</v>
          </cell>
          <cell r="K113">
            <v>0</v>
          </cell>
          <cell r="L113">
            <v>78206.993000000002</v>
          </cell>
          <cell r="N113">
            <v>-10931.738500000001</v>
          </cell>
        </row>
        <row r="114">
          <cell r="J114">
            <v>0</v>
          </cell>
          <cell r="K114">
            <v>0</v>
          </cell>
          <cell r="L114">
            <v>0</v>
          </cell>
          <cell r="N114">
            <v>0</v>
          </cell>
        </row>
        <row r="115">
          <cell r="J115">
            <v>291</v>
          </cell>
          <cell r="K115">
            <v>1024.5</v>
          </cell>
          <cell r="L115">
            <v>4955.5</v>
          </cell>
          <cell r="N115">
            <v>0</v>
          </cell>
        </row>
        <row r="116">
          <cell r="J116">
            <v>5738.8562499999998</v>
          </cell>
          <cell r="K116">
            <v>0</v>
          </cell>
          <cell r="L116">
            <v>157114.81625</v>
          </cell>
          <cell r="N116">
            <v>-49130.95</v>
          </cell>
        </row>
        <row r="117">
          <cell r="J117">
            <v>0</v>
          </cell>
          <cell r="K117">
            <v>0</v>
          </cell>
          <cell r="L117">
            <v>0</v>
          </cell>
          <cell r="N117">
            <v>0</v>
          </cell>
        </row>
        <row r="118">
          <cell r="J118">
            <v>0</v>
          </cell>
          <cell r="K118">
            <v>0</v>
          </cell>
          <cell r="L118">
            <v>0</v>
          </cell>
          <cell r="N118">
            <v>0</v>
          </cell>
        </row>
        <row r="119">
          <cell r="J119">
            <v>0</v>
          </cell>
          <cell r="K119">
            <v>0</v>
          </cell>
          <cell r="L119">
            <v>0</v>
          </cell>
          <cell r="N119">
            <v>0</v>
          </cell>
        </row>
        <row r="120">
          <cell r="J120">
            <v>6705.75</v>
          </cell>
          <cell r="K120">
            <v>3748</v>
          </cell>
          <cell r="L120">
            <v>1688084.2787500001</v>
          </cell>
          <cell r="N120">
            <v>-44620.563750000001</v>
          </cell>
        </row>
        <row r="121">
          <cell r="J121">
            <v>2614.6912499999999</v>
          </cell>
          <cell r="K121">
            <v>5578.3065562499996</v>
          </cell>
          <cell r="L121">
            <v>80347.017749999999</v>
          </cell>
          <cell r="N121">
            <v>-6689.3885000000009</v>
          </cell>
        </row>
        <row r="122">
          <cell r="J122">
            <v>0</v>
          </cell>
          <cell r="K122">
            <v>0</v>
          </cell>
          <cell r="L122">
            <v>79333.551000000007</v>
          </cell>
          <cell r="N122">
            <v>0</v>
          </cell>
        </row>
        <row r="123">
          <cell r="J123">
            <v>13104.5</v>
          </cell>
          <cell r="K123">
            <v>439</v>
          </cell>
          <cell r="L123">
            <v>560930</v>
          </cell>
          <cell r="N123">
            <v>0</v>
          </cell>
        </row>
        <row r="124">
          <cell r="J124">
            <v>3689.35</v>
          </cell>
          <cell r="K124">
            <v>35946.841396376323</v>
          </cell>
          <cell r="L124">
            <v>95486.38625000004</v>
          </cell>
          <cell r="N124">
            <v>-14873.52125</v>
          </cell>
        </row>
        <row r="125">
          <cell r="J125">
            <v>3120</v>
          </cell>
          <cell r="K125">
            <v>304.50704000000002</v>
          </cell>
          <cell r="L125">
            <v>161027.19999999998</v>
          </cell>
          <cell r="N125">
            <v>-47298.84</v>
          </cell>
        </row>
        <row r="126">
          <cell r="J126">
            <v>0</v>
          </cell>
          <cell r="K126">
            <v>0</v>
          </cell>
          <cell r="L126">
            <v>0</v>
          </cell>
          <cell r="N126">
            <v>0</v>
          </cell>
        </row>
        <row r="127">
          <cell r="J127">
            <v>60209.250000000007</v>
          </cell>
          <cell r="K127">
            <v>71.5</v>
          </cell>
          <cell r="L127">
            <v>7679388.6600000001</v>
          </cell>
          <cell r="N127">
            <v>0</v>
          </cell>
        </row>
        <row r="128">
          <cell r="J128">
            <v>0</v>
          </cell>
          <cell r="K128">
            <v>0</v>
          </cell>
          <cell r="L128">
            <v>1603836.9700000002</v>
          </cell>
          <cell r="N128">
            <v>0</v>
          </cell>
        </row>
        <row r="129">
          <cell r="K129">
            <v>0</v>
          </cell>
          <cell r="L129">
            <v>0</v>
          </cell>
          <cell r="N129">
            <v>0</v>
          </cell>
        </row>
        <row r="130">
          <cell r="J130">
            <v>0</v>
          </cell>
          <cell r="K130">
            <v>0</v>
          </cell>
          <cell r="L130">
            <v>4420785.8560000006</v>
          </cell>
          <cell r="N130">
            <v>0</v>
          </cell>
        </row>
        <row r="131">
          <cell r="J131">
            <v>10391.75</v>
          </cell>
          <cell r="K131">
            <v>1002</v>
          </cell>
          <cell r="L131">
            <v>676203.23</v>
          </cell>
          <cell r="N131">
            <v>-376006.6</v>
          </cell>
        </row>
        <row r="132">
          <cell r="J132">
            <v>2</v>
          </cell>
          <cell r="K132">
            <v>3</v>
          </cell>
          <cell r="L132">
            <v>30782.5</v>
          </cell>
          <cell r="N132">
            <v>0</v>
          </cell>
        </row>
        <row r="133">
          <cell r="J133">
            <v>2</v>
          </cell>
          <cell r="K133">
            <v>125</v>
          </cell>
          <cell r="L133">
            <v>660233.473</v>
          </cell>
          <cell r="N133">
            <v>0</v>
          </cell>
        </row>
        <row r="134">
          <cell r="J134">
            <v>0</v>
          </cell>
          <cell r="K134">
            <v>0</v>
          </cell>
          <cell r="L134">
            <v>0</v>
          </cell>
          <cell r="N134">
            <v>0</v>
          </cell>
        </row>
        <row r="135">
          <cell r="J135">
            <v>146.27500000000001</v>
          </cell>
          <cell r="K135">
            <v>171</v>
          </cell>
          <cell r="L135">
            <v>35117.5</v>
          </cell>
          <cell r="N135">
            <v>0</v>
          </cell>
        </row>
        <row r="136">
          <cell r="J136">
            <v>2</v>
          </cell>
          <cell r="K136">
            <v>30</v>
          </cell>
          <cell r="L136">
            <v>0</v>
          </cell>
          <cell r="N136">
            <v>0</v>
          </cell>
        </row>
        <row r="137">
          <cell r="J137">
            <v>2</v>
          </cell>
          <cell r="K137">
            <v>6</v>
          </cell>
          <cell r="L137">
            <v>26.648593234022105</v>
          </cell>
          <cell r="N137">
            <v>0</v>
          </cell>
        </row>
        <row r="138">
          <cell r="J138">
            <v>85.75</v>
          </cell>
          <cell r="K138">
            <v>156</v>
          </cell>
          <cell r="L138">
            <v>19090</v>
          </cell>
          <cell r="N138">
            <v>0</v>
          </cell>
        </row>
        <row r="139">
          <cell r="J139">
            <v>43.25</v>
          </cell>
          <cell r="K139">
            <v>221.5</v>
          </cell>
          <cell r="L139">
            <v>3167</v>
          </cell>
          <cell r="N139">
            <v>0</v>
          </cell>
        </row>
        <row r="140">
          <cell r="J140">
            <v>5.75</v>
          </cell>
          <cell r="K140">
            <v>21</v>
          </cell>
          <cell r="L140">
            <v>1390</v>
          </cell>
          <cell r="N140">
            <v>0</v>
          </cell>
        </row>
        <row r="141">
          <cell r="J141">
            <v>23.875</v>
          </cell>
          <cell r="K141">
            <v>319</v>
          </cell>
          <cell r="L141">
            <v>1266.5</v>
          </cell>
          <cell r="N141">
            <v>0</v>
          </cell>
        </row>
        <row r="142">
          <cell r="J142">
            <v>532.75</v>
          </cell>
          <cell r="K142">
            <v>2334.5</v>
          </cell>
          <cell r="L142">
            <v>52498.5</v>
          </cell>
          <cell r="N142">
            <v>0</v>
          </cell>
        </row>
        <row r="143">
          <cell r="J143">
            <v>1744.9499999999998</v>
          </cell>
          <cell r="K143">
            <v>1486</v>
          </cell>
          <cell r="L143">
            <v>520811.97000000003</v>
          </cell>
          <cell r="N143">
            <v>-15000</v>
          </cell>
        </row>
        <row r="144">
          <cell r="J144">
            <v>33.650000000000006</v>
          </cell>
          <cell r="K144">
            <v>42</v>
          </cell>
          <cell r="L144">
            <v>7866</v>
          </cell>
          <cell r="N144">
            <v>0</v>
          </cell>
        </row>
        <row r="145">
          <cell r="J145">
            <v>2720.6400000000003</v>
          </cell>
          <cell r="K145">
            <v>516.92160000000001</v>
          </cell>
          <cell r="L145">
            <v>150106.63996224003</v>
          </cell>
          <cell r="N145">
            <v>0</v>
          </cell>
        </row>
        <row r="146">
          <cell r="J146">
            <v>1298.625</v>
          </cell>
          <cell r="K146">
            <v>0</v>
          </cell>
          <cell r="L146">
            <v>62028.596923076919</v>
          </cell>
          <cell r="N146">
            <v>0</v>
          </cell>
        </row>
        <row r="147">
          <cell r="J147">
            <v>21.25</v>
          </cell>
          <cell r="K147">
            <v>282</v>
          </cell>
          <cell r="L147">
            <v>41769.29</v>
          </cell>
          <cell r="N147">
            <v>0</v>
          </cell>
        </row>
        <row r="148">
          <cell r="J148">
            <v>0</v>
          </cell>
          <cell r="K148">
            <v>0</v>
          </cell>
          <cell r="L148">
            <v>65715.41</v>
          </cell>
          <cell r="N148">
            <v>0</v>
          </cell>
        </row>
        <row r="149">
          <cell r="J149">
            <v>0</v>
          </cell>
          <cell r="K149">
            <v>2000</v>
          </cell>
          <cell r="L149">
            <v>0</v>
          </cell>
          <cell r="N149">
            <v>0</v>
          </cell>
        </row>
        <row r="150">
          <cell r="J150">
            <v>0</v>
          </cell>
          <cell r="K150">
            <v>0</v>
          </cell>
          <cell r="L150">
            <v>0</v>
          </cell>
          <cell r="N150">
            <v>0</v>
          </cell>
        </row>
        <row r="152">
          <cell r="O152">
            <v>10766255.577</v>
          </cell>
        </row>
        <row r="154">
          <cell r="J154">
            <v>0</v>
          </cell>
          <cell r="K154">
            <v>0</v>
          </cell>
          <cell r="L154">
            <v>0</v>
          </cell>
          <cell r="N154">
            <v>0</v>
          </cell>
        </row>
        <row r="155">
          <cell r="J155">
            <v>0</v>
          </cell>
          <cell r="K155">
            <v>0</v>
          </cell>
          <cell r="L155">
            <v>0</v>
          </cell>
          <cell r="N155">
            <v>0</v>
          </cell>
        </row>
        <row r="156">
          <cell r="J156">
            <v>0</v>
          </cell>
          <cell r="K156">
            <v>0</v>
          </cell>
          <cell r="L156">
            <v>0</v>
          </cell>
          <cell r="N156">
            <v>0</v>
          </cell>
        </row>
        <row r="159">
          <cell r="H159">
            <v>0.5574212044197161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_101"/>
      <sheetName val="P&amp;L_121"/>
      <sheetName val="P&amp;L_401"/>
      <sheetName val="P&amp;L_102"/>
      <sheetName val="P&amp;L_402"/>
      <sheetName val="A_001-9308_CtrHlthDisp"/>
      <sheetName val="A_1015050_SGMatCtr"/>
      <sheetName val="A_101-9470_CasMgt"/>
      <sheetName val="C_P&amp;L_102-3240PAs"/>
      <sheetName val="F_P&amp;L_002_9375ACES"/>
      <sheetName val="B_1022007GRDEXT"/>
      <sheetName val="B_101_4450RADSCH"/>
      <sheetName val="C_101-3017"/>
      <sheetName val="C_101_OB_CALL_COVERAGE"/>
      <sheetName val="C_101_PSYCH_ASMTS"/>
      <sheetName val="C_P&amp;L_101-3240PAs"/>
      <sheetName val="B_1024450RADSCH"/>
      <sheetName val="D_1014225"/>
      <sheetName val="D_1024225"/>
      <sheetName val="D_0029408B"/>
      <sheetName val="Dynamis"/>
      <sheetName val="G_Avalere"/>
      <sheetName val="WAH_2009-0020"/>
      <sheetName val="WAH_2009-0044"/>
      <sheetName val="A_DECO"/>
      <sheetName val="GenesisChaplain"/>
      <sheetName val="A_102-9470_CaseMgt"/>
      <sheetName val="B_101-9450ML"/>
      <sheetName val="B_102-9450ML"/>
      <sheetName val="A_PtTransport"/>
      <sheetName val="A Community Health Services"/>
      <sheetName val="G_Assigned Staff"/>
      <sheetName val="G_LYONSOFTWARE"/>
      <sheetName val="GenesisChaplainfy11dELETE"/>
      <sheetName val="NP Hrs"/>
      <sheetName val="InKind"/>
      <sheetName val="IRB"/>
      <sheetName val="CampusReuse WAH Only"/>
      <sheetName val="FitnessCtr WAH Only"/>
      <sheetName val="AP_Vdrs"/>
      <sheetName val="Disaster"/>
      <sheetName val="Donations"/>
      <sheetName val="A Community Health Services_old"/>
      <sheetName val="Grad Intern"/>
      <sheetName val="Various B_C_D"/>
      <sheetName val="Various B_C_D SG and SC only"/>
      <sheetName val="Sch A Comparison 2009-2010"/>
      <sheetName val="Encounters"/>
      <sheetName val="OB Call Coverage 9000"/>
      <sheetName val="OB Call Coverage"/>
      <sheetName val="Sheet3"/>
      <sheetName val="B_MedEd"/>
      <sheetName val="001+002+107 TB"/>
      <sheetName val="Sheet1"/>
      <sheetName val="FY TB 2010"/>
      <sheetName val="sql"/>
      <sheetName val="DEL_Various B_C_D"/>
      <sheetName val="Sheet2"/>
    </sheetNames>
    <sheetDataSet>
      <sheetData sheetId="0">
        <row r="51">
          <cell r="BR51">
            <v>304323367.76999998</v>
          </cell>
        </row>
      </sheetData>
      <sheetData sheetId="1"/>
      <sheetData sheetId="2"/>
      <sheetData sheetId="3">
        <row r="46">
          <cell r="AE46">
            <v>214492389.64600003</v>
          </cell>
        </row>
        <row r="66">
          <cell r="AE66">
            <v>3924364.1799999983</v>
          </cell>
        </row>
        <row r="308">
          <cell r="AE308">
            <v>224511598.69200003</v>
          </cell>
        </row>
        <row r="325">
          <cell r="AE325">
            <v>-848096.81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3 Input"/>
      <sheetName val="P4 Input"/>
      <sheetName val="Don Service Exp"/>
      <sheetName val="ACS Input"/>
      <sheetName val="P2 Input"/>
      <sheetName val="E,F,UR Alloc"/>
      <sheetName val="PY RO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E_I"/>
      <sheetName val="E_II"/>
      <sheetName val="RR"/>
      <sheetName val="E_III"/>
      <sheetName val="E_IV"/>
      <sheetName val="E_V"/>
      <sheetName val="E_VI"/>
      <sheetName val="E_VII"/>
      <sheetName val="E_VIII"/>
      <sheetName val="E_IX"/>
      <sheetName val="E_X"/>
      <sheetName val="E_XI"/>
      <sheetName val="M Comp1"/>
      <sheetName val="M Comp2"/>
      <sheetName val="TB Comp"/>
      <sheetName val="Hospital Phys Cost"/>
      <sheetName val="Med Ed Cost"/>
      <sheetName val="PY_M"/>
      <sheetName val="EC"/>
      <sheetName val="Instructions"/>
      <sheetName val="Rct"/>
      <sheetName val="Cvr"/>
      <sheetName val="Sig"/>
      <sheetName val="Sch"/>
      <sheetName val="cdefhpv"/>
      <sheetName val="rev5pda"/>
      <sheetName val="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PY RO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E_I"/>
      <sheetName val="E_II"/>
      <sheetName val="E_II (b)"/>
      <sheetName val="E_III"/>
      <sheetName val="E_IV"/>
      <sheetName val="E_V"/>
      <sheetName val="E_VI"/>
      <sheetName val="E_VII"/>
      <sheetName val="E_VIII"/>
      <sheetName val="E_IX"/>
      <sheetName val="E_X"/>
      <sheetName val="E_XI"/>
      <sheetName val="E_XII"/>
      <sheetName val="E_XIII"/>
      <sheetName val="E_XIV"/>
      <sheetName val="Hospital Phys Cost"/>
      <sheetName val="Med Ed Cost"/>
      <sheetName val="RR"/>
      <sheetName val="PY_M"/>
      <sheetName val="EC"/>
      <sheetName val="Instructions"/>
      <sheetName val="Rct (DON'T HIDE)"/>
      <sheetName val="Cvr (DON'T HIDE)"/>
      <sheetName val="Sig (DON'T HIDE)"/>
      <sheetName val="Sch"/>
      <sheetName val="cdefhpv"/>
      <sheetName val="rev5pda"/>
      <sheetName val="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UMH"/>
      <sheetName val="CC"/>
      <sheetName val="STC"/>
      <sheetName val="CORP"/>
    </sheetNames>
    <sheetDataSet>
      <sheetData sheetId="0" refreshError="1"/>
      <sheetData sheetId="1">
        <row r="976">
          <cell r="A976" t="str">
            <v>0167532</v>
          </cell>
          <cell r="B976" t="str">
            <v xml:space="preserve">  Transitional Rehab Center</v>
          </cell>
          <cell r="C976">
            <v>123</v>
          </cell>
          <cell r="E976" t="str">
            <v>D</v>
          </cell>
          <cell r="F976" t="str">
            <v xml:space="preserve"> </v>
          </cell>
          <cell r="G976" t="str">
            <v xml:space="preserve"> </v>
          </cell>
          <cell r="H976" t="str">
            <v>1INAC</v>
          </cell>
          <cell r="I976" t="str">
            <v>Zhang, Lingwei</v>
          </cell>
          <cell r="J976" t="str">
            <v>Walt Augustin</v>
          </cell>
          <cell r="L976" t="str">
            <v/>
          </cell>
          <cell r="M976" t="str">
            <v/>
          </cell>
          <cell r="N976" t="str">
            <v/>
          </cell>
          <cell r="O976" t="str">
            <v/>
          </cell>
          <cell r="P976" t="str">
            <v/>
          </cell>
          <cell r="Q976" t="str">
            <v/>
          </cell>
          <cell r="R976" t="str">
            <v>Augustin, W</v>
          </cell>
          <cell r="S976" t="str">
            <v/>
          </cell>
          <cell r="T976" t="str">
            <v>Franey, Hank</v>
          </cell>
          <cell r="U976" t="str">
            <v>Schimpff, Stephen</v>
          </cell>
          <cell r="V976" t="str">
            <v>Ashworth, John</v>
          </cell>
          <cell r="W976" t="str">
            <v>Inactive</v>
          </cell>
        </row>
        <row r="977">
          <cell r="A977" t="str">
            <v>0168212</v>
          </cell>
          <cell r="B977" t="str">
            <v xml:space="preserve">  Joslin at Shipleys</v>
          </cell>
          <cell r="C977">
            <v>128</v>
          </cell>
          <cell r="E977" t="str">
            <v>D</v>
          </cell>
          <cell r="F977" t="str">
            <v xml:space="preserve"> </v>
          </cell>
          <cell r="G977" t="str">
            <v xml:space="preserve"> </v>
          </cell>
          <cell r="H977" t="str">
            <v>1INAC</v>
          </cell>
          <cell r="I977" t="str">
            <v>Zhang, Lingwei</v>
          </cell>
          <cell r="J977" t="str">
            <v>Walt Augustin</v>
          </cell>
          <cell r="L977" t="str">
            <v/>
          </cell>
          <cell r="M977" t="str">
            <v/>
          </cell>
          <cell r="N977" t="str">
            <v/>
          </cell>
          <cell r="O977" t="str">
            <v/>
          </cell>
          <cell r="P977" t="str">
            <v/>
          </cell>
          <cell r="Q977" t="str">
            <v/>
          </cell>
          <cell r="R977" t="str">
            <v>Augustin, W</v>
          </cell>
          <cell r="S977" t="str">
            <v/>
          </cell>
          <cell r="T977" t="str">
            <v>Franey, Hank</v>
          </cell>
          <cell r="U977" t="str">
            <v>Schimpff, Stephen</v>
          </cell>
          <cell r="V977" t="str">
            <v>Ashworth, John</v>
          </cell>
          <cell r="W977" t="str">
            <v>Inactive</v>
          </cell>
        </row>
        <row r="978">
          <cell r="A978" t="str">
            <v>0176027</v>
          </cell>
          <cell r="B978" t="str">
            <v xml:space="preserve">  SRGN Acute 10 South</v>
          </cell>
          <cell r="C978">
            <v>146</v>
          </cell>
          <cell r="E978" t="str">
            <v>D</v>
          </cell>
          <cell r="F978" t="str">
            <v xml:space="preserve"> </v>
          </cell>
          <cell r="G978" t="str">
            <v xml:space="preserve"> </v>
          </cell>
          <cell r="H978" t="str">
            <v>1INAC</v>
          </cell>
          <cell r="I978" t="str">
            <v>Zhang, Lingwei</v>
          </cell>
          <cell r="J978" t="str">
            <v>Walt Augustin</v>
          </cell>
          <cell r="L978" t="str">
            <v/>
          </cell>
          <cell r="M978" t="str">
            <v/>
          </cell>
          <cell r="N978" t="str">
            <v/>
          </cell>
          <cell r="O978" t="str">
            <v/>
          </cell>
          <cell r="P978" t="str">
            <v/>
          </cell>
          <cell r="Q978" t="str">
            <v/>
          </cell>
          <cell r="R978" t="str">
            <v>Augustin, W</v>
          </cell>
          <cell r="S978" t="str">
            <v/>
          </cell>
          <cell r="T978" t="str">
            <v>Franey, Hank</v>
          </cell>
          <cell r="U978" t="str">
            <v>Schimpff, Stephen</v>
          </cell>
          <cell r="V978" t="str">
            <v>Ashworth, John</v>
          </cell>
          <cell r="W978" t="str">
            <v>Inactive</v>
          </cell>
        </row>
        <row r="979">
          <cell r="A979" t="str">
            <v>0176053</v>
          </cell>
          <cell r="B979" t="str">
            <v xml:space="preserve">  SRGN SICU/SD GUD 4W</v>
          </cell>
          <cell r="C979">
            <v>147</v>
          </cell>
          <cell r="E979" t="str">
            <v>D</v>
          </cell>
          <cell r="F979" t="str">
            <v xml:space="preserve"> </v>
          </cell>
          <cell r="G979" t="str">
            <v xml:space="preserve"> </v>
          </cell>
          <cell r="H979" t="str">
            <v>1INAC</v>
          </cell>
          <cell r="I979" t="str">
            <v>Zhang, Lingwei</v>
          </cell>
          <cell r="J979" t="str">
            <v>Walt Augustin</v>
          </cell>
          <cell r="L979" t="str">
            <v/>
          </cell>
          <cell r="M979" t="str">
            <v/>
          </cell>
          <cell r="N979" t="str">
            <v/>
          </cell>
          <cell r="O979" t="str">
            <v/>
          </cell>
          <cell r="P979" t="str">
            <v/>
          </cell>
          <cell r="Q979" t="str">
            <v/>
          </cell>
          <cell r="R979" t="str">
            <v>Augustin, W</v>
          </cell>
          <cell r="S979" t="str">
            <v/>
          </cell>
          <cell r="T979" t="str">
            <v>Franey, Hank</v>
          </cell>
          <cell r="U979" t="str">
            <v>Schimpff, Stephen</v>
          </cell>
          <cell r="V979" t="str">
            <v>Ashworth, John</v>
          </cell>
          <cell r="W979" t="str">
            <v>Inactive</v>
          </cell>
        </row>
        <row r="980">
          <cell r="A980" t="str">
            <v>0176105</v>
          </cell>
          <cell r="B980" t="str">
            <v xml:space="preserve">  Peds GI Clinic</v>
          </cell>
          <cell r="C980">
            <v>149</v>
          </cell>
          <cell r="E980" t="str">
            <v>D</v>
          </cell>
          <cell r="F980" t="str">
            <v xml:space="preserve"> </v>
          </cell>
          <cell r="G980" t="str">
            <v xml:space="preserve"> </v>
          </cell>
          <cell r="H980" t="str">
            <v>1INAC</v>
          </cell>
          <cell r="I980" t="str">
            <v>Zhang, Lingwei</v>
          </cell>
          <cell r="J980" t="str">
            <v>Walt Augustin</v>
          </cell>
          <cell r="L980" t="str">
            <v/>
          </cell>
          <cell r="M980" t="str">
            <v/>
          </cell>
          <cell r="N980" t="str">
            <v/>
          </cell>
          <cell r="O980" t="str">
            <v/>
          </cell>
          <cell r="P980" t="str">
            <v>Hernandez, Alexis</v>
          </cell>
          <cell r="Q980" t="str">
            <v/>
          </cell>
          <cell r="R980" t="str">
            <v>Augustin, W</v>
          </cell>
          <cell r="S980" t="str">
            <v/>
          </cell>
          <cell r="T980" t="str">
            <v>Franey, Hank</v>
          </cell>
          <cell r="U980" t="str">
            <v>Schimpff, Stephen</v>
          </cell>
          <cell r="V980" t="str">
            <v>Ashworth, John</v>
          </cell>
          <cell r="W980" t="str">
            <v>Inactive</v>
          </cell>
        </row>
        <row r="981">
          <cell r="A981" t="str">
            <v>0176270</v>
          </cell>
          <cell r="B981" t="str">
            <v xml:space="preserve">  SRGN Step Down</v>
          </cell>
          <cell r="C981">
            <v>169</v>
          </cell>
          <cell r="E981" t="str">
            <v>D</v>
          </cell>
          <cell r="F981" t="str">
            <v xml:space="preserve"> </v>
          </cell>
          <cell r="G981" t="str">
            <v xml:space="preserve"> </v>
          </cell>
          <cell r="H981" t="str">
            <v>1INAC</v>
          </cell>
          <cell r="I981" t="str">
            <v>Zhang, Lingwei</v>
          </cell>
          <cell r="J981" t="str">
            <v>Walt Augustin</v>
          </cell>
          <cell r="L981" t="str">
            <v/>
          </cell>
          <cell r="M981" t="str">
            <v/>
          </cell>
          <cell r="N981" t="str">
            <v/>
          </cell>
          <cell r="O981" t="str">
            <v/>
          </cell>
          <cell r="P981" t="str">
            <v/>
          </cell>
          <cell r="Q981" t="str">
            <v/>
          </cell>
          <cell r="R981" t="str">
            <v>Augustin, W</v>
          </cell>
          <cell r="S981" t="str">
            <v/>
          </cell>
          <cell r="T981" t="str">
            <v>Franey, Hank</v>
          </cell>
          <cell r="U981" t="str">
            <v>Schimpff, Stephen</v>
          </cell>
          <cell r="V981" t="str">
            <v>Ashworth, John</v>
          </cell>
          <cell r="W981" t="str">
            <v>Inactive</v>
          </cell>
        </row>
        <row r="982">
          <cell r="A982" t="str">
            <v>0176357</v>
          </cell>
          <cell r="B982" t="str">
            <v xml:space="preserve">  PEDN PICU Step Down</v>
          </cell>
          <cell r="C982">
            <v>171</v>
          </cell>
          <cell r="E982" t="str">
            <v>D</v>
          </cell>
          <cell r="F982" t="str">
            <v xml:space="preserve"> </v>
          </cell>
          <cell r="G982" t="str">
            <v xml:space="preserve"> </v>
          </cell>
          <cell r="H982" t="str">
            <v>1INAC</v>
          </cell>
          <cell r="I982" t="str">
            <v>Zhang, Lingwei</v>
          </cell>
          <cell r="J982" t="str">
            <v>Walt Augustin</v>
          </cell>
          <cell r="L982" t="str">
            <v/>
          </cell>
          <cell r="M982" t="str">
            <v/>
          </cell>
          <cell r="N982" t="str">
            <v/>
          </cell>
          <cell r="O982" t="str">
            <v/>
          </cell>
          <cell r="P982" t="str">
            <v/>
          </cell>
          <cell r="Q982" t="str">
            <v/>
          </cell>
          <cell r="R982" t="str">
            <v>Augustin, W</v>
          </cell>
          <cell r="S982" t="str">
            <v/>
          </cell>
          <cell r="T982" t="str">
            <v>Franey, Hank</v>
          </cell>
          <cell r="U982" t="str">
            <v>Schimpff, Stephen</v>
          </cell>
          <cell r="V982" t="str">
            <v>Ashworth, John</v>
          </cell>
          <cell r="W982" t="str">
            <v>Inactive</v>
          </cell>
        </row>
        <row r="983">
          <cell r="A983" t="str">
            <v>0176513</v>
          </cell>
          <cell r="B983" t="str">
            <v xml:space="preserve">  PEDN Transport</v>
          </cell>
          <cell r="C983">
            <v>173</v>
          </cell>
          <cell r="E983" t="str">
            <v>D</v>
          </cell>
          <cell r="F983" t="str">
            <v xml:space="preserve"> </v>
          </cell>
          <cell r="G983" t="str">
            <v xml:space="preserve"> </v>
          </cell>
          <cell r="H983" t="str">
            <v>1INAC</v>
          </cell>
          <cell r="I983" t="str">
            <v>Zhang, Lingwei</v>
          </cell>
          <cell r="J983" t="str">
            <v>Walt Augustin</v>
          </cell>
          <cell r="L983" t="str">
            <v/>
          </cell>
          <cell r="M983" t="str">
            <v/>
          </cell>
          <cell r="N983" t="str">
            <v/>
          </cell>
          <cell r="O983" t="str">
            <v/>
          </cell>
          <cell r="P983" t="str">
            <v/>
          </cell>
          <cell r="Q983" t="str">
            <v/>
          </cell>
          <cell r="R983" t="str">
            <v>Augustin, W</v>
          </cell>
          <cell r="S983" t="str">
            <v/>
          </cell>
          <cell r="T983" t="str">
            <v>Franey, Hank</v>
          </cell>
          <cell r="U983" t="str">
            <v>Schimpff, Stephen</v>
          </cell>
          <cell r="V983" t="str">
            <v>Ashworth, John</v>
          </cell>
          <cell r="W983" t="str">
            <v>Inactive</v>
          </cell>
        </row>
        <row r="984">
          <cell r="A984" t="str">
            <v>0177241</v>
          </cell>
          <cell r="B984" t="str">
            <v xml:space="preserve">  LABA Neuropathology</v>
          </cell>
          <cell r="C984">
            <v>227</v>
          </cell>
          <cell r="E984" t="str">
            <v>D</v>
          </cell>
          <cell r="F984" t="str">
            <v xml:space="preserve"> </v>
          </cell>
          <cell r="G984" t="str">
            <v xml:space="preserve"> </v>
          </cell>
          <cell r="H984" t="str">
            <v>1INAC</v>
          </cell>
          <cell r="I984" t="str">
            <v>Zhang, Lingwei</v>
          </cell>
          <cell r="J984" t="str">
            <v>Walt Augustin</v>
          </cell>
          <cell r="L984" t="str">
            <v/>
          </cell>
          <cell r="M984" t="str">
            <v/>
          </cell>
          <cell r="N984" t="str">
            <v/>
          </cell>
          <cell r="O984" t="str">
            <v/>
          </cell>
          <cell r="P984" t="str">
            <v/>
          </cell>
          <cell r="Q984" t="str">
            <v/>
          </cell>
          <cell r="R984" t="str">
            <v>Augustin, W</v>
          </cell>
          <cell r="S984" t="str">
            <v/>
          </cell>
          <cell r="T984" t="str">
            <v>Franey, Hank</v>
          </cell>
          <cell r="U984" t="str">
            <v>Schimpff, Stephen</v>
          </cell>
          <cell r="V984" t="str">
            <v>Ashworth, John</v>
          </cell>
          <cell r="W984" t="str">
            <v>Inactive</v>
          </cell>
        </row>
        <row r="985">
          <cell r="A985" t="str">
            <v>0177329</v>
          </cell>
          <cell r="B985" t="str">
            <v xml:space="preserve">  Rad Peds Card Cath</v>
          </cell>
          <cell r="C985">
            <v>238</v>
          </cell>
          <cell r="E985" t="str">
            <v>D</v>
          </cell>
          <cell r="F985" t="str">
            <v xml:space="preserve"> </v>
          </cell>
          <cell r="G985" t="str">
            <v xml:space="preserve"> </v>
          </cell>
          <cell r="H985" t="str">
            <v>1INAC</v>
          </cell>
          <cell r="I985" t="str">
            <v>Zhang, Lingwei</v>
          </cell>
          <cell r="J985" t="str">
            <v>Walt Augustin</v>
          </cell>
          <cell r="L985" t="str">
            <v/>
          </cell>
          <cell r="M985" t="str">
            <v/>
          </cell>
          <cell r="N985" t="str">
            <v/>
          </cell>
          <cell r="O985" t="str">
            <v/>
          </cell>
          <cell r="P985" t="str">
            <v/>
          </cell>
          <cell r="Q985" t="str">
            <v/>
          </cell>
          <cell r="R985" t="str">
            <v>Augustin, W</v>
          </cell>
          <cell r="S985" t="str">
            <v/>
          </cell>
          <cell r="T985" t="str">
            <v>Franey, Hank</v>
          </cell>
          <cell r="U985" t="str">
            <v>Schimpff, Stephen</v>
          </cell>
          <cell r="V985" t="str">
            <v>Ashworth, John</v>
          </cell>
          <cell r="W985" t="str">
            <v>Inactive</v>
          </cell>
        </row>
        <row r="986">
          <cell r="A986" t="str">
            <v>0177600</v>
          </cell>
          <cell r="B986" t="str">
            <v xml:space="preserve">  Dermatology</v>
          </cell>
          <cell r="C986">
            <v>252</v>
          </cell>
          <cell r="E986" t="str">
            <v>D</v>
          </cell>
          <cell r="F986" t="str">
            <v xml:space="preserve"> </v>
          </cell>
          <cell r="G986" t="str">
            <v xml:space="preserve"> </v>
          </cell>
          <cell r="H986" t="str">
            <v>1INAC</v>
          </cell>
          <cell r="I986" t="str">
            <v>Zhang, Lingwei</v>
          </cell>
          <cell r="J986" t="str">
            <v>Walt Augustin</v>
          </cell>
          <cell r="L986" t="str">
            <v/>
          </cell>
          <cell r="M986" t="str">
            <v/>
          </cell>
          <cell r="N986" t="str">
            <v/>
          </cell>
          <cell r="O986" t="str">
            <v/>
          </cell>
          <cell r="P986" t="str">
            <v/>
          </cell>
          <cell r="Q986" t="str">
            <v/>
          </cell>
          <cell r="R986" t="str">
            <v>Augustin, W</v>
          </cell>
          <cell r="S986" t="str">
            <v/>
          </cell>
          <cell r="T986" t="str">
            <v>Franey, Hank</v>
          </cell>
          <cell r="U986" t="str">
            <v>Schimpff, Stephen</v>
          </cell>
          <cell r="V986" t="str">
            <v>Ashworth, John</v>
          </cell>
          <cell r="W986" t="str">
            <v>Inactive</v>
          </cell>
        </row>
        <row r="987">
          <cell r="A987" t="str">
            <v>0178608</v>
          </cell>
          <cell r="B987" t="str">
            <v xml:space="preserve">  Post Acute Services Administration</v>
          </cell>
          <cell r="C987">
            <v>292</v>
          </cell>
          <cell r="E987" t="str">
            <v>D</v>
          </cell>
          <cell r="F987" t="str">
            <v xml:space="preserve"> </v>
          </cell>
          <cell r="G987" t="str">
            <v xml:space="preserve"> </v>
          </cell>
          <cell r="H987" t="str">
            <v>1INAC</v>
          </cell>
          <cell r="I987" t="str">
            <v>Zhang, Lingwei</v>
          </cell>
          <cell r="J987" t="str">
            <v>Walt Augustin</v>
          </cell>
          <cell r="L987" t="str">
            <v/>
          </cell>
          <cell r="M987" t="str">
            <v/>
          </cell>
          <cell r="N987" t="str">
            <v/>
          </cell>
          <cell r="O987" t="str">
            <v/>
          </cell>
          <cell r="P987" t="str">
            <v/>
          </cell>
          <cell r="Q987" t="str">
            <v/>
          </cell>
          <cell r="R987" t="str">
            <v>Augustin, W</v>
          </cell>
          <cell r="S987" t="str">
            <v/>
          </cell>
          <cell r="T987" t="str">
            <v>Franey, Hank</v>
          </cell>
          <cell r="U987" t="str">
            <v>Schimpff, Stephen</v>
          </cell>
          <cell r="V987" t="str">
            <v>Ashworth, John</v>
          </cell>
          <cell r="W987" t="str">
            <v>Inactive</v>
          </cell>
        </row>
        <row r="988">
          <cell r="A988" t="str">
            <v>0178740</v>
          </cell>
          <cell r="B988" t="str">
            <v xml:space="preserve">  Administration </v>
          </cell>
          <cell r="C988">
            <v>313</v>
          </cell>
          <cell r="E988" t="str">
            <v>D</v>
          </cell>
          <cell r="F988" t="str">
            <v xml:space="preserve"> </v>
          </cell>
          <cell r="G988" t="str">
            <v xml:space="preserve"> </v>
          </cell>
          <cell r="H988" t="str">
            <v>1INAC</v>
          </cell>
          <cell r="I988" t="str">
            <v>Zhang, Lingwei</v>
          </cell>
          <cell r="J988" t="str">
            <v>Walt Augustin</v>
          </cell>
          <cell r="L988" t="str">
            <v/>
          </cell>
          <cell r="M988" t="str">
            <v/>
          </cell>
          <cell r="N988" t="str">
            <v/>
          </cell>
          <cell r="O988" t="str">
            <v/>
          </cell>
          <cell r="P988" t="str">
            <v/>
          </cell>
          <cell r="Q988" t="str">
            <v/>
          </cell>
          <cell r="R988" t="str">
            <v>Augustin, W</v>
          </cell>
          <cell r="S988" t="str">
            <v/>
          </cell>
          <cell r="T988" t="str">
            <v>Franey, Hank</v>
          </cell>
          <cell r="U988" t="str">
            <v>Schimpff, Stephen</v>
          </cell>
          <cell r="V988" t="str">
            <v>Ashworth, John</v>
          </cell>
          <cell r="W988" t="str">
            <v>Inactive</v>
          </cell>
        </row>
        <row r="989">
          <cell r="A989" t="str">
            <v>0178769</v>
          </cell>
          <cell r="B989" t="str">
            <v xml:space="preserve">  Perioperative Nursing Plan Reduction</v>
          </cell>
          <cell r="C989">
            <v>327</v>
          </cell>
          <cell r="E989" t="str">
            <v>D</v>
          </cell>
          <cell r="F989" t="str">
            <v xml:space="preserve"> </v>
          </cell>
          <cell r="G989" t="str">
            <v xml:space="preserve"> </v>
          </cell>
          <cell r="H989" t="str">
            <v>1INAC</v>
          </cell>
          <cell r="I989" t="str">
            <v>Zhang, Lingwei</v>
          </cell>
          <cell r="J989" t="str">
            <v>Walt Augustin</v>
          </cell>
          <cell r="L989" t="str">
            <v/>
          </cell>
          <cell r="M989" t="str">
            <v/>
          </cell>
          <cell r="N989" t="str">
            <v/>
          </cell>
          <cell r="O989" t="str">
            <v/>
          </cell>
          <cell r="P989" t="str">
            <v/>
          </cell>
          <cell r="Q989" t="str">
            <v/>
          </cell>
          <cell r="R989" t="str">
            <v>Augustin, W</v>
          </cell>
          <cell r="S989" t="str">
            <v/>
          </cell>
          <cell r="T989" t="str">
            <v>Franey, Hank</v>
          </cell>
          <cell r="U989" t="str">
            <v>Schimpff, Stephen</v>
          </cell>
          <cell r="V989" t="str">
            <v>Ashworth, John</v>
          </cell>
          <cell r="W989" t="str">
            <v>Inactive</v>
          </cell>
        </row>
        <row r="990">
          <cell r="A990" t="str">
            <v>0178770</v>
          </cell>
          <cell r="B990" t="str">
            <v xml:space="preserve">  Neuro Care Plan Reduction</v>
          </cell>
          <cell r="C990">
            <v>328</v>
          </cell>
          <cell r="E990" t="str">
            <v>D</v>
          </cell>
          <cell r="F990" t="str">
            <v xml:space="preserve"> </v>
          </cell>
          <cell r="G990" t="str">
            <v xml:space="preserve"> </v>
          </cell>
          <cell r="H990" t="str">
            <v>1INAC</v>
          </cell>
          <cell r="I990" t="str">
            <v>Zhang, Lingwei</v>
          </cell>
          <cell r="J990" t="str">
            <v>Walt Augustin</v>
          </cell>
          <cell r="L990" t="str">
            <v/>
          </cell>
          <cell r="M990" t="str">
            <v/>
          </cell>
          <cell r="N990" t="str">
            <v/>
          </cell>
          <cell r="O990" t="str">
            <v/>
          </cell>
          <cell r="P990" t="str">
            <v/>
          </cell>
          <cell r="Q990" t="str">
            <v/>
          </cell>
          <cell r="R990" t="str">
            <v>Augustin, W</v>
          </cell>
          <cell r="S990" t="str">
            <v/>
          </cell>
          <cell r="T990" t="str">
            <v>Franey, Hank</v>
          </cell>
          <cell r="U990" t="str">
            <v>Schimpff, Stephen</v>
          </cell>
          <cell r="V990" t="str">
            <v>Ashworth, John</v>
          </cell>
          <cell r="W990" t="str">
            <v>Inactive</v>
          </cell>
        </row>
        <row r="991">
          <cell r="A991" t="str">
            <v>0188414</v>
          </cell>
          <cell r="B991" t="str">
            <v xml:space="preserve">  FAC Building Systems</v>
          </cell>
          <cell r="C991">
            <v>354</v>
          </cell>
          <cell r="E991" t="str">
            <v>D</v>
          </cell>
          <cell r="F991" t="str">
            <v xml:space="preserve"> </v>
          </cell>
          <cell r="G991" t="str">
            <v xml:space="preserve"> </v>
          </cell>
          <cell r="H991" t="str">
            <v>1INAC</v>
          </cell>
          <cell r="I991" t="str">
            <v>Zhang, Lingwei</v>
          </cell>
          <cell r="J991" t="str">
            <v>Walt Augustin</v>
          </cell>
          <cell r="L991" t="str">
            <v/>
          </cell>
          <cell r="M991" t="str">
            <v/>
          </cell>
          <cell r="N991" t="str">
            <v/>
          </cell>
          <cell r="O991" t="str">
            <v/>
          </cell>
          <cell r="P991" t="str">
            <v/>
          </cell>
          <cell r="Q991" t="str">
            <v/>
          </cell>
          <cell r="R991" t="str">
            <v>Augustin, W</v>
          </cell>
          <cell r="S991" t="str">
            <v/>
          </cell>
          <cell r="T991" t="str">
            <v>Franey, Hank</v>
          </cell>
          <cell r="U991" t="str">
            <v>Schimpff, Stephen</v>
          </cell>
          <cell r="V991" t="str">
            <v>Ashworth, John</v>
          </cell>
          <cell r="W991" t="str">
            <v>Inactive</v>
          </cell>
        </row>
        <row r="992">
          <cell r="A992" t="str">
            <v>0188517</v>
          </cell>
          <cell r="B992" t="str">
            <v xml:space="preserve">  Finance Admin Adj</v>
          </cell>
          <cell r="C992">
            <v>417</v>
          </cell>
          <cell r="F992" t="str">
            <v xml:space="preserve"> </v>
          </cell>
          <cell r="G992" t="str">
            <v xml:space="preserve"> </v>
          </cell>
          <cell r="H992" t="str">
            <v>1INAC</v>
          </cell>
          <cell r="I992" t="str">
            <v>Zhang, Lingwei</v>
          </cell>
          <cell r="J992" t="str">
            <v>Walt Augustin</v>
          </cell>
          <cell r="L992" t="str">
            <v/>
          </cell>
          <cell r="M992" t="str">
            <v/>
          </cell>
          <cell r="N992" t="str">
            <v/>
          </cell>
          <cell r="O992" t="str">
            <v/>
          </cell>
          <cell r="P992" t="str">
            <v/>
          </cell>
          <cell r="Q992" t="str">
            <v/>
          </cell>
          <cell r="R992" t="str">
            <v>Augustin, W</v>
          </cell>
          <cell r="S992" t="str">
            <v/>
          </cell>
          <cell r="T992" t="str">
            <v>Franey, Hank</v>
          </cell>
          <cell r="U992" t="str">
            <v>Schimpff, Stephen</v>
          </cell>
          <cell r="V992" t="str">
            <v>Ashworth, John</v>
          </cell>
          <cell r="W992" t="str">
            <v>Inactive</v>
          </cell>
        </row>
        <row r="993">
          <cell r="A993" t="str">
            <v>0188519</v>
          </cell>
          <cell r="B993" t="str">
            <v xml:space="preserve">  Shipley's PT</v>
          </cell>
          <cell r="C993">
            <v>419</v>
          </cell>
          <cell r="E993" t="str">
            <v>D</v>
          </cell>
          <cell r="F993" t="str">
            <v xml:space="preserve"> </v>
          </cell>
          <cell r="G993" t="str">
            <v xml:space="preserve"> </v>
          </cell>
          <cell r="H993" t="str">
            <v>1INAC</v>
          </cell>
          <cell r="I993" t="str">
            <v>Zhang, Lingwei</v>
          </cell>
          <cell r="J993" t="str">
            <v>Walt Augustin</v>
          </cell>
          <cell r="L993" t="str">
            <v/>
          </cell>
          <cell r="M993" t="str">
            <v/>
          </cell>
          <cell r="N993" t="str">
            <v/>
          </cell>
          <cell r="O993" t="str">
            <v/>
          </cell>
          <cell r="P993" t="str">
            <v/>
          </cell>
          <cell r="Q993" t="str">
            <v/>
          </cell>
          <cell r="R993" t="str">
            <v>Augustin, W</v>
          </cell>
          <cell r="S993" t="str">
            <v/>
          </cell>
          <cell r="T993" t="str">
            <v>Franey, Hank</v>
          </cell>
          <cell r="U993" t="str">
            <v>Schimpff, Stephen</v>
          </cell>
          <cell r="V993" t="str">
            <v>Ashworth, John</v>
          </cell>
          <cell r="W993" t="str">
            <v>Inactive</v>
          </cell>
        </row>
        <row r="994">
          <cell r="A994" t="str">
            <v>0188531</v>
          </cell>
          <cell r="B994" t="str">
            <v xml:space="preserve">  Business Practices Management</v>
          </cell>
          <cell r="C994">
            <v>431</v>
          </cell>
          <cell r="E994" t="str">
            <v>D</v>
          </cell>
          <cell r="F994" t="str">
            <v xml:space="preserve"> </v>
          </cell>
          <cell r="G994" t="str">
            <v xml:space="preserve"> </v>
          </cell>
          <cell r="H994" t="str">
            <v>1INAC</v>
          </cell>
          <cell r="I994" t="str">
            <v>Zhang, Lingwei</v>
          </cell>
          <cell r="J994" t="str">
            <v>Walt Augustin</v>
          </cell>
          <cell r="L994" t="str">
            <v/>
          </cell>
          <cell r="M994" t="str">
            <v/>
          </cell>
          <cell r="N994" t="str">
            <v/>
          </cell>
          <cell r="O994" t="str">
            <v/>
          </cell>
          <cell r="P994" t="str">
            <v/>
          </cell>
          <cell r="Q994" t="str">
            <v/>
          </cell>
          <cell r="R994" t="str">
            <v>Augustin, W</v>
          </cell>
          <cell r="S994" t="str">
            <v/>
          </cell>
          <cell r="T994" t="str">
            <v>Franey, Hank</v>
          </cell>
          <cell r="U994" t="str">
            <v>Schimpff, Stephen</v>
          </cell>
          <cell r="V994" t="str">
            <v>Ashworth, John</v>
          </cell>
          <cell r="W994" t="str">
            <v>Inactive</v>
          </cell>
        </row>
        <row r="995">
          <cell r="A995" t="str">
            <v>0188601</v>
          </cell>
          <cell r="B995" t="str">
            <v xml:space="preserve">  Corporate Rehabilitation</v>
          </cell>
          <cell r="C995">
            <v>444</v>
          </cell>
          <cell r="E995" t="str">
            <v>D</v>
          </cell>
          <cell r="F995" t="str">
            <v xml:space="preserve"> </v>
          </cell>
          <cell r="G995" t="str">
            <v xml:space="preserve"> </v>
          </cell>
          <cell r="H995" t="str">
            <v>1INAC</v>
          </cell>
          <cell r="I995" t="str">
            <v>Zhang, Lingwei</v>
          </cell>
          <cell r="J995" t="str">
            <v>Walt Augustin</v>
          </cell>
          <cell r="L995" t="str">
            <v/>
          </cell>
          <cell r="M995" t="str">
            <v/>
          </cell>
          <cell r="N995" t="str">
            <v/>
          </cell>
          <cell r="O995" t="str">
            <v/>
          </cell>
          <cell r="P995" t="str">
            <v/>
          </cell>
          <cell r="Q995" t="str">
            <v/>
          </cell>
          <cell r="R995" t="str">
            <v>Augustin, W</v>
          </cell>
          <cell r="S995" t="str">
            <v/>
          </cell>
          <cell r="T995" t="str">
            <v>Franey, Hank</v>
          </cell>
          <cell r="U995" t="str">
            <v>Schimpff, Stephen</v>
          </cell>
          <cell r="V995" t="str">
            <v>Ashworth, John</v>
          </cell>
          <cell r="W995" t="str">
            <v>Inactive</v>
          </cell>
        </row>
        <row r="996">
          <cell r="A996" t="str">
            <v>0188602</v>
          </cell>
          <cell r="B996" t="str">
            <v xml:space="preserve">  PLNA Strategic Development</v>
          </cell>
          <cell r="C996">
            <v>445</v>
          </cell>
          <cell r="E996" t="str">
            <v>D</v>
          </cell>
          <cell r="F996" t="str">
            <v xml:space="preserve"> </v>
          </cell>
          <cell r="G996" t="str">
            <v xml:space="preserve"> </v>
          </cell>
          <cell r="H996" t="str">
            <v>1INAC</v>
          </cell>
          <cell r="I996" t="str">
            <v>Zhang, Lingwei</v>
          </cell>
          <cell r="J996" t="str">
            <v>Walt Augustin</v>
          </cell>
          <cell r="L996" t="str">
            <v/>
          </cell>
          <cell r="M996" t="str">
            <v/>
          </cell>
          <cell r="N996" t="str">
            <v/>
          </cell>
          <cell r="O996" t="str">
            <v/>
          </cell>
          <cell r="P996" t="str">
            <v/>
          </cell>
          <cell r="Q996" t="str">
            <v/>
          </cell>
          <cell r="R996" t="str">
            <v>Augustin, W</v>
          </cell>
          <cell r="S996" t="str">
            <v/>
          </cell>
          <cell r="T996" t="str">
            <v>Franey, Hank</v>
          </cell>
          <cell r="U996" t="str">
            <v>Schimpff, Stephen</v>
          </cell>
          <cell r="V996" t="str">
            <v>Ashworth, John</v>
          </cell>
          <cell r="W996" t="str">
            <v>Inactive</v>
          </cell>
        </row>
        <row r="997">
          <cell r="A997" t="str">
            <v>0188637</v>
          </cell>
          <cell r="B997" t="str">
            <v xml:space="preserve">  PHO Development</v>
          </cell>
          <cell r="C997">
            <v>472</v>
          </cell>
          <cell r="E997" t="str">
            <v>D</v>
          </cell>
          <cell r="F997" t="str">
            <v xml:space="preserve"> </v>
          </cell>
          <cell r="G997" t="str">
            <v xml:space="preserve"> </v>
          </cell>
          <cell r="H997" t="str">
            <v>1INAC</v>
          </cell>
          <cell r="I997" t="str">
            <v>Zhang, Lingwei</v>
          </cell>
          <cell r="J997" t="str">
            <v>Walt Augustin</v>
          </cell>
          <cell r="L997" t="str">
            <v/>
          </cell>
          <cell r="M997" t="str">
            <v/>
          </cell>
          <cell r="N997" t="str">
            <v/>
          </cell>
          <cell r="O997" t="str">
            <v/>
          </cell>
          <cell r="P997" t="str">
            <v/>
          </cell>
          <cell r="Q997" t="str">
            <v/>
          </cell>
          <cell r="R997" t="str">
            <v>Augustin, W</v>
          </cell>
          <cell r="S997" t="str">
            <v/>
          </cell>
          <cell r="T997" t="str">
            <v>Franey, Hank</v>
          </cell>
          <cell r="U997" t="str">
            <v>Schimpff, Stephen</v>
          </cell>
          <cell r="V997" t="str">
            <v>Ashworth, John</v>
          </cell>
          <cell r="W997" t="str">
            <v>Inactive</v>
          </cell>
        </row>
        <row r="998">
          <cell r="A998" t="str">
            <v>0188758</v>
          </cell>
          <cell r="B998" t="str">
            <v xml:space="preserve">  QPPD Recruitment</v>
          </cell>
          <cell r="C998">
            <v>502</v>
          </cell>
          <cell r="E998" t="str">
            <v>D</v>
          </cell>
          <cell r="F998" t="str">
            <v xml:space="preserve"> </v>
          </cell>
          <cell r="G998" t="str">
            <v xml:space="preserve"> </v>
          </cell>
          <cell r="H998" t="str">
            <v>1INAC</v>
          </cell>
          <cell r="I998" t="str">
            <v>Zhang, Lingwei</v>
          </cell>
          <cell r="J998" t="str">
            <v>Walt Augustin</v>
          </cell>
          <cell r="L998" t="str">
            <v/>
          </cell>
          <cell r="M998" t="str">
            <v/>
          </cell>
          <cell r="N998" t="str">
            <v/>
          </cell>
          <cell r="O998" t="str">
            <v/>
          </cell>
          <cell r="P998" t="str">
            <v/>
          </cell>
          <cell r="Q998" t="str">
            <v/>
          </cell>
          <cell r="R998" t="str">
            <v>Augustin, W</v>
          </cell>
          <cell r="S998" t="str">
            <v/>
          </cell>
          <cell r="T998" t="str">
            <v>Franey, Hank</v>
          </cell>
          <cell r="U998" t="str">
            <v>Schimpff, Stephen</v>
          </cell>
          <cell r="V998" t="str">
            <v>Ashworth, John</v>
          </cell>
          <cell r="W998" t="str">
            <v>Inactive</v>
          </cell>
        </row>
        <row r="999">
          <cell r="A999" t="str">
            <v>0199500</v>
          </cell>
          <cell r="B999" t="str">
            <v xml:space="preserve">  Univcare/Edmondson</v>
          </cell>
          <cell r="C999">
            <v>591</v>
          </cell>
          <cell r="E999" t="str">
            <v>D</v>
          </cell>
          <cell r="F999" t="str">
            <v xml:space="preserve"> </v>
          </cell>
          <cell r="G999" t="str">
            <v xml:space="preserve"> </v>
          </cell>
          <cell r="H999" t="str">
            <v>1INAC</v>
          </cell>
          <cell r="I999" t="str">
            <v>Zhang, Lingwei</v>
          </cell>
          <cell r="J999" t="str">
            <v>Walt Augustin</v>
          </cell>
          <cell r="L999" t="str">
            <v/>
          </cell>
          <cell r="M999" t="str">
            <v/>
          </cell>
          <cell r="N999" t="str">
            <v/>
          </cell>
          <cell r="O999" t="str">
            <v/>
          </cell>
          <cell r="P999" t="str">
            <v/>
          </cell>
          <cell r="Q999" t="str">
            <v/>
          </cell>
          <cell r="R999" t="str">
            <v>Augustin, W</v>
          </cell>
          <cell r="S999" t="str">
            <v/>
          </cell>
          <cell r="T999" t="str">
            <v>Franey, Hank</v>
          </cell>
          <cell r="U999" t="str">
            <v>Schimpff, Stephen</v>
          </cell>
          <cell r="V999" t="str">
            <v>Ashworth, John</v>
          </cell>
          <cell r="W999" t="str">
            <v>Inactive</v>
          </cell>
        </row>
        <row r="1000">
          <cell r="A1000" t="str">
            <v>0199520</v>
          </cell>
          <cell r="B1000" t="str">
            <v xml:space="preserve">  Univcare/Westside</v>
          </cell>
          <cell r="C1000">
            <v>592</v>
          </cell>
          <cell r="E1000" t="str">
            <v>D</v>
          </cell>
          <cell r="F1000" t="str">
            <v xml:space="preserve"> </v>
          </cell>
          <cell r="G1000" t="str">
            <v xml:space="preserve"> </v>
          </cell>
          <cell r="H1000" t="str">
            <v>1INAC</v>
          </cell>
          <cell r="I1000" t="str">
            <v>Zhang, Lingwei</v>
          </cell>
          <cell r="J1000" t="str">
            <v>Walt Augustin</v>
          </cell>
          <cell r="L1000" t="str">
            <v/>
          </cell>
          <cell r="M1000" t="str">
            <v/>
          </cell>
          <cell r="N1000" t="str">
            <v/>
          </cell>
          <cell r="O1000" t="str">
            <v/>
          </cell>
          <cell r="P1000" t="str">
            <v/>
          </cell>
          <cell r="Q1000" t="str">
            <v/>
          </cell>
          <cell r="R1000" t="str">
            <v>Augustin, W</v>
          </cell>
          <cell r="S1000" t="str">
            <v/>
          </cell>
          <cell r="T1000" t="str">
            <v>Franey, Hank</v>
          </cell>
          <cell r="U1000" t="str">
            <v>Schimpff, Stephen</v>
          </cell>
          <cell r="V1000" t="str">
            <v>Ashworth, John</v>
          </cell>
          <cell r="W1000" t="str">
            <v>Inactive</v>
          </cell>
        </row>
        <row r="1001">
          <cell r="A1001" t="str">
            <v>0199530</v>
          </cell>
          <cell r="B1001" t="str">
            <v xml:space="preserve">  Univcare/Waxter</v>
          </cell>
          <cell r="C1001">
            <v>593</v>
          </cell>
          <cell r="E1001" t="str">
            <v>D</v>
          </cell>
          <cell r="F1001" t="str">
            <v xml:space="preserve"> </v>
          </cell>
          <cell r="G1001" t="str">
            <v xml:space="preserve"> </v>
          </cell>
          <cell r="H1001" t="str">
            <v>1INAC</v>
          </cell>
          <cell r="I1001" t="str">
            <v>Zhang, Lingwei</v>
          </cell>
          <cell r="J1001" t="str">
            <v>Walt Augustin</v>
          </cell>
          <cell r="L1001" t="str">
            <v/>
          </cell>
          <cell r="M1001" t="str">
            <v/>
          </cell>
          <cell r="N1001" t="str">
            <v/>
          </cell>
          <cell r="O1001" t="str">
            <v/>
          </cell>
          <cell r="P1001" t="str">
            <v/>
          </cell>
          <cell r="Q1001" t="str">
            <v/>
          </cell>
          <cell r="R1001" t="str">
            <v>Augustin, W</v>
          </cell>
          <cell r="S1001" t="str">
            <v/>
          </cell>
          <cell r="T1001" t="str">
            <v>Franey, Hank</v>
          </cell>
          <cell r="U1001" t="str">
            <v>Schimpff, Stephen</v>
          </cell>
          <cell r="V1001" t="str">
            <v>Ashworth, John</v>
          </cell>
          <cell r="W1001" t="str">
            <v>Inactive</v>
          </cell>
        </row>
        <row r="1002">
          <cell r="A1002" t="str">
            <v>0199540</v>
          </cell>
          <cell r="B1002" t="str">
            <v xml:space="preserve">  Univcare/Administration</v>
          </cell>
          <cell r="C1002">
            <v>594</v>
          </cell>
          <cell r="E1002" t="str">
            <v>D</v>
          </cell>
          <cell r="F1002" t="str">
            <v xml:space="preserve"> </v>
          </cell>
          <cell r="G1002" t="str">
            <v xml:space="preserve"> </v>
          </cell>
          <cell r="H1002" t="str">
            <v>1INAC</v>
          </cell>
          <cell r="I1002" t="str">
            <v>Zhang, Lingwei</v>
          </cell>
          <cell r="J1002" t="str">
            <v>Walt Augustin</v>
          </cell>
          <cell r="L1002" t="str">
            <v/>
          </cell>
          <cell r="M1002" t="str">
            <v/>
          </cell>
          <cell r="N1002" t="str">
            <v/>
          </cell>
          <cell r="O1002" t="str">
            <v/>
          </cell>
          <cell r="P1002" t="str">
            <v/>
          </cell>
          <cell r="Q1002" t="str">
            <v/>
          </cell>
          <cell r="R1002" t="str">
            <v>Augustin, W</v>
          </cell>
          <cell r="S1002" t="str">
            <v/>
          </cell>
          <cell r="T1002" t="str">
            <v>Franey, Hank</v>
          </cell>
          <cell r="U1002" t="str">
            <v>Schimpff, Stephen</v>
          </cell>
          <cell r="V1002" t="str">
            <v>Ashworth, John</v>
          </cell>
          <cell r="W1002" t="str">
            <v>Inactive</v>
          </cell>
        </row>
        <row r="1003">
          <cell r="A1003" t="str">
            <v>0199550</v>
          </cell>
          <cell r="B1003" t="str">
            <v xml:space="preserve">  Univcare/Opengates</v>
          </cell>
          <cell r="C1003">
            <v>595</v>
          </cell>
          <cell r="E1003" t="str">
            <v>D</v>
          </cell>
          <cell r="F1003" t="str">
            <v xml:space="preserve"> </v>
          </cell>
          <cell r="G1003" t="str">
            <v xml:space="preserve"> </v>
          </cell>
          <cell r="H1003" t="str">
            <v>1INAC</v>
          </cell>
          <cell r="I1003" t="str">
            <v>Zhang, Lingwei</v>
          </cell>
          <cell r="J1003" t="str">
            <v>Walt Augustin</v>
          </cell>
          <cell r="L1003" t="str">
            <v/>
          </cell>
          <cell r="M1003" t="str">
            <v/>
          </cell>
          <cell r="N1003" t="str">
            <v/>
          </cell>
          <cell r="O1003" t="str">
            <v/>
          </cell>
          <cell r="P1003" t="str">
            <v/>
          </cell>
          <cell r="Q1003" t="str">
            <v/>
          </cell>
          <cell r="R1003" t="str">
            <v>Augustin, W</v>
          </cell>
          <cell r="S1003" t="str">
            <v/>
          </cell>
          <cell r="T1003" t="str">
            <v>Franey, Hank</v>
          </cell>
          <cell r="U1003" t="str">
            <v>Schimpff, Stephen</v>
          </cell>
          <cell r="V1003" t="str">
            <v>Ashworth, John</v>
          </cell>
          <cell r="W1003" t="str">
            <v>Inactive</v>
          </cell>
        </row>
        <row r="1004">
          <cell r="A1004" t="str">
            <v>0199570</v>
          </cell>
          <cell r="B1004" t="str">
            <v xml:space="preserve">  Univcare/Howard Park</v>
          </cell>
          <cell r="C1004">
            <v>596</v>
          </cell>
          <cell r="E1004" t="str">
            <v>D</v>
          </cell>
          <cell r="F1004" t="str">
            <v xml:space="preserve"> </v>
          </cell>
          <cell r="G1004" t="str">
            <v xml:space="preserve"> </v>
          </cell>
          <cell r="H1004" t="str">
            <v>1INAC</v>
          </cell>
          <cell r="I1004" t="str">
            <v>Zhang, Lingwei</v>
          </cell>
          <cell r="J1004" t="str">
            <v>Walt Augustin</v>
          </cell>
          <cell r="L1004" t="str">
            <v/>
          </cell>
          <cell r="M1004" t="str">
            <v/>
          </cell>
          <cell r="N1004" t="str">
            <v/>
          </cell>
          <cell r="O1004" t="str">
            <v/>
          </cell>
          <cell r="P1004" t="str">
            <v/>
          </cell>
          <cell r="Q1004" t="str">
            <v/>
          </cell>
          <cell r="R1004" t="str">
            <v>Augustin, W</v>
          </cell>
          <cell r="S1004" t="str">
            <v/>
          </cell>
          <cell r="T1004" t="str">
            <v>Franey, Hank</v>
          </cell>
          <cell r="U1004" t="str">
            <v>Schimpff, Stephen</v>
          </cell>
          <cell r="V1004" t="str">
            <v>Ashworth, John</v>
          </cell>
          <cell r="W1004" t="str">
            <v>Inactive</v>
          </cell>
        </row>
        <row r="1005">
          <cell r="A1005" t="str">
            <v>0199580</v>
          </cell>
          <cell r="B1005" t="str">
            <v xml:space="preserve">  Univcare/Shipleys</v>
          </cell>
          <cell r="C1005">
            <v>597</v>
          </cell>
          <cell r="E1005" t="str">
            <v>D</v>
          </cell>
          <cell r="F1005" t="str">
            <v xml:space="preserve"> </v>
          </cell>
          <cell r="G1005" t="str">
            <v xml:space="preserve"> </v>
          </cell>
          <cell r="H1005" t="str">
            <v>1INAC</v>
          </cell>
          <cell r="I1005" t="str">
            <v>Zhang, Lingwei</v>
          </cell>
          <cell r="J1005" t="str">
            <v>Walt Augustin</v>
          </cell>
          <cell r="L1005" t="str">
            <v/>
          </cell>
          <cell r="M1005" t="str">
            <v/>
          </cell>
          <cell r="N1005" t="str">
            <v/>
          </cell>
          <cell r="O1005" t="str">
            <v/>
          </cell>
          <cell r="P1005" t="str">
            <v/>
          </cell>
          <cell r="Q1005" t="str">
            <v/>
          </cell>
          <cell r="R1005" t="str">
            <v>Augustin, W</v>
          </cell>
          <cell r="S1005" t="str">
            <v/>
          </cell>
          <cell r="T1005" t="str">
            <v>Franey, Hank</v>
          </cell>
          <cell r="U1005" t="str">
            <v>Schimpff, Stephen</v>
          </cell>
          <cell r="V1005" t="str">
            <v>Ashworth, John</v>
          </cell>
          <cell r="W1005" t="str">
            <v>Inactive</v>
          </cell>
        </row>
        <row r="1006">
          <cell r="A1006" t="str">
            <v>0199898</v>
          </cell>
          <cell r="B1006" t="str">
            <v xml:space="preserve">  Error/Suspense</v>
          </cell>
          <cell r="C1006">
            <v>598</v>
          </cell>
          <cell r="E1006" t="str">
            <v>D</v>
          </cell>
          <cell r="F1006" t="str">
            <v xml:space="preserve"> </v>
          </cell>
          <cell r="G1006" t="str">
            <v xml:space="preserve"> </v>
          </cell>
          <cell r="H1006" t="str">
            <v>1INAC</v>
          </cell>
          <cell r="I1006" t="str">
            <v>Zhang, Lingwei</v>
          </cell>
          <cell r="J1006" t="str">
            <v>Walt Augustin</v>
          </cell>
          <cell r="L1006" t="str">
            <v/>
          </cell>
          <cell r="M1006" t="str">
            <v/>
          </cell>
          <cell r="N1006" t="str">
            <v/>
          </cell>
          <cell r="O1006" t="str">
            <v/>
          </cell>
          <cell r="P1006" t="str">
            <v/>
          </cell>
          <cell r="Q1006" t="str">
            <v/>
          </cell>
          <cell r="R1006" t="str">
            <v>Augustin, W</v>
          </cell>
          <cell r="S1006" t="str">
            <v/>
          </cell>
          <cell r="T1006" t="str">
            <v>Franey, Hank</v>
          </cell>
          <cell r="U1006" t="str">
            <v>Schimpff, Stephen</v>
          </cell>
          <cell r="V1006" t="str">
            <v>Ashworth, John</v>
          </cell>
          <cell r="W1006" t="str">
            <v>Inactive</v>
          </cell>
        </row>
        <row r="1007">
          <cell r="A1007" t="str">
            <v>0248302</v>
          </cell>
          <cell r="B1007" t="str">
            <v xml:space="preserve">  Inpatient Revenue</v>
          </cell>
          <cell r="C1007">
            <v>599</v>
          </cell>
          <cell r="E1007" t="str">
            <v>D</v>
          </cell>
          <cell r="F1007" t="str">
            <v xml:space="preserve"> </v>
          </cell>
          <cell r="G1007" t="str">
            <v xml:space="preserve"> </v>
          </cell>
          <cell r="H1007" t="str">
            <v>9SNF</v>
          </cell>
          <cell r="I1007" t="str">
            <v>Zhang, Lingwei</v>
          </cell>
          <cell r="J1007" t="str">
            <v>Walt Augustin</v>
          </cell>
          <cell r="L1007" t="str">
            <v/>
          </cell>
          <cell r="M1007" t="str">
            <v/>
          </cell>
          <cell r="N1007" t="str">
            <v/>
          </cell>
          <cell r="O1007" t="str">
            <v/>
          </cell>
          <cell r="P1007" t="str">
            <v/>
          </cell>
          <cell r="Q1007" t="str">
            <v/>
          </cell>
          <cell r="R1007" t="str">
            <v>Augustin, W</v>
          </cell>
          <cell r="S1007" t="str">
            <v/>
          </cell>
          <cell r="T1007" t="str">
            <v>Franey, Hank</v>
          </cell>
          <cell r="U1007" t="str">
            <v>Schimpff, Stephen</v>
          </cell>
          <cell r="V1007" t="str">
            <v>Ashworth, John</v>
          </cell>
          <cell r="W1007" t="str">
            <v>Inactive</v>
          </cell>
        </row>
        <row r="1008">
          <cell r="A1008" t="str">
            <v>0258304</v>
          </cell>
          <cell r="B1008" t="str">
            <v xml:space="preserve">  Contractuals</v>
          </cell>
          <cell r="C1008">
            <v>600</v>
          </cell>
          <cell r="E1008" t="str">
            <v>D</v>
          </cell>
          <cell r="F1008" t="str">
            <v xml:space="preserve"> </v>
          </cell>
          <cell r="G1008" t="str">
            <v xml:space="preserve"> </v>
          </cell>
          <cell r="H1008" t="str">
            <v>9SNF</v>
          </cell>
          <cell r="I1008" t="str">
            <v>Zhang, Lingwei</v>
          </cell>
          <cell r="J1008" t="str">
            <v>Walt Augustin</v>
          </cell>
          <cell r="L1008" t="str">
            <v/>
          </cell>
          <cell r="M1008" t="str">
            <v/>
          </cell>
          <cell r="N1008" t="str">
            <v/>
          </cell>
          <cell r="O1008" t="str">
            <v/>
          </cell>
          <cell r="P1008" t="str">
            <v/>
          </cell>
          <cell r="Q1008" t="str">
            <v/>
          </cell>
          <cell r="R1008" t="str">
            <v>Augustin, W</v>
          </cell>
          <cell r="S1008" t="str">
            <v/>
          </cell>
          <cell r="T1008" t="str">
            <v>Franey, Hank</v>
          </cell>
          <cell r="U1008" t="str">
            <v>Schimpff, Stephen</v>
          </cell>
          <cell r="V1008" t="str">
            <v>Ashworth, John</v>
          </cell>
          <cell r="W1008" t="str">
            <v>Inactive</v>
          </cell>
        </row>
        <row r="1009">
          <cell r="A1009" t="str">
            <v>0258306</v>
          </cell>
          <cell r="B1009" t="str">
            <v xml:space="preserve">  Other Revenue</v>
          </cell>
          <cell r="C1009">
            <v>601</v>
          </cell>
          <cell r="E1009" t="str">
            <v>D</v>
          </cell>
          <cell r="F1009" t="str">
            <v xml:space="preserve"> </v>
          </cell>
          <cell r="G1009" t="str">
            <v xml:space="preserve"> </v>
          </cell>
          <cell r="H1009" t="str">
            <v>9SNF</v>
          </cell>
          <cell r="I1009" t="str">
            <v>Zhang, Lingwei</v>
          </cell>
          <cell r="J1009" t="str">
            <v>Walt Augustin</v>
          </cell>
          <cell r="L1009" t="str">
            <v/>
          </cell>
          <cell r="M1009" t="str">
            <v/>
          </cell>
          <cell r="N1009" t="str">
            <v/>
          </cell>
          <cell r="O1009" t="str">
            <v/>
          </cell>
          <cell r="P1009" t="str">
            <v/>
          </cell>
          <cell r="Q1009" t="str">
            <v/>
          </cell>
          <cell r="R1009" t="str">
            <v>Augustin, W</v>
          </cell>
          <cell r="S1009" t="str">
            <v/>
          </cell>
          <cell r="T1009" t="str">
            <v>Franey, Hank</v>
          </cell>
          <cell r="U1009" t="str">
            <v>Schimpff, Stephen</v>
          </cell>
          <cell r="V1009" t="str">
            <v>Ashworth, John</v>
          </cell>
          <cell r="W1009" t="str">
            <v>Inactive</v>
          </cell>
        </row>
        <row r="1010">
          <cell r="A1010" t="str">
            <v>0258334</v>
          </cell>
          <cell r="B1010" t="str">
            <v xml:space="preserve">  Bad Debt</v>
          </cell>
          <cell r="C1010">
            <v>602</v>
          </cell>
          <cell r="E1010" t="str">
            <v>D</v>
          </cell>
          <cell r="F1010" t="str">
            <v xml:space="preserve"> </v>
          </cell>
          <cell r="G1010" t="str">
            <v xml:space="preserve"> </v>
          </cell>
          <cell r="H1010" t="str">
            <v>9SNF</v>
          </cell>
          <cell r="I1010" t="str">
            <v>Zhang, Lingwei</v>
          </cell>
          <cell r="J1010" t="str">
            <v>Walt Augustin</v>
          </cell>
          <cell r="L1010" t="str">
            <v/>
          </cell>
          <cell r="M1010" t="str">
            <v/>
          </cell>
          <cell r="N1010" t="str">
            <v/>
          </cell>
          <cell r="O1010" t="str">
            <v/>
          </cell>
          <cell r="P1010" t="str">
            <v/>
          </cell>
          <cell r="Q1010" t="str">
            <v/>
          </cell>
          <cell r="R1010" t="str">
            <v>Augustin, W</v>
          </cell>
          <cell r="S1010" t="str">
            <v/>
          </cell>
          <cell r="T1010" t="str">
            <v>Franey, Hank</v>
          </cell>
          <cell r="U1010" t="str">
            <v>Schimpff, Stephen</v>
          </cell>
          <cell r="V1010" t="str">
            <v>Ashworth, John</v>
          </cell>
          <cell r="W1010" t="str">
            <v>Inactive</v>
          </cell>
        </row>
        <row r="1011">
          <cell r="A1011" t="str">
            <v>0278320</v>
          </cell>
          <cell r="B1011" t="str">
            <v xml:space="preserve">  Nursing Care Services</v>
          </cell>
          <cell r="C1011">
            <v>603</v>
          </cell>
          <cell r="E1011" t="str">
            <v>D</v>
          </cell>
          <cell r="F1011" t="str">
            <v xml:space="preserve"> </v>
          </cell>
          <cell r="G1011" t="str">
            <v xml:space="preserve"> </v>
          </cell>
          <cell r="H1011" t="str">
            <v>9SNF</v>
          </cell>
          <cell r="I1011" t="str">
            <v>Zhang, Lingwei</v>
          </cell>
          <cell r="J1011" t="str">
            <v>Walt Augustin</v>
          </cell>
          <cell r="L1011" t="str">
            <v/>
          </cell>
          <cell r="M1011" t="str">
            <v/>
          </cell>
          <cell r="N1011" t="str">
            <v/>
          </cell>
          <cell r="O1011" t="str">
            <v/>
          </cell>
          <cell r="P1011" t="str">
            <v/>
          </cell>
          <cell r="Q1011" t="str">
            <v/>
          </cell>
          <cell r="R1011" t="str">
            <v>Augustin, W</v>
          </cell>
          <cell r="S1011" t="str">
            <v/>
          </cell>
          <cell r="T1011" t="str">
            <v>Franey, Hank</v>
          </cell>
          <cell r="U1011" t="str">
            <v>Schimpff, Stephen</v>
          </cell>
          <cell r="V1011" t="str">
            <v>Ashworth, John</v>
          </cell>
          <cell r="W1011" t="str">
            <v>Inactive</v>
          </cell>
        </row>
        <row r="1012">
          <cell r="A1012" t="str">
            <v>0278322</v>
          </cell>
          <cell r="B1012" t="str">
            <v xml:space="preserve">  Other Patient Care</v>
          </cell>
          <cell r="C1012">
            <v>604</v>
          </cell>
          <cell r="E1012" t="str">
            <v>D</v>
          </cell>
          <cell r="F1012" t="str">
            <v xml:space="preserve"> </v>
          </cell>
          <cell r="G1012" t="str">
            <v xml:space="preserve"> </v>
          </cell>
          <cell r="H1012" t="str">
            <v>9SNF</v>
          </cell>
          <cell r="I1012" t="str">
            <v>Zhang, Lingwei</v>
          </cell>
          <cell r="J1012" t="str">
            <v>Walt Augustin</v>
          </cell>
          <cell r="L1012" t="str">
            <v/>
          </cell>
          <cell r="M1012" t="str">
            <v/>
          </cell>
          <cell r="N1012" t="str">
            <v/>
          </cell>
          <cell r="O1012" t="str">
            <v/>
          </cell>
          <cell r="P1012" t="str">
            <v/>
          </cell>
          <cell r="Q1012" t="str">
            <v/>
          </cell>
          <cell r="R1012" t="str">
            <v>Augustin, W</v>
          </cell>
          <cell r="S1012" t="str">
            <v/>
          </cell>
          <cell r="T1012" t="str">
            <v>Franey, Hank</v>
          </cell>
          <cell r="U1012" t="str">
            <v>Schimpff, Stephen</v>
          </cell>
          <cell r="V1012" t="str">
            <v>Ashworth, John</v>
          </cell>
          <cell r="W1012" t="str">
            <v>Inactive</v>
          </cell>
        </row>
        <row r="1013">
          <cell r="A1013" t="str">
            <v>0278324</v>
          </cell>
          <cell r="B1013" t="str">
            <v xml:space="preserve">  Routine Services</v>
          </cell>
          <cell r="C1013">
            <v>605</v>
          </cell>
          <cell r="E1013" t="str">
            <v>D</v>
          </cell>
          <cell r="F1013" t="str">
            <v xml:space="preserve"> </v>
          </cell>
          <cell r="G1013" t="str">
            <v xml:space="preserve"> </v>
          </cell>
          <cell r="H1013" t="str">
            <v>9SNF</v>
          </cell>
          <cell r="I1013" t="str">
            <v>Zhang, Lingwei</v>
          </cell>
          <cell r="J1013" t="str">
            <v>Walt Augustin</v>
          </cell>
          <cell r="L1013" t="str">
            <v/>
          </cell>
          <cell r="M1013" t="str">
            <v/>
          </cell>
          <cell r="N1013" t="str">
            <v/>
          </cell>
          <cell r="O1013" t="str">
            <v/>
          </cell>
          <cell r="P1013" t="str">
            <v/>
          </cell>
          <cell r="Q1013" t="str">
            <v/>
          </cell>
          <cell r="R1013" t="str">
            <v>Augustin, W</v>
          </cell>
          <cell r="S1013" t="str">
            <v/>
          </cell>
          <cell r="T1013" t="str">
            <v>Franey, Hank</v>
          </cell>
          <cell r="U1013" t="str">
            <v>Schimpff, Stephen</v>
          </cell>
          <cell r="V1013" t="str">
            <v>Ashworth, John</v>
          </cell>
          <cell r="W1013" t="str">
            <v>Inactive</v>
          </cell>
        </row>
        <row r="1014">
          <cell r="A1014" t="str">
            <v>0278330</v>
          </cell>
          <cell r="B1014" t="str">
            <v xml:space="preserve">  Other Ancillary Cost</v>
          </cell>
          <cell r="C1014">
            <v>606</v>
          </cell>
          <cell r="E1014" t="str">
            <v>D</v>
          </cell>
          <cell r="F1014" t="str">
            <v xml:space="preserve"> </v>
          </cell>
          <cell r="G1014" t="str">
            <v xml:space="preserve"> </v>
          </cell>
          <cell r="H1014" t="str">
            <v>9SNF</v>
          </cell>
          <cell r="I1014" t="str">
            <v>Zhang, Lingwei</v>
          </cell>
          <cell r="J1014" t="str">
            <v>Walt Augustin</v>
          </cell>
          <cell r="L1014" t="str">
            <v/>
          </cell>
          <cell r="M1014" t="str">
            <v/>
          </cell>
          <cell r="N1014" t="str">
            <v/>
          </cell>
          <cell r="O1014" t="str">
            <v/>
          </cell>
          <cell r="P1014" t="str">
            <v/>
          </cell>
          <cell r="Q1014" t="str">
            <v/>
          </cell>
          <cell r="R1014" t="str">
            <v>Augustin, W</v>
          </cell>
          <cell r="S1014" t="str">
            <v/>
          </cell>
          <cell r="T1014" t="str">
            <v>Franey, Hank</v>
          </cell>
          <cell r="U1014" t="str">
            <v>Schimpff, Stephen</v>
          </cell>
          <cell r="V1014" t="str">
            <v>Ashworth, John</v>
          </cell>
          <cell r="W1014" t="str">
            <v>Inactive</v>
          </cell>
        </row>
        <row r="1015">
          <cell r="A1015" t="str">
            <v>0278332</v>
          </cell>
          <cell r="B1015" t="str">
            <v xml:space="preserve">  Medical Supplies &amp; Drugs</v>
          </cell>
          <cell r="C1015">
            <v>607</v>
          </cell>
          <cell r="E1015" t="str">
            <v>D</v>
          </cell>
          <cell r="F1015" t="str">
            <v xml:space="preserve"> </v>
          </cell>
          <cell r="G1015" t="str">
            <v xml:space="preserve"> </v>
          </cell>
          <cell r="H1015" t="str">
            <v>9SNF</v>
          </cell>
          <cell r="I1015" t="str">
            <v>Zhang, Lingwei</v>
          </cell>
          <cell r="J1015" t="str">
            <v>Walt Augustin</v>
          </cell>
          <cell r="L1015" t="str">
            <v/>
          </cell>
          <cell r="M1015" t="str">
            <v/>
          </cell>
          <cell r="N1015" t="str">
            <v/>
          </cell>
          <cell r="O1015" t="str">
            <v/>
          </cell>
          <cell r="P1015" t="str">
            <v/>
          </cell>
          <cell r="Q1015" t="str">
            <v/>
          </cell>
          <cell r="R1015" t="str">
            <v>Augustin, W</v>
          </cell>
          <cell r="S1015" t="str">
            <v/>
          </cell>
          <cell r="T1015" t="str">
            <v>Franey, Hank</v>
          </cell>
          <cell r="U1015" t="str">
            <v>Schimpff, Stephen</v>
          </cell>
          <cell r="V1015" t="str">
            <v>Ashworth, John</v>
          </cell>
          <cell r="W1015" t="str">
            <v>Inactive</v>
          </cell>
        </row>
        <row r="1016">
          <cell r="A1016" t="str">
            <v>0288326</v>
          </cell>
          <cell r="B1016" t="str">
            <v xml:space="preserve">  Administrative Services</v>
          </cell>
          <cell r="C1016">
            <v>608</v>
          </cell>
          <cell r="E1016" t="str">
            <v>D</v>
          </cell>
          <cell r="F1016" t="str">
            <v xml:space="preserve"> </v>
          </cell>
          <cell r="G1016" t="str">
            <v xml:space="preserve"> </v>
          </cell>
          <cell r="H1016" t="str">
            <v>9SNF</v>
          </cell>
          <cell r="I1016" t="str">
            <v>Zhang, Lingwei</v>
          </cell>
          <cell r="J1016" t="str">
            <v>Walt Augustin</v>
          </cell>
          <cell r="L1016" t="str">
            <v/>
          </cell>
          <cell r="M1016" t="str">
            <v/>
          </cell>
          <cell r="N1016" t="str">
            <v/>
          </cell>
          <cell r="O1016" t="str">
            <v/>
          </cell>
          <cell r="P1016" t="str">
            <v/>
          </cell>
          <cell r="Q1016" t="str">
            <v/>
          </cell>
          <cell r="R1016" t="str">
            <v>Augustin, W</v>
          </cell>
          <cell r="S1016" t="str">
            <v/>
          </cell>
          <cell r="T1016" t="str">
            <v>Franey, Hank</v>
          </cell>
          <cell r="U1016" t="str">
            <v>Schimpff, Stephen</v>
          </cell>
          <cell r="V1016" t="str">
            <v>Ashworth, John</v>
          </cell>
          <cell r="W1016" t="str">
            <v>Inactive</v>
          </cell>
        </row>
        <row r="1017">
          <cell r="A1017" t="str">
            <v>0288328</v>
          </cell>
          <cell r="B1017" t="str">
            <v xml:space="preserve">  Admin/Capital Costs</v>
          </cell>
          <cell r="C1017">
            <v>609</v>
          </cell>
          <cell r="E1017" t="str">
            <v>D</v>
          </cell>
          <cell r="F1017" t="str">
            <v xml:space="preserve"> </v>
          </cell>
          <cell r="G1017" t="str">
            <v xml:space="preserve"> </v>
          </cell>
          <cell r="H1017" t="str">
            <v>9SNF</v>
          </cell>
          <cell r="I1017" t="str">
            <v>Zhang, Lingwei</v>
          </cell>
          <cell r="J1017" t="str">
            <v>Walt Augustin</v>
          </cell>
          <cell r="L1017" t="str">
            <v/>
          </cell>
          <cell r="M1017" t="str">
            <v/>
          </cell>
          <cell r="N1017" t="str">
            <v/>
          </cell>
          <cell r="O1017" t="str">
            <v/>
          </cell>
          <cell r="P1017" t="str">
            <v/>
          </cell>
          <cell r="Q1017" t="str">
            <v/>
          </cell>
          <cell r="R1017" t="str">
            <v>Augustin, W</v>
          </cell>
          <cell r="S1017" t="str">
            <v/>
          </cell>
          <cell r="T1017" t="str">
            <v>Franey, Hank</v>
          </cell>
          <cell r="U1017" t="str">
            <v>Schimpff, Stephen</v>
          </cell>
          <cell r="V1017" t="str">
            <v>Ashworth, John</v>
          </cell>
          <cell r="W1017" t="str">
            <v>Inactive</v>
          </cell>
        </row>
        <row r="1018">
          <cell r="A1018" t="str">
            <v>0298308</v>
          </cell>
          <cell r="B1018" t="str">
            <v xml:space="preserve">  Non-Operating Revenue</v>
          </cell>
          <cell r="C1018">
            <v>610</v>
          </cell>
          <cell r="E1018" t="str">
            <v>D</v>
          </cell>
          <cell r="F1018" t="str">
            <v xml:space="preserve"> </v>
          </cell>
          <cell r="G1018" t="str">
            <v xml:space="preserve"> </v>
          </cell>
          <cell r="H1018" t="str">
            <v>9SNF</v>
          </cell>
          <cell r="I1018" t="str">
            <v>Zhang, Lingwei</v>
          </cell>
          <cell r="J1018" t="str">
            <v>Walt Augustin</v>
          </cell>
          <cell r="L1018" t="str">
            <v/>
          </cell>
          <cell r="M1018" t="str">
            <v/>
          </cell>
          <cell r="N1018" t="str">
            <v/>
          </cell>
          <cell r="O1018" t="str">
            <v/>
          </cell>
          <cell r="P1018" t="str">
            <v/>
          </cell>
          <cell r="Q1018" t="str">
            <v/>
          </cell>
          <cell r="R1018" t="str">
            <v>Augustin, W</v>
          </cell>
          <cell r="S1018" t="str">
            <v/>
          </cell>
          <cell r="T1018" t="str">
            <v>Franey, Hank</v>
          </cell>
          <cell r="U1018" t="str">
            <v>Schimpff, Stephen</v>
          </cell>
          <cell r="V1018" t="str">
            <v>Ashworth, John</v>
          </cell>
          <cell r="W1018" t="str">
            <v>Inactive</v>
          </cell>
        </row>
        <row r="1019">
          <cell r="A1019" t="str">
            <v>0298336</v>
          </cell>
          <cell r="B1019" t="str">
            <v xml:space="preserve">  Insurance</v>
          </cell>
          <cell r="C1019">
            <v>611</v>
          </cell>
          <cell r="E1019" t="str">
            <v>D</v>
          </cell>
          <cell r="F1019" t="str">
            <v xml:space="preserve"> </v>
          </cell>
          <cell r="G1019" t="str">
            <v xml:space="preserve"> </v>
          </cell>
          <cell r="H1019" t="str">
            <v>9SNF</v>
          </cell>
          <cell r="I1019" t="str">
            <v>Zhang, Lingwei</v>
          </cell>
          <cell r="J1019" t="str">
            <v>Walt Augustin</v>
          </cell>
          <cell r="L1019" t="str">
            <v/>
          </cell>
          <cell r="M1019" t="str">
            <v/>
          </cell>
          <cell r="N1019" t="str">
            <v/>
          </cell>
          <cell r="O1019" t="str">
            <v/>
          </cell>
          <cell r="P1019" t="str">
            <v/>
          </cell>
          <cell r="Q1019" t="str">
            <v/>
          </cell>
          <cell r="R1019" t="str">
            <v>Augustin, W</v>
          </cell>
          <cell r="S1019" t="str">
            <v/>
          </cell>
          <cell r="T1019" t="str">
            <v>Franey, Hank</v>
          </cell>
          <cell r="U1019" t="str">
            <v>Schimpff, Stephen</v>
          </cell>
          <cell r="V1019" t="str">
            <v>Ashworth, John</v>
          </cell>
          <cell r="W1019" t="str">
            <v>Inactive</v>
          </cell>
        </row>
        <row r="1020">
          <cell r="A1020" t="str">
            <v>0298338</v>
          </cell>
          <cell r="B1020" t="str">
            <v xml:space="preserve">  Depreciation</v>
          </cell>
          <cell r="C1020">
            <v>612</v>
          </cell>
          <cell r="E1020" t="str">
            <v>D</v>
          </cell>
          <cell r="F1020" t="str">
            <v xml:space="preserve"> </v>
          </cell>
          <cell r="G1020" t="str">
            <v xml:space="preserve"> </v>
          </cell>
          <cell r="H1020" t="str">
            <v>9SNF</v>
          </cell>
          <cell r="I1020" t="str">
            <v>Zhang, Lingwei</v>
          </cell>
          <cell r="J1020" t="str">
            <v>Walt Augustin</v>
          </cell>
          <cell r="L1020" t="str">
            <v/>
          </cell>
          <cell r="M1020" t="str">
            <v/>
          </cell>
          <cell r="N1020" t="str">
            <v/>
          </cell>
          <cell r="O1020" t="str">
            <v/>
          </cell>
          <cell r="P1020" t="str">
            <v/>
          </cell>
          <cell r="Q1020" t="str">
            <v/>
          </cell>
          <cell r="R1020" t="str">
            <v>Augustin, W</v>
          </cell>
          <cell r="S1020" t="str">
            <v/>
          </cell>
          <cell r="T1020" t="str">
            <v>Franey, Hank</v>
          </cell>
          <cell r="U1020" t="str">
            <v>Schimpff, Stephen</v>
          </cell>
          <cell r="V1020" t="str">
            <v>Ashworth, John</v>
          </cell>
          <cell r="W1020" t="str">
            <v>Inactive</v>
          </cell>
        </row>
        <row r="1021">
          <cell r="A1021" t="str">
            <v>0298340</v>
          </cell>
          <cell r="B1021" t="str">
            <v xml:space="preserve">  Interest Expense</v>
          </cell>
          <cell r="C1021">
            <v>613</v>
          </cell>
          <cell r="E1021" t="str">
            <v>D</v>
          </cell>
          <cell r="F1021" t="str">
            <v xml:space="preserve"> </v>
          </cell>
          <cell r="G1021" t="str">
            <v xml:space="preserve"> </v>
          </cell>
          <cell r="H1021" t="str">
            <v>9SNF</v>
          </cell>
          <cell r="I1021" t="str">
            <v>Zhang, Lingwei</v>
          </cell>
          <cell r="J1021" t="str">
            <v>Walt Augustin</v>
          </cell>
          <cell r="L1021" t="str">
            <v/>
          </cell>
          <cell r="M1021" t="str">
            <v/>
          </cell>
          <cell r="N1021" t="str">
            <v/>
          </cell>
          <cell r="O1021" t="str">
            <v/>
          </cell>
          <cell r="P1021" t="str">
            <v/>
          </cell>
          <cell r="Q1021" t="str">
            <v/>
          </cell>
          <cell r="R1021" t="str">
            <v>Augustin, W</v>
          </cell>
          <cell r="S1021" t="str">
            <v/>
          </cell>
          <cell r="T1021" t="str">
            <v>Franey, Hank</v>
          </cell>
          <cell r="U1021" t="str">
            <v>Schimpff, Stephen</v>
          </cell>
          <cell r="V1021" t="str">
            <v>Ashworth, John</v>
          </cell>
          <cell r="W1021" t="str">
            <v>Inactive</v>
          </cell>
        </row>
        <row r="1022">
          <cell r="A1022" t="str">
            <v>0298342</v>
          </cell>
          <cell r="B1022" t="str">
            <v xml:space="preserve">  Fringe Benefits</v>
          </cell>
          <cell r="C1022">
            <v>614</v>
          </cell>
          <cell r="E1022" t="str">
            <v>D</v>
          </cell>
          <cell r="F1022" t="str">
            <v xml:space="preserve"> </v>
          </cell>
          <cell r="G1022" t="str">
            <v xml:space="preserve"> </v>
          </cell>
          <cell r="H1022" t="str">
            <v>9SNF</v>
          </cell>
          <cell r="I1022" t="str">
            <v>Zhang, Lingwei</v>
          </cell>
          <cell r="J1022" t="str">
            <v>Walt Augustin</v>
          </cell>
          <cell r="L1022" t="str">
            <v/>
          </cell>
          <cell r="M1022" t="str">
            <v/>
          </cell>
          <cell r="N1022" t="str">
            <v/>
          </cell>
          <cell r="O1022" t="str">
            <v/>
          </cell>
          <cell r="P1022" t="str">
            <v/>
          </cell>
          <cell r="Q1022" t="str">
            <v/>
          </cell>
          <cell r="R1022" t="str">
            <v>Augustin, W</v>
          </cell>
          <cell r="S1022" t="str">
            <v/>
          </cell>
          <cell r="T1022" t="str">
            <v>Franey, Hank</v>
          </cell>
          <cell r="U1022" t="str">
            <v>Schimpff, Stephen</v>
          </cell>
          <cell r="V1022" t="str">
            <v>Ashworth, John</v>
          </cell>
          <cell r="W1022" t="str">
            <v>Inactive</v>
          </cell>
        </row>
      </sheetData>
      <sheetData sheetId="2">
        <row r="136">
          <cell r="A136" t="str">
            <v>0467361</v>
          </cell>
          <cell r="B136" t="str">
            <v xml:space="preserve">  Radiation Oncology</v>
          </cell>
          <cell r="C136">
            <v>630</v>
          </cell>
          <cell r="F136" t="str">
            <v xml:space="preserve"> </v>
          </cell>
          <cell r="G136" t="str">
            <v xml:space="preserve"> </v>
          </cell>
          <cell r="H136" t="str">
            <v>4INAC</v>
          </cell>
          <cell r="I136" t="str">
            <v>Zhang, Lingwei</v>
          </cell>
          <cell r="J136" t="str">
            <v>Walt Augustin</v>
          </cell>
          <cell r="K136" t="str">
            <v>B. Rayme</v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>Augustin, W</v>
          </cell>
          <cell r="S136" t="str">
            <v/>
          </cell>
          <cell r="T136" t="str">
            <v>Franey, Hank</v>
          </cell>
          <cell r="U136" t="str">
            <v>Schimpff, Stephen</v>
          </cell>
          <cell r="V136" t="str">
            <v>Ashworth, John</v>
          </cell>
          <cell r="W136" t="str">
            <v>Inactive</v>
          </cell>
        </row>
        <row r="137">
          <cell r="A137" t="str">
            <v>0476457</v>
          </cell>
          <cell r="B137" t="str">
            <v xml:space="preserve">  Patient Care Services</v>
          </cell>
          <cell r="C137">
            <v>641</v>
          </cell>
          <cell r="F137" t="str">
            <v xml:space="preserve"> </v>
          </cell>
          <cell r="G137" t="str">
            <v xml:space="preserve"> </v>
          </cell>
          <cell r="H137" t="str">
            <v>4INAC</v>
          </cell>
          <cell r="I137" t="str">
            <v>Zhang, Lingwei</v>
          </cell>
          <cell r="J137" t="str">
            <v>Walt Augustin</v>
          </cell>
          <cell r="K137" t="str">
            <v>B. Rayme</v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>Augustin, W</v>
          </cell>
          <cell r="S137" t="str">
            <v/>
          </cell>
          <cell r="T137" t="str">
            <v>Franey, Hank</v>
          </cell>
          <cell r="U137" t="str">
            <v>Schimpff, Stephen</v>
          </cell>
          <cell r="V137" t="str">
            <v>Ashworth, John</v>
          </cell>
          <cell r="W137" t="str">
            <v>Inactive</v>
          </cell>
        </row>
        <row r="138">
          <cell r="A138" t="str">
            <v>0476440</v>
          </cell>
          <cell r="B138" t="str">
            <v xml:space="preserve">  Outpatient Pharmacy</v>
          </cell>
          <cell r="C138">
            <v>631</v>
          </cell>
          <cell r="E138" t="str">
            <v>R</v>
          </cell>
          <cell r="F138" t="str">
            <v xml:space="preserve"> </v>
          </cell>
          <cell r="G138" t="str">
            <v xml:space="preserve"> </v>
          </cell>
          <cell r="H138" t="str">
            <v>4INAC</v>
          </cell>
          <cell r="I138" t="str">
            <v>Zhang, Lingwei</v>
          </cell>
          <cell r="J138" t="str">
            <v>Walt Augustin</v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>Augustin, W</v>
          </cell>
          <cell r="S138" t="str">
            <v/>
          </cell>
          <cell r="T138" t="str">
            <v>Franey, Hank</v>
          </cell>
          <cell r="U138" t="str">
            <v>Schimpff, Stephen</v>
          </cell>
          <cell r="V138" t="str">
            <v>Ashworth, John</v>
          </cell>
          <cell r="W138" t="str">
            <v>Inactive</v>
          </cell>
        </row>
        <row r="139">
          <cell r="A139" t="str">
            <v>0476480</v>
          </cell>
          <cell r="B139" t="str">
            <v xml:space="preserve">  Mobile Mammography</v>
          </cell>
          <cell r="C139">
            <v>649</v>
          </cell>
          <cell r="E139" t="str">
            <v>C</v>
          </cell>
          <cell r="F139" t="str">
            <v xml:space="preserve"> </v>
          </cell>
          <cell r="G139" t="str">
            <v xml:space="preserve"> </v>
          </cell>
          <cell r="H139" t="str">
            <v>4INAC</v>
          </cell>
          <cell r="I139" t="str">
            <v>Zhang, Lingwei</v>
          </cell>
          <cell r="J139" t="str">
            <v>Walt Augustin</v>
          </cell>
          <cell r="K139" t="str">
            <v>K. Franz</v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>Augustin, W</v>
          </cell>
          <cell r="S139" t="str">
            <v/>
          </cell>
          <cell r="T139" t="str">
            <v>Franey, Hank</v>
          </cell>
          <cell r="U139" t="str">
            <v>Schimpff, Stephen</v>
          </cell>
          <cell r="V139" t="str">
            <v>Ashworth, John</v>
          </cell>
          <cell r="W139" t="str">
            <v>Inactive</v>
          </cell>
        </row>
        <row r="140">
          <cell r="A140" t="str">
            <v>0478263</v>
          </cell>
          <cell r="B140" t="str">
            <v xml:space="preserve">  Residents</v>
          </cell>
          <cell r="C140">
            <v>651</v>
          </cell>
          <cell r="F140" t="str">
            <v xml:space="preserve"> </v>
          </cell>
          <cell r="G140" t="str">
            <v xml:space="preserve"> </v>
          </cell>
          <cell r="H140" t="str">
            <v>4INAC</v>
          </cell>
          <cell r="I140" t="str">
            <v>Naqvi, Mariam</v>
          </cell>
          <cell r="J140" t="str">
            <v>Walt Augustin</v>
          </cell>
          <cell r="L140" t="str">
            <v/>
          </cell>
          <cell r="M140" t="str">
            <v>Zanti, Laura</v>
          </cell>
          <cell r="N140" t="str">
            <v>Rorison, David</v>
          </cell>
          <cell r="O140" t="str">
            <v/>
          </cell>
          <cell r="P140" t="str">
            <v/>
          </cell>
          <cell r="Q140" t="str">
            <v/>
          </cell>
          <cell r="R140" t="str">
            <v>Augustin, W</v>
          </cell>
          <cell r="S140" t="str">
            <v/>
          </cell>
          <cell r="T140" t="str">
            <v>Franey, Hank</v>
          </cell>
          <cell r="U140" t="str">
            <v>Schimpff, Stephen</v>
          </cell>
          <cell r="V140" t="str">
            <v>Ashworth, John</v>
          </cell>
          <cell r="W140" t="str">
            <v>Inactive</v>
          </cell>
        </row>
      </sheetData>
      <sheetData sheetId="3">
        <row r="208">
          <cell r="A208" t="str">
            <v>0787838</v>
          </cell>
          <cell r="B208" t="str">
            <v xml:space="preserve">  Biomedia Services</v>
          </cell>
          <cell r="C208">
            <v>762</v>
          </cell>
          <cell r="E208" t="str">
            <v>C</v>
          </cell>
          <cell r="F208" t="str">
            <v xml:space="preserve"> </v>
          </cell>
          <cell r="G208" t="str">
            <v xml:space="preserve"> </v>
          </cell>
          <cell r="H208" t="str">
            <v>7INAC</v>
          </cell>
          <cell r="I208" t="str">
            <v>Zhang, Lingwei</v>
          </cell>
          <cell r="J208" t="str">
            <v>Walt Augustin</v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>Augustin, W</v>
          </cell>
          <cell r="S208" t="str">
            <v/>
          </cell>
          <cell r="T208" t="str">
            <v>Franey, Hank</v>
          </cell>
          <cell r="U208" t="str">
            <v>Schimpff, Stephen</v>
          </cell>
          <cell r="V208" t="str">
            <v>Ashworth, John</v>
          </cell>
          <cell r="W208" t="str">
            <v>Inactive</v>
          </cell>
        </row>
        <row r="209">
          <cell r="A209" t="str">
            <v>0787839</v>
          </cell>
          <cell r="B209" t="str">
            <v xml:space="preserve">  Editorial/Publication</v>
          </cell>
          <cell r="C209">
            <v>763</v>
          </cell>
          <cell r="E209" t="str">
            <v>C</v>
          </cell>
          <cell r="F209" t="str">
            <v xml:space="preserve"> </v>
          </cell>
          <cell r="G209" t="str">
            <v xml:space="preserve"> </v>
          </cell>
          <cell r="H209" t="str">
            <v>7INAC</v>
          </cell>
          <cell r="I209" t="str">
            <v>Zhang, Lingwei</v>
          </cell>
          <cell r="J209" t="str">
            <v>Walt Augustin</v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>Augustin, W</v>
          </cell>
          <cell r="S209" t="str">
            <v/>
          </cell>
          <cell r="T209" t="str">
            <v>Franey, Hank</v>
          </cell>
          <cell r="U209" t="str">
            <v>Schimpff, Stephen</v>
          </cell>
          <cell r="V209" t="str">
            <v>Ashworth, John</v>
          </cell>
          <cell r="W209" t="str">
            <v>Inactive</v>
          </cell>
        </row>
        <row r="210">
          <cell r="A210" t="str">
            <v>0767983</v>
          </cell>
          <cell r="B210" t="str">
            <v xml:space="preserve">  Operating Room Ancillaries</v>
          </cell>
          <cell r="C210">
            <v>730</v>
          </cell>
          <cell r="H210" t="str">
            <v>7INAC</v>
          </cell>
          <cell r="I210" t="str">
            <v>Zhang, Lingwei</v>
          </cell>
          <cell r="J210" t="str">
            <v>Walt Augustin</v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>Augustin, W</v>
          </cell>
          <cell r="S210" t="str">
            <v/>
          </cell>
          <cell r="T210" t="str">
            <v>Franey, Hank</v>
          </cell>
          <cell r="U210" t="str">
            <v>Schimpff, Stephen</v>
          </cell>
          <cell r="V210" t="str">
            <v>Ashworth, John</v>
          </cell>
          <cell r="W210" t="str">
            <v>Inactive</v>
          </cell>
        </row>
        <row r="211">
          <cell r="A211" t="str">
            <v>0787844</v>
          </cell>
          <cell r="B211" t="str">
            <v xml:space="preserve">  Evaluation</v>
          </cell>
          <cell r="C211">
            <v>765</v>
          </cell>
          <cell r="E211" t="str">
            <v>C</v>
          </cell>
          <cell r="F211" t="str">
            <v xml:space="preserve"> </v>
          </cell>
          <cell r="G211" t="str">
            <v xml:space="preserve"> </v>
          </cell>
          <cell r="H211" t="str">
            <v>7INAC</v>
          </cell>
          <cell r="I211" t="str">
            <v>Zhang, Lingwei</v>
          </cell>
          <cell r="J211" t="str">
            <v>Walt Augustin</v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>Augustin, W</v>
          </cell>
          <cell r="S211" t="str">
            <v/>
          </cell>
          <cell r="T211" t="str">
            <v>Franey, Hank</v>
          </cell>
          <cell r="U211" t="str">
            <v>Schimpff, Stephen</v>
          </cell>
          <cell r="V211" t="str">
            <v>Ashworth, John</v>
          </cell>
          <cell r="W211" t="str">
            <v>Inactive</v>
          </cell>
        </row>
        <row r="212">
          <cell r="A212" t="str">
            <v>0787890</v>
          </cell>
          <cell r="B212" t="str">
            <v xml:space="preserve">  Research</v>
          </cell>
          <cell r="C212">
            <v>767</v>
          </cell>
          <cell r="E212" t="str">
            <v>C</v>
          </cell>
          <cell r="F212" t="str">
            <v xml:space="preserve"> </v>
          </cell>
          <cell r="G212" t="str">
            <v xml:space="preserve"> </v>
          </cell>
          <cell r="H212" t="str">
            <v>7INAC</v>
          </cell>
          <cell r="I212" t="str">
            <v>Zhang, Lingwei</v>
          </cell>
          <cell r="J212" t="str">
            <v>Walt Augustin</v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>Augustin, W</v>
          </cell>
          <cell r="S212" t="str">
            <v/>
          </cell>
          <cell r="T212" t="str">
            <v>Franey, Hank</v>
          </cell>
          <cell r="U212" t="str">
            <v>Schimpff, Stephen</v>
          </cell>
          <cell r="V212" t="str">
            <v>Ashworth, John</v>
          </cell>
          <cell r="W212" t="str">
            <v>Inactive</v>
          </cell>
        </row>
      </sheetData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Input M"/>
      <sheetName val="Input TB"/>
      <sheetName val="Master Table"/>
      <sheetName val="Expense TB"/>
      <sheetName val="Revenue"/>
      <sheetName val="Volume"/>
      <sheetName val="Statistic (Js) Input"/>
      <sheetName val="RE Input"/>
      <sheetName val="P1 Input"/>
      <sheetName val="P3 Input"/>
      <sheetName val="P4 Input"/>
      <sheetName val="Don Service Exp"/>
      <sheetName val="ACS Input"/>
      <sheetName val="DP1 Input"/>
      <sheetName val="P2 Input"/>
      <sheetName val="E,F,UR Alloc"/>
      <sheetName val="PDA Input"/>
      <sheetName val="PY RO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V1"/>
      <sheetName val="V2"/>
      <sheetName val="V3"/>
      <sheetName val="V5"/>
      <sheetName val="DP"/>
      <sheetName val="UA"/>
      <sheetName val="P1"/>
      <sheetName val="P2"/>
      <sheetName val="P3"/>
      <sheetName val="P4"/>
      <sheetName val="P5"/>
      <sheetName val="CDs"/>
      <sheetName val="Es"/>
      <sheetName val="Fs"/>
      <sheetName val="OA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8"/>
      <sheetName val="E_I"/>
      <sheetName val="E_II"/>
      <sheetName val="E_III"/>
      <sheetName val="E_IV"/>
      <sheetName val="E_V"/>
      <sheetName val="E_VI"/>
      <sheetName val="E_VII"/>
      <sheetName val="E_VIII"/>
      <sheetName val="E_IX"/>
      <sheetName val="E_X"/>
      <sheetName val="M Comp1"/>
      <sheetName val="M Comp2"/>
      <sheetName val="TB Comp"/>
      <sheetName val="RR"/>
      <sheetName val="PY_M"/>
      <sheetName val="EC"/>
      <sheetName val="Instructions"/>
      <sheetName val="Rct"/>
      <sheetName val="Cvr"/>
      <sheetName val="Sig"/>
      <sheetName val="Sch"/>
      <sheetName val="cdefhpv"/>
      <sheetName val="rev5pda"/>
      <sheetName val="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Totals"/>
      <sheetName val="FY2011-2010 Comparison"/>
      <sheetName val="AAMC 11"/>
      <sheetName val="Atlantic General 11"/>
      <sheetName val="Bon Secours 11"/>
      <sheetName val="BWMC 11"/>
      <sheetName val="Calvert 11"/>
      <sheetName val="Carroll 11"/>
      <sheetName val="Chester River 11"/>
      <sheetName val="CIVISTA 11"/>
      <sheetName val="Doctors 11"/>
      <sheetName val="Dorchester 11"/>
      <sheetName val="Memorial Easton 11"/>
      <sheetName val="Franklin Square 11"/>
      <sheetName val="Frederick 11"/>
      <sheetName val="Ft Washington 11"/>
      <sheetName val="Garrett 11"/>
      <sheetName val="Good Samaritan 11"/>
      <sheetName val="GBMC 11"/>
      <sheetName val="Harbor 11"/>
      <sheetName val="Holy Cross 11"/>
      <sheetName val="HCGH 11"/>
      <sheetName val="JHH 11"/>
      <sheetName val="JHB 11"/>
      <sheetName val="Kernan 11"/>
      <sheetName val="Laurel 11"/>
      <sheetName val="MD General 11"/>
      <sheetName val="McCready 11"/>
      <sheetName val="Mercy 11"/>
      <sheetName val="Meritus 11"/>
      <sheetName val="Montgomery Gen 11"/>
      <sheetName val="Northwest 11"/>
      <sheetName val="Pen Gen 11"/>
      <sheetName val="Prince Georges 11"/>
      <sheetName val="Shady Grove 11"/>
      <sheetName val="Sinai 11"/>
      <sheetName val="Southern MD 11"/>
      <sheetName val="St Agnes 11"/>
      <sheetName val="St. Joes 11"/>
      <sheetName val="St. Marys 11"/>
      <sheetName val="Suburban 11"/>
      <sheetName val="Union Cecil 11"/>
      <sheetName val="Union Mem 11"/>
      <sheetName val="UMMC 11"/>
      <sheetName val="UCH - Harford Mem 11"/>
      <sheetName val="UCH -Upper Ches 11"/>
      <sheetName val="Wash Adventist 11"/>
      <sheetName val="WMHS 11"/>
    </sheetNames>
    <sheetDataSet>
      <sheetData sheetId="0"/>
      <sheetData sheetId="1"/>
      <sheetData sheetId="2">
        <row r="121">
          <cell r="F121">
            <v>439610000</v>
          </cell>
        </row>
      </sheetData>
      <sheetData sheetId="3">
        <row r="121">
          <cell r="F121">
            <v>88062865</v>
          </cell>
        </row>
      </sheetData>
      <sheetData sheetId="4">
        <row r="121">
          <cell r="F121">
            <v>135427187</v>
          </cell>
        </row>
      </sheetData>
      <sheetData sheetId="5">
        <row r="121">
          <cell r="F121">
            <v>319612000</v>
          </cell>
        </row>
      </sheetData>
      <sheetData sheetId="6">
        <row r="121">
          <cell r="F121">
            <v>115707400</v>
          </cell>
        </row>
      </sheetData>
      <sheetData sheetId="7">
        <row r="121">
          <cell r="F121">
            <v>188182000</v>
          </cell>
        </row>
      </sheetData>
      <sheetData sheetId="8">
        <row r="121">
          <cell r="F121">
            <v>55032000</v>
          </cell>
        </row>
      </sheetData>
      <sheetData sheetId="9">
        <row r="121">
          <cell r="F121">
            <v>102090948</v>
          </cell>
        </row>
      </sheetData>
      <sheetData sheetId="10">
        <row r="121">
          <cell r="F121">
            <v>194523558</v>
          </cell>
        </row>
      </sheetData>
      <sheetData sheetId="11">
        <row r="121">
          <cell r="F121">
            <v>41944946.561561666</v>
          </cell>
        </row>
      </sheetData>
      <sheetData sheetId="12">
        <row r="121">
          <cell r="F121">
            <v>140221608.23718029</v>
          </cell>
        </row>
      </sheetData>
      <sheetData sheetId="13">
        <row r="121">
          <cell r="F121">
            <v>410262600</v>
          </cell>
        </row>
      </sheetData>
      <sheetData sheetId="14">
        <row r="121">
          <cell r="F121">
            <v>332418000</v>
          </cell>
        </row>
      </sheetData>
      <sheetData sheetId="15">
        <row r="121">
          <cell r="F121">
            <v>40954995</v>
          </cell>
        </row>
      </sheetData>
      <sheetData sheetId="16">
        <row r="121">
          <cell r="F121">
            <v>35606008</v>
          </cell>
        </row>
      </sheetData>
      <sheetData sheetId="17">
        <row r="121">
          <cell r="F121">
            <v>300220500</v>
          </cell>
        </row>
      </sheetData>
      <sheetData sheetId="18">
        <row r="121">
          <cell r="F121">
            <v>392667399</v>
          </cell>
        </row>
      </sheetData>
      <sheetData sheetId="19">
        <row r="121">
          <cell r="F121">
            <v>183840500</v>
          </cell>
        </row>
      </sheetData>
      <sheetData sheetId="20">
        <row r="121">
          <cell r="F121">
            <v>389986549</v>
          </cell>
        </row>
      </sheetData>
      <sheetData sheetId="21">
        <row r="121">
          <cell r="F121">
            <v>226186000</v>
          </cell>
        </row>
      </sheetData>
      <sheetData sheetId="22">
        <row r="121">
          <cell r="F121">
            <v>1648599000</v>
          </cell>
        </row>
      </sheetData>
      <sheetData sheetId="23">
        <row r="121">
          <cell r="F121">
            <v>504690000</v>
          </cell>
        </row>
      </sheetData>
      <sheetData sheetId="24">
        <row r="121">
          <cell r="F121">
            <v>90594000</v>
          </cell>
        </row>
      </sheetData>
      <sheetData sheetId="25">
        <row r="121">
          <cell r="F121">
            <v>94179100</v>
          </cell>
        </row>
      </sheetData>
      <sheetData sheetId="26">
        <row r="121">
          <cell r="F121">
            <v>178038000</v>
          </cell>
        </row>
      </sheetData>
      <sheetData sheetId="27">
        <row r="121">
          <cell r="F121">
            <v>17313509</v>
          </cell>
        </row>
      </sheetData>
      <sheetData sheetId="28">
        <row r="121">
          <cell r="F121">
            <v>386361000</v>
          </cell>
        </row>
      </sheetData>
      <sheetData sheetId="29">
        <row r="121">
          <cell r="F121">
            <v>270510801</v>
          </cell>
        </row>
      </sheetData>
      <sheetData sheetId="30">
        <row r="121">
          <cell r="F121">
            <v>133009700</v>
          </cell>
        </row>
      </sheetData>
      <sheetData sheetId="31">
        <row r="121">
          <cell r="F121">
            <v>204008000</v>
          </cell>
        </row>
      </sheetData>
      <sheetData sheetId="32">
        <row r="121">
          <cell r="F121">
            <v>366862000</v>
          </cell>
        </row>
      </sheetData>
      <sheetData sheetId="33">
        <row r="121">
          <cell r="F121">
            <v>242965900</v>
          </cell>
        </row>
      </sheetData>
      <sheetData sheetId="34">
        <row r="121">
          <cell r="F121">
            <v>269589154.85699999</v>
          </cell>
        </row>
      </sheetData>
      <sheetData sheetId="35">
        <row r="121">
          <cell r="F121">
            <v>651313000</v>
          </cell>
        </row>
      </sheetData>
      <sheetData sheetId="36">
        <row r="121">
          <cell r="F121">
            <v>227132278</v>
          </cell>
        </row>
      </sheetData>
      <sheetData sheetId="37">
        <row r="121">
          <cell r="F121">
            <v>380659763</v>
          </cell>
        </row>
      </sheetData>
      <sheetData sheetId="38">
        <row r="121">
          <cell r="F121">
            <v>330327712</v>
          </cell>
        </row>
      </sheetData>
      <sheetData sheetId="39">
        <row r="121">
          <cell r="F121">
            <v>112047400</v>
          </cell>
        </row>
      </sheetData>
      <sheetData sheetId="40">
        <row r="121">
          <cell r="F121">
            <v>241360000</v>
          </cell>
        </row>
      </sheetData>
      <sheetData sheetId="41">
        <row r="121">
          <cell r="F121">
            <v>135590000</v>
          </cell>
        </row>
      </sheetData>
      <sheetData sheetId="42">
        <row r="121">
          <cell r="F121">
            <v>384090500</v>
          </cell>
        </row>
      </sheetData>
      <sheetData sheetId="43">
        <row r="121">
          <cell r="F121">
            <v>1249077000</v>
          </cell>
        </row>
      </sheetData>
      <sheetData sheetId="44">
        <row r="121">
          <cell r="F121">
            <v>88883000</v>
          </cell>
        </row>
      </sheetData>
      <sheetData sheetId="45">
        <row r="121">
          <cell r="F121">
            <v>194088000</v>
          </cell>
        </row>
      </sheetData>
      <sheetData sheetId="46">
        <row r="121">
          <cell r="F121">
            <v>211836413.13800001</v>
          </cell>
        </row>
      </sheetData>
      <sheetData sheetId="47">
        <row r="121">
          <cell r="F121">
            <v>293906377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"/>
      <sheetName val="Kasia Sweeney"/>
      <sheetName val="Tony Bladen"/>
      <sheetName val="Stephanie Cleveland"/>
      <sheetName val="Margaret Fowler"/>
      <sheetName val="Teresa Baran"/>
      <sheetName val="Bob McWhirt"/>
      <sheetName val="Heather Wright"/>
      <sheetName val="Holly Dooley"/>
      <sheetName val="Bobbi Vess"/>
      <sheetName val="Rev. Alice Thompson"/>
      <sheetName val="Outstanding Unrecorded benefits"/>
    </sheetNames>
    <sheetDataSet>
      <sheetData sheetId="0"/>
      <sheetData sheetId="1">
        <row r="120">
          <cell r="G120">
            <v>490</v>
          </cell>
          <cell r="H120">
            <v>985</v>
          </cell>
          <cell r="L120">
            <v>16637.681046156915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Tab 1)_Data Entry_Vol"/>
      <sheetName val="(Tab 2) Dept. Spons. Events"/>
      <sheetName val="(Tab 6) HSCRC_total By Category"/>
      <sheetName val="(Tab 4) Wellness Matters Publ"/>
      <sheetName val="Wellness Matters"/>
      <sheetName val="(Tab 5)Wellness MattersRecon"/>
      <sheetName val="Drop Down Choices"/>
      <sheetName val="Sheet1"/>
    </sheetNames>
    <sheetDataSet>
      <sheetData sheetId="0" refreshError="1"/>
      <sheetData sheetId="1" refreshError="1"/>
      <sheetData sheetId="2">
        <row r="7">
          <cell r="E7">
            <v>1021164</v>
          </cell>
        </row>
        <row r="11">
          <cell r="C11">
            <v>10856</v>
          </cell>
          <cell r="D11">
            <v>1035940</v>
          </cell>
          <cell r="E11">
            <v>1213143.1747359997</v>
          </cell>
          <cell r="H11">
            <v>323731</v>
          </cell>
        </row>
        <row r="12">
          <cell r="C12">
            <v>296</v>
          </cell>
          <cell r="D12">
            <v>1021</v>
          </cell>
          <cell r="E12">
            <v>15842.799712</v>
          </cell>
          <cell r="H12">
            <v>0</v>
          </cell>
        </row>
        <row r="13">
          <cell r="C13">
            <v>156</v>
          </cell>
          <cell r="D13">
            <v>291</v>
          </cell>
          <cell r="E13">
            <v>10372.091536000002</v>
          </cell>
          <cell r="H13">
            <v>4314</v>
          </cell>
        </row>
        <row r="15">
          <cell r="C15">
            <v>3195</v>
          </cell>
          <cell r="D15">
            <v>7101</v>
          </cell>
          <cell r="E15">
            <v>245447.33100800001</v>
          </cell>
          <cell r="H15">
            <v>109221</v>
          </cell>
        </row>
        <row r="16">
          <cell r="C16">
            <v>30</v>
          </cell>
          <cell r="D16">
            <v>59</v>
          </cell>
          <cell r="E16">
            <v>771.55727999999999</v>
          </cell>
          <cell r="H16">
            <v>0</v>
          </cell>
        </row>
        <row r="19">
          <cell r="C19">
            <v>47</v>
          </cell>
          <cell r="D19">
            <v>712</v>
          </cell>
          <cell r="E19">
            <v>256408</v>
          </cell>
          <cell r="F19">
            <v>98423.2165864743</v>
          </cell>
          <cell r="H19">
            <v>1618</v>
          </cell>
        </row>
        <row r="29">
          <cell r="H29">
            <v>0</v>
          </cell>
        </row>
        <row r="30">
          <cell r="C30">
            <v>2206</v>
          </cell>
          <cell r="D30">
            <v>0</v>
          </cell>
          <cell r="E30">
            <v>105941.12048000001</v>
          </cell>
        </row>
        <row r="31">
          <cell r="C31">
            <v>4799</v>
          </cell>
          <cell r="D31">
            <v>50</v>
          </cell>
          <cell r="E31">
            <v>190677.04031999997</v>
          </cell>
        </row>
        <row r="32">
          <cell r="C32">
            <v>104</v>
          </cell>
          <cell r="D32">
            <v>0</v>
          </cell>
          <cell r="E32">
            <v>486785.96064</v>
          </cell>
        </row>
        <row r="33">
          <cell r="C33">
            <v>300</v>
          </cell>
          <cell r="D33">
            <v>15000</v>
          </cell>
          <cell r="E33">
            <v>10323.7552</v>
          </cell>
        </row>
        <row r="37">
          <cell r="E37">
            <v>689219</v>
          </cell>
        </row>
        <row r="38">
          <cell r="E38">
            <v>1291924</v>
          </cell>
        </row>
        <row r="39">
          <cell r="E39">
            <v>200000</v>
          </cell>
        </row>
        <row r="40">
          <cell r="E40">
            <v>0</v>
          </cell>
        </row>
        <row r="41">
          <cell r="E41">
            <v>570495</v>
          </cell>
        </row>
        <row r="42">
          <cell r="E42">
            <v>1348710</v>
          </cell>
        </row>
        <row r="43">
          <cell r="E43">
            <v>789296</v>
          </cell>
        </row>
        <row r="44">
          <cell r="E44">
            <v>296580</v>
          </cell>
        </row>
        <row r="45">
          <cell r="E45">
            <v>832264</v>
          </cell>
        </row>
        <row r="46">
          <cell r="E46">
            <v>3337507</v>
          </cell>
        </row>
        <row r="48">
          <cell r="C48">
            <v>208</v>
          </cell>
          <cell r="D48">
            <v>9174</v>
          </cell>
          <cell r="E48">
            <v>5296</v>
          </cell>
          <cell r="H48">
            <v>0</v>
          </cell>
        </row>
        <row r="49">
          <cell r="C49">
            <v>0</v>
          </cell>
          <cell r="D49">
            <v>480</v>
          </cell>
          <cell r="E49">
            <v>24580</v>
          </cell>
          <cell r="H49">
            <v>0</v>
          </cell>
        </row>
        <row r="50">
          <cell r="C50">
            <v>2496</v>
          </cell>
          <cell r="D50">
            <v>2244</v>
          </cell>
          <cell r="E50">
            <v>332791</v>
          </cell>
          <cell r="H50">
            <v>0</v>
          </cell>
        </row>
        <row r="54">
          <cell r="C54">
            <v>0</v>
          </cell>
          <cell r="D54">
            <v>0</v>
          </cell>
          <cell r="E54">
            <v>136700</v>
          </cell>
          <cell r="H54">
            <v>0</v>
          </cell>
        </row>
        <row r="62">
          <cell r="C62">
            <v>147</v>
          </cell>
          <cell r="D62">
            <v>22142</v>
          </cell>
          <cell r="E62">
            <v>343960.12640000001</v>
          </cell>
          <cell r="H62">
            <v>0</v>
          </cell>
        </row>
        <row r="63">
          <cell r="H63">
            <v>0</v>
          </cell>
        </row>
        <row r="64">
          <cell r="C64">
            <v>565</v>
          </cell>
          <cell r="D64">
            <v>10925</v>
          </cell>
          <cell r="E64">
            <v>237410.87867999997</v>
          </cell>
          <cell r="H64">
            <v>0</v>
          </cell>
        </row>
        <row r="65">
          <cell r="C65">
            <v>0</v>
          </cell>
          <cell r="D65">
            <v>0</v>
          </cell>
          <cell r="E65">
            <v>250000</v>
          </cell>
          <cell r="F65">
            <v>46616.20791060492</v>
          </cell>
          <cell r="H65">
            <v>0</v>
          </cell>
        </row>
        <row r="69">
          <cell r="C69">
            <v>5</v>
          </cell>
          <cell r="D69">
            <v>300000</v>
          </cell>
          <cell r="E69">
            <v>100347.90496</v>
          </cell>
          <cell r="H69">
            <v>0</v>
          </cell>
        </row>
        <row r="70">
          <cell r="H70">
            <v>0</v>
          </cell>
        </row>
        <row r="71">
          <cell r="C71">
            <v>1222</v>
          </cell>
          <cell r="D71">
            <v>200</v>
          </cell>
          <cell r="E71">
            <v>93561.798655999999</v>
          </cell>
          <cell r="H71">
            <v>0</v>
          </cell>
        </row>
        <row r="72">
          <cell r="H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H73">
            <v>0</v>
          </cell>
        </row>
        <row r="74">
          <cell r="H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H75">
            <v>0</v>
          </cell>
        </row>
        <row r="76">
          <cell r="C76">
            <v>25</v>
          </cell>
          <cell r="D76">
            <v>125</v>
          </cell>
          <cell r="E76">
            <v>897.33342400000004</v>
          </cell>
          <cell r="H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H77">
            <v>0</v>
          </cell>
        </row>
        <row r="81">
          <cell r="C81">
            <v>1515</v>
          </cell>
          <cell r="D81">
            <v>0</v>
          </cell>
          <cell r="E81">
            <v>45000.739199999996</v>
          </cell>
          <cell r="H81">
            <v>0</v>
          </cell>
        </row>
        <row r="87">
          <cell r="C87">
            <v>6269194</v>
          </cell>
        </row>
        <row r="90">
          <cell r="C90">
            <v>0.67909927818890448</v>
          </cell>
        </row>
        <row r="93">
          <cell r="C93">
            <v>239637000</v>
          </cell>
        </row>
        <row r="94">
          <cell r="C94">
            <v>4295000</v>
          </cell>
        </row>
        <row r="97">
          <cell r="C97">
            <v>230182000</v>
          </cell>
        </row>
        <row r="99">
          <cell r="C99">
            <v>13750000</v>
          </cell>
        </row>
        <row r="101">
          <cell r="C101">
            <v>-15020000</v>
          </cell>
        </row>
        <row r="103">
          <cell r="C103">
            <v>-1270000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 vs 12 Analysis"/>
      <sheetName val="FY2012 HSCRC INVENTORY"/>
      <sheetName val="A40 CHS - Other"/>
      <sheetName val="B50 HPE - Other"/>
      <sheetName val="C91 MDHS - Other"/>
      <sheetName val="F90 CBA - Other"/>
      <sheetName val="FY2011 HSCRC Inventory"/>
      <sheetName val="10 vs 11 Analysis"/>
      <sheetName val="FY2012 Variance by CATEGORY"/>
      <sheetName val="FY2012 VarianceDetail by DEPT"/>
      <sheetName val="Unregulated Physician - Detail"/>
      <sheetName val="Unregulated Physician - Summary"/>
      <sheetName val="JHH and JHBMC Charity - Desiree"/>
      <sheetName val="FY2012 Indirect Cost"/>
      <sheetName val="JH Outpatient Pharmacies"/>
      <sheetName val="JHCP"/>
      <sheetName val="Med Assistance - Fran"/>
      <sheetName val="FY2012 Deficit Assessments"/>
      <sheetName val="FY2012 JHH Endowment Fund"/>
      <sheetName val="FY2012 JHM Sponsorships GG"/>
      <sheetName val="FY2012 Admin Fellows_Residents"/>
      <sheetName val="MD Regional Neonatal"/>
      <sheetName val="Fran_Marty Section B_Financi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0">
          <cell r="AV80">
            <v>10477919</v>
          </cell>
          <cell r="AW80">
            <v>14187</v>
          </cell>
          <cell r="AX80">
            <v>1073415.94</v>
          </cell>
          <cell r="AZ80">
            <v>176919</v>
          </cell>
        </row>
        <row r="105">
          <cell r="AV105">
            <v>2155</v>
          </cell>
          <cell r="AW105">
            <v>1174</v>
          </cell>
          <cell r="AX105">
            <v>113278.88</v>
          </cell>
          <cell r="AZ105">
            <v>2010</v>
          </cell>
        </row>
        <row r="106">
          <cell r="AV106">
            <v>6</v>
          </cell>
          <cell r="AW106">
            <v>24</v>
          </cell>
          <cell r="AX106">
            <v>695</v>
          </cell>
          <cell r="AZ106">
            <v>0</v>
          </cell>
        </row>
        <row r="115">
          <cell r="AV115">
            <v>17022</v>
          </cell>
          <cell r="AW115">
            <v>5447</v>
          </cell>
          <cell r="AX115">
            <v>499530.14000000007</v>
          </cell>
          <cell r="AZ115">
            <v>0</v>
          </cell>
        </row>
        <row r="124">
          <cell r="AV124">
            <v>532</v>
          </cell>
          <cell r="AW124">
            <v>384</v>
          </cell>
          <cell r="AX124">
            <v>14446</v>
          </cell>
          <cell r="AZ124">
            <v>0</v>
          </cell>
        </row>
        <row r="126">
          <cell r="AV126">
            <v>1154</v>
          </cell>
          <cell r="AW126">
            <v>259</v>
          </cell>
          <cell r="AX126">
            <v>22846.48</v>
          </cell>
          <cell r="AZ126">
            <v>0</v>
          </cell>
        </row>
        <row r="127">
          <cell r="AV127">
            <v>2684</v>
          </cell>
          <cell r="AW127">
            <v>14260</v>
          </cell>
          <cell r="AX127">
            <v>687735.18</v>
          </cell>
          <cell r="AZ127">
            <v>709765</v>
          </cell>
        </row>
        <row r="153">
          <cell r="AV153">
            <v>35980</v>
          </cell>
          <cell r="AW153">
            <v>34305</v>
          </cell>
          <cell r="AX153">
            <v>5159812.5200000005</v>
          </cell>
          <cell r="AZ153">
            <v>87867</v>
          </cell>
        </row>
        <row r="167">
          <cell r="AV167">
            <v>3420</v>
          </cell>
          <cell r="AW167">
            <v>2615</v>
          </cell>
          <cell r="AX167">
            <v>312544.16960000002</v>
          </cell>
          <cell r="AZ167">
            <v>0</v>
          </cell>
        </row>
        <row r="180">
          <cell r="AV180">
            <v>146</v>
          </cell>
          <cell r="AW180">
            <v>81474</v>
          </cell>
          <cell r="AX180">
            <v>2435818.98</v>
          </cell>
        </row>
        <row r="181">
          <cell r="AV181">
            <v>2938</v>
          </cell>
          <cell r="AW181">
            <v>6057</v>
          </cell>
          <cell r="AX181">
            <v>273818.96000000002</v>
          </cell>
          <cell r="AZ181">
            <v>272605</v>
          </cell>
        </row>
        <row r="182">
          <cell r="AV182">
            <v>4529</v>
          </cell>
          <cell r="AW182">
            <v>21588</v>
          </cell>
          <cell r="AX182">
            <v>575068.54</v>
          </cell>
          <cell r="AZ182">
            <v>0</v>
          </cell>
        </row>
        <row r="183">
          <cell r="AV183">
            <v>5995</v>
          </cell>
          <cell r="AW183">
            <v>7179</v>
          </cell>
          <cell r="AX183">
            <v>316610.56</v>
          </cell>
          <cell r="AZ183">
            <v>0</v>
          </cell>
        </row>
        <row r="184">
          <cell r="AV184">
            <v>1607</v>
          </cell>
          <cell r="AX184">
            <v>387069.76</v>
          </cell>
          <cell r="AZ184">
            <v>0</v>
          </cell>
        </row>
        <row r="185">
          <cell r="AV185">
            <v>1313</v>
          </cell>
          <cell r="AW185">
            <v>2140</v>
          </cell>
          <cell r="AX185">
            <v>42738.42</v>
          </cell>
          <cell r="AZ185">
            <v>0</v>
          </cell>
        </row>
        <row r="186">
          <cell r="AV186">
            <v>1221</v>
          </cell>
          <cell r="AW186">
            <v>4372</v>
          </cell>
          <cell r="AX186">
            <v>119235</v>
          </cell>
          <cell r="AZ186">
            <v>0</v>
          </cell>
        </row>
        <row r="187">
          <cell r="AV187">
            <v>1548</v>
          </cell>
          <cell r="AW187">
            <v>8025</v>
          </cell>
          <cell r="AX187">
            <v>225065</v>
          </cell>
          <cell r="AZ187">
            <v>0</v>
          </cell>
        </row>
        <row r="188">
          <cell r="AV188">
            <v>11241</v>
          </cell>
          <cell r="AW188">
            <v>1019</v>
          </cell>
          <cell r="AX188">
            <v>529621</v>
          </cell>
          <cell r="AZ188">
            <v>0</v>
          </cell>
        </row>
        <row r="189">
          <cell r="AV189">
            <v>819</v>
          </cell>
          <cell r="AW189">
            <v>341</v>
          </cell>
          <cell r="AX189">
            <v>54193</v>
          </cell>
          <cell r="AZ189">
            <v>0</v>
          </cell>
        </row>
        <row r="230">
          <cell r="AV230">
            <v>54143</v>
          </cell>
          <cell r="AW230">
            <v>122880.5</v>
          </cell>
          <cell r="AX230">
            <v>17555533.5</v>
          </cell>
          <cell r="AZ230">
            <v>544233</v>
          </cell>
        </row>
        <row r="231">
          <cell r="AV231">
            <v>0</v>
          </cell>
          <cell r="AW231">
            <v>0</v>
          </cell>
          <cell r="AX231">
            <v>75000</v>
          </cell>
          <cell r="AZ231">
            <v>0</v>
          </cell>
        </row>
        <row r="259">
          <cell r="AV259">
            <v>1667</v>
          </cell>
          <cell r="AW259">
            <v>685</v>
          </cell>
          <cell r="AX259">
            <v>832713.4800000001</v>
          </cell>
          <cell r="AZ259">
            <v>0</v>
          </cell>
        </row>
        <row r="273">
          <cell r="AV273">
            <v>2797</v>
          </cell>
          <cell r="AW273">
            <v>904</v>
          </cell>
          <cell r="AX273">
            <v>106908.56000000001</v>
          </cell>
          <cell r="AZ273">
            <v>1635</v>
          </cell>
        </row>
        <row r="274">
          <cell r="AV274">
            <v>0</v>
          </cell>
          <cell r="AW274">
            <v>402</v>
          </cell>
          <cell r="AX274">
            <v>112343</v>
          </cell>
          <cell r="AZ274">
            <v>0</v>
          </cell>
        </row>
        <row r="276">
          <cell r="AV276">
            <v>112</v>
          </cell>
          <cell r="AW276">
            <v>15</v>
          </cell>
          <cell r="AX276">
            <v>451363.3</v>
          </cell>
          <cell r="AY276">
            <v>0</v>
          </cell>
          <cell r="AZ276">
            <v>0</v>
          </cell>
        </row>
        <row r="280">
          <cell r="AV280">
            <v>72</v>
          </cell>
          <cell r="AW280">
            <v>468</v>
          </cell>
          <cell r="AX280">
            <v>290872.99</v>
          </cell>
          <cell r="AY280">
            <v>36921.201119999998</v>
          </cell>
          <cell r="AZ280">
            <v>0</v>
          </cell>
        </row>
        <row r="284">
          <cell r="AV284">
            <v>312</v>
          </cell>
          <cell r="AW284">
            <v>317</v>
          </cell>
          <cell r="AX284">
            <v>414902.26</v>
          </cell>
          <cell r="AY284">
            <v>126340.24367999999</v>
          </cell>
          <cell r="AZ284">
            <v>0</v>
          </cell>
        </row>
        <row r="289">
          <cell r="AV289">
            <v>3165</v>
          </cell>
          <cell r="AW289">
            <v>2112</v>
          </cell>
          <cell r="AX289">
            <v>112015.15000000001</v>
          </cell>
          <cell r="AY289">
            <v>23195.452799999999</v>
          </cell>
          <cell r="AZ289">
            <v>0</v>
          </cell>
        </row>
        <row r="291">
          <cell r="AV291">
            <v>0</v>
          </cell>
          <cell r="AW291">
            <v>0</v>
          </cell>
          <cell r="AX291">
            <v>44420.100000000006</v>
          </cell>
          <cell r="AY291">
            <v>0</v>
          </cell>
          <cell r="AZ291">
            <v>0</v>
          </cell>
        </row>
        <row r="294">
          <cell r="AV294">
            <v>0</v>
          </cell>
          <cell r="AW294">
            <v>0</v>
          </cell>
          <cell r="AX294">
            <v>197143.80000000002</v>
          </cell>
          <cell r="AY294">
            <v>0</v>
          </cell>
          <cell r="AZ294">
            <v>0</v>
          </cell>
        </row>
        <row r="297">
          <cell r="AV297">
            <v>0</v>
          </cell>
          <cell r="AW297">
            <v>0</v>
          </cell>
          <cell r="AX297">
            <v>299750.80000000005</v>
          </cell>
          <cell r="AY297">
            <v>68753.712</v>
          </cell>
          <cell r="AZ297">
            <v>0</v>
          </cell>
        </row>
        <row r="300">
          <cell r="AV300">
            <v>0</v>
          </cell>
          <cell r="AW300">
            <v>0</v>
          </cell>
          <cell r="AX300">
            <v>103164.80000000002</v>
          </cell>
          <cell r="AY300">
            <v>0</v>
          </cell>
          <cell r="AZ300">
            <v>0</v>
          </cell>
        </row>
        <row r="359">
          <cell r="AV359">
            <v>33991</v>
          </cell>
          <cell r="AW359">
            <v>15644</v>
          </cell>
          <cell r="AX359">
            <v>1125850.8640000001</v>
          </cell>
          <cell r="AZ359">
            <v>6575</v>
          </cell>
        </row>
        <row r="361">
          <cell r="AV361">
            <v>0</v>
          </cell>
          <cell r="AW361">
            <v>4810</v>
          </cell>
          <cell r="AX361">
            <v>311942.2</v>
          </cell>
          <cell r="AY361">
            <v>99617.361600000004</v>
          </cell>
          <cell r="AZ361">
            <v>0</v>
          </cell>
        </row>
        <row r="363">
          <cell r="AV363">
            <v>1802</v>
          </cell>
          <cell r="AW363">
            <v>584</v>
          </cell>
          <cell r="AX363">
            <v>55311.479999999996</v>
          </cell>
          <cell r="AZ363">
            <v>0</v>
          </cell>
        </row>
        <row r="364">
          <cell r="AV364">
            <v>0</v>
          </cell>
          <cell r="AW364">
            <v>0</v>
          </cell>
          <cell r="AX364">
            <v>83788.526399999973</v>
          </cell>
          <cell r="AZ364">
            <v>0</v>
          </cell>
        </row>
        <row r="365">
          <cell r="AX365">
            <v>49179773</v>
          </cell>
          <cell r="AY365">
            <v>0</v>
          </cell>
          <cell r="AZ365">
            <v>42054855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0">
          <cell r="F40">
            <v>1760512.0000000002</v>
          </cell>
          <cell r="G40">
            <v>846.40000000000009</v>
          </cell>
          <cell r="H40">
            <v>97729400</v>
          </cell>
          <cell r="J40">
            <v>0</v>
          </cell>
        </row>
        <row r="41">
          <cell r="F41">
            <v>35194</v>
          </cell>
          <cell r="G41">
            <v>311</v>
          </cell>
          <cell r="H41">
            <v>1785010</v>
          </cell>
          <cell r="J41">
            <v>0</v>
          </cell>
        </row>
        <row r="42">
          <cell r="F42">
            <v>68681.600000000006</v>
          </cell>
          <cell r="G42">
            <v>179</v>
          </cell>
          <cell r="H42">
            <v>2557455</v>
          </cell>
          <cell r="J42">
            <v>0</v>
          </cell>
        </row>
        <row r="43">
          <cell r="F43">
            <v>0</v>
          </cell>
          <cell r="G43">
            <v>0</v>
          </cell>
          <cell r="H43">
            <v>1728831</v>
          </cell>
          <cell r="J43">
            <v>0</v>
          </cell>
        </row>
        <row r="44">
          <cell r="J44">
            <v>0</v>
          </cell>
        </row>
        <row r="111">
          <cell r="F111">
            <v>32982000</v>
          </cell>
        </row>
        <row r="117">
          <cell r="F117">
            <v>1634266000</v>
          </cell>
        </row>
        <row r="118">
          <cell r="F118">
            <v>157633000</v>
          </cell>
        </row>
        <row r="121">
          <cell r="F121">
            <v>1725787000</v>
          </cell>
        </row>
        <row r="125">
          <cell r="F125">
            <v>-121513000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PATRICIA.TIHANSKY@DIMENSIONSHEALTH.ORG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reilly@aahs.org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mailto:PATRICIA.TIHANSKY@DIMENSIONSHEALTH.ORG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124"/>
  <sheetViews>
    <sheetView tabSelected="1" view="pageBreakPreview" zoomScaleNormal="100" zoomScaleSheetLayoutView="100" workbookViewId="0">
      <selection activeCell="L10" sqref="L10"/>
    </sheetView>
  </sheetViews>
  <sheetFormatPr defaultRowHeight="12.75"/>
  <cols>
    <col min="1" max="1" width="6.28515625" customWidth="1"/>
    <col min="2" max="2" width="4.42578125" customWidth="1"/>
    <col min="3" max="3" width="62.7109375" customWidth="1"/>
    <col min="4" max="5" width="18.7109375" hidden="1" customWidth="1"/>
    <col min="6" max="6" width="28.140625" customWidth="1"/>
    <col min="7" max="7" width="19.28515625" bestFit="1" customWidth="1"/>
    <col min="8" max="8" width="18" bestFit="1" customWidth="1"/>
    <col min="9" max="9" width="16.28515625" bestFit="1" customWidth="1"/>
    <col min="10" max="10" width="16.5703125" bestFit="1" customWidth="1"/>
    <col min="11" max="11" width="16.42578125" bestFit="1" customWidth="1"/>
    <col min="12" max="12" width="15.5703125" bestFit="1" customWidth="1"/>
    <col min="13" max="13" width="14.85546875" bestFit="1" customWidth="1"/>
    <col min="14" max="14" width="16" bestFit="1" customWidth="1"/>
    <col min="15" max="15" width="14.85546875" bestFit="1" customWidth="1"/>
    <col min="16" max="16" width="16" bestFit="1" customWidth="1"/>
    <col min="17" max="17" width="12.7109375" bestFit="1" customWidth="1"/>
    <col min="18" max="18" width="14.85546875" bestFit="1" customWidth="1"/>
    <col min="257" max="257" width="6.28515625" customWidth="1"/>
    <col min="258" max="258" width="4.42578125" customWidth="1"/>
    <col min="259" max="259" width="38.42578125" customWidth="1"/>
    <col min="260" max="261" width="0" hidden="1" customWidth="1"/>
    <col min="262" max="262" width="28.140625" customWidth="1"/>
    <col min="263" max="263" width="19.28515625" bestFit="1" customWidth="1"/>
    <col min="264" max="264" width="18" bestFit="1" customWidth="1"/>
    <col min="265" max="265" width="16.28515625" bestFit="1" customWidth="1"/>
    <col min="266" max="266" width="16.5703125" bestFit="1" customWidth="1"/>
    <col min="267" max="267" width="16.42578125" bestFit="1" customWidth="1"/>
    <col min="268" max="268" width="15.5703125" bestFit="1" customWidth="1"/>
    <col min="269" max="269" width="14.85546875" bestFit="1" customWidth="1"/>
    <col min="270" max="270" width="16" bestFit="1" customWidth="1"/>
    <col min="271" max="271" width="14.85546875" bestFit="1" customWidth="1"/>
    <col min="272" max="272" width="16" bestFit="1" customWidth="1"/>
    <col min="273" max="273" width="12.7109375" bestFit="1" customWidth="1"/>
    <col min="274" max="274" width="14.85546875" bestFit="1" customWidth="1"/>
    <col min="513" max="513" width="6.28515625" customWidth="1"/>
    <col min="514" max="514" width="4.42578125" customWidth="1"/>
    <col min="515" max="515" width="38.42578125" customWidth="1"/>
    <col min="516" max="517" width="0" hidden="1" customWidth="1"/>
    <col min="518" max="518" width="28.140625" customWidth="1"/>
    <col min="519" max="519" width="19.28515625" bestFit="1" customWidth="1"/>
    <col min="520" max="520" width="18" bestFit="1" customWidth="1"/>
    <col min="521" max="521" width="16.28515625" bestFit="1" customWidth="1"/>
    <col min="522" max="522" width="16.5703125" bestFit="1" customWidth="1"/>
    <col min="523" max="523" width="16.42578125" bestFit="1" customWidth="1"/>
    <col min="524" max="524" width="15.5703125" bestFit="1" customWidth="1"/>
    <col min="525" max="525" width="14.85546875" bestFit="1" customWidth="1"/>
    <col min="526" max="526" width="16" bestFit="1" customWidth="1"/>
    <col min="527" max="527" width="14.85546875" bestFit="1" customWidth="1"/>
    <col min="528" max="528" width="16" bestFit="1" customWidth="1"/>
    <col min="529" max="529" width="12.7109375" bestFit="1" customWidth="1"/>
    <col min="530" max="530" width="14.85546875" bestFit="1" customWidth="1"/>
    <col min="769" max="769" width="6.28515625" customWidth="1"/>
    <col min="770" max="770" width="4.42578125" customWidth="1"/>
    <col min="771" max="771" width="38.42578125" customWidth="1"/>
    <col min="772" max="773" width="0" hidden="1" customWidth="1"/>
    <col min="774" max="774" width="28.140625" customWidth="1"/>
    <col min="775" max="775" width="19.28515625" bestFit="1" customWidth="1"/>
    <col min="776" max="776" width="18" bestFit="1" customWidth="1"/>
    <col min="777" max="777" width="16.28515625" bestFit="1" customWidth="1"/>
    <col min="778" max="778" width="16.5703125" bestFit="1" customWidth="1"/>
    <col min="779" max="779" width="16.42578125" bestFit="1" customWidth="1"/>
    <col min="780" max="780" width="15.5703125" bestFit="1" customWidth="1"/>
    <col min="781" max="781" width="14.85546875" bestFit="1" customWidth="1"/>
    <col min="782" max="782" width="16" bestFit="1" customWidth="1"/>
    <col min="783" max="783" width="14.85546875" bestFit="1" customWidth="1"/>
    <col min="784" max="784" width="16" bestFit="1" customWidth="1"/>
    <col min="785" max="785" width="12.7109375" bestFit="1" customWidth="1"/>
    <col min="786" max="786" width="14.85546875" bestFit="1" customWidth="1"/>
    <col min="1025" max="1025" width="6.28515625" customWidth="1"/>
    <col min="1026" max="1026" width="4.42578125" customWidth="1"/>
    <col min="1027" max="1027" width="38.42578125" customWidth="1"/>
    <col min="1028" max="1029" width="0" hidden="1" customWidth="1"/>
    <col min="1030" max="1030" width="28.140625" customWidth="1"/>
    <col min="1031" max="1031" width="19.28515625" bestFit="1" customWidth="1"/>
    <col min="1032" max="1032" width="18" bestFit="1" customWidth="1"/>
    <col min="1033" max="1033" width="16.28515625" bestFit="1" customWidth="1"/>
    <col min="1034" max="1034" width="16.5703125" bestFit="1" customWidth="1"/>
    <col min="1035" max="1035" width="16.42578125" bestFit="1" customWidth="1"/>
    <col min="1036" max="1036" width="15.5703125" bestFit="1" customWidth="1"/>
    <col min="1037" max="1037" width="14.85546875" bestFit="1" customWidth="1"/>
    <col min="1038" max="1038" width="16" bestFit="1" customWidth="1"/>
    <col min="1039" max="1039" width="14.85546875" bestFit="1" customWidth="1"/>
    <col min="1040" max="1040" width="16" bestFit="1" customWidth="1"/>
    <col min="1041" max="1041" width="12.7109375" bestFit="1" customWidth="1"/>
    <col min="1042" max="1042" width="14.85546875" bestFit="1" customWidth="1"/>
    <col min="1281" max="1281" width="6.28515625" customWidth="1"/>
    <col min="1282" max="1282" width="4.42578125" customWidth="1"/>
    <col min="1283" max="1283" width="38.42578125" customWidth="1"/>
    <col min="1284" max="1285" width="0" hidden="1" customWidth="1"/>
    <col min="1286" max="1286" width="28.140625" customWidth="1"/>
    <col min="1287" max="1287" width="19.28515625" bestFit="1" customWidth="1"/>
    <col min="1288" max="1288" width="18" bestFit="1" customWidth="1"/>
    <col min="1289" max="1289" width="16.28515625" bestFit="1" customWidth="1"/>
    <col min="1290" max="1290" width="16.5703125" bestFit="1" customWidth="1"/>
    <col min="1291" max="1291" width="16.42578125" bestFit="1" customWidth="1"/>
    <col min="1292" max="1292" width="15.5703125" bestFit="1" customWidth="1"/>
    <col min="1293" max="1293" width="14.85546875" bestFit="1" customWidth="1"/>
    <col min="1294" max="1294" width="16" bestFit="1" customWidth="1"/>
    <col min="1295" max="1295" width="14.85546875" bestFit="1" customWidth="1"/>
    <col min="1296" max="1296" width="16" bestFit="1" customWidth="1"/>
    <col min="1297" max="1297" width="12.7109375" bestFit="1" customWidth="1"/>
    <col min="1298" max="1298" width="14.85546875" bestFit="1" customWidth="1"/>
    <col min="1537" max="1537" width="6.28515625" customWidth="1"/>
    <col min="1538" max="1538" width="4.42578125" customWidth="1"/>
    <col min="1539" max="1539" width="38.42578125" customWidth="1"/>
    <col min="1540" max="1541" width="0" hidden="1" customWidth="1"/>
    <col min="1542" max="1542" width="28.140625" customWidth="1"/>
    <col min="1543" max="1543" width="19.28515625" bestFit="1" customWidth="1"/>
    <col min="1544" max="1544" width="18" bestFit="1" customWidth="1"/>
    <col min="1545" max="1545" width="16.28515625" bestFit="1" customWidth="1"/>
    <col min="1546" max="1546" width="16.5703125" bestFit="1" customWidth="1"/>
    <col min="1547" max="1547" width="16.42578125" bestFit="1" customWidth="1"/>
    <col min="1548" max="1548" width="15.5703125" bestFit="1" customWidth="1"/>
    <col min="1549" max="1549" width="14.85546875" bestFit="1" customWidth="1"/>
    <col min="1550" max="1550" width="16" bestFit="1" customWidth="1"/>
    <col min="1551" max="1551" width="14.85546875" bestFit="1" customWidth="1"/>
    <col min="1552" max="1552" width="16" bestFit="1" customWidth="1"/>
    <col min="1553" max="1553" width="12.7109375" bestFit="1" customWidth="1"/>
    <col min="1554" max="1554" width="14.85546875" bestFit="1" customWidth="1"/>
    <col min="1793" max="1793" width="6.28515625" customWidth="1"/>
    <col min="1794" max="1794" width="4.42578125" customWidth="1"/>
    <col min="1795" max="1795" width="38.42578125" customWidth="1"/>
    <col min="1796" max="1797" width="0" hidden="1" customWidth="1"/>
    <col min="1798" max="1798" width="28.140625" customWidth="1"/>
    <col min="1799" max="1799" width="19.28515625" bestFit="1" customWidth="1"/>
    <col min="1800" max="1800" width="18" bestFit="1" customWidth="1"/>
    <col min="1801" max="1801" width="16.28515625" bestFit="1" customWidth="1"/>
    <col min="1802" max="1802" width="16.5703125" bestFit="1" customWidth="1"/>
    <col min="1803" max="1803" width="16.42578125" bestFit="1" customWidth="1"/>
    <col min="1804" max="1804" width="15.5703125" bestFit="1" customWidth="1"/>
    <col min="1805" max="1805" width="14.85546875" bestFit="1" customWidth="1"/>
    <col min="1806" max="1806" width="16" bestFit="1" customWidth="1"/>
    <col min="1807" max="1807" width="14.85546875" bestFit="1" customWidth="1"/>
    <col min="1808" max="1808" width="16" bestFit="1" customWidth="1"/>
    <col min="1809" max="1809" width="12.7109375" bestFit="1" customWidth="1"/>
    <col min="1810" max="1810" width="14.85546875" bestFit="1" customWidth="1"/>
    <col min="2049" max="2049" width="6.28515625" customWidth="1"/>
    <col min="2050" max="2050" width="4.42578125" customWidth="1"/>
    <col min="2051" max="2051" width="38.42578125" customWidth="1"/>
    <col min="2052" max="2053" width="0" hidden="1" customWidth="1"/>
    <col min="2054" max="2054" width="28.140625" customWidth="1"/>
    <col min="2055" max="2055" width="19.28515625" bestFit="1" customWidth="1"/>
    <col min="2056" max="2056" width="18" bestFit="1" customWidth="1"/>
    <col min="2057" max="2057" width="16.28515625" bestFit="1" customWidth="1"/>
    <col min="2058" max="2058" width="16.5703125" bestFit="1" customWidth="1"/>
    <col min="2059" max="2059" width="16.42578125" bestFit="1" customWidth="1"/>
    <col min="2060" max="2060" width="15.5703125" bestFit="1" customWidth="1"/>
    <col min="2061" max="2061" width="14.85546875" bestFit="1" customWidth="1"/>
    <col min="2062" max="2062" width="16" bestFit="1" customWidth="1"/>
    <col min="2063" max="2063" width="14.85546875" bestFit="1" customWidth="1"/>
    <col min="2064" max="2064" width="16" bestFit="1" customWidth="1"/>
    <col min="2065" max="2065" width="12.7109375" bestFit="1" customWidth="1"/>
    <col min="2066" max="2066" width="14.85546875" bestFit="1" customWidth="1"/>
    <col min="2305" max="2305" width="6.28515625" customWidth="1"/>
    <col min="2306" max="2306" width="4.42578125" customWidth="1"/>
    <col min="2307" max="2307" width="38.42578125" customWidth="1"/>
    <col min="2308" max="2309" width="0" hidden="1" customWidth="1"/>
    <col min="2310" max="2310" width="28.140625" customWidth="1"/>
    <col min="2311" max="2311" width="19.28515625" bestFit="1" customWidth="1"/>
    <col min="2312" max="2312" width="18" bestFit="1" customWidth="1"/>
    <col min="2313" max="2313" width="16.28515625" bestFit="1" customWidth="1"/>
    <col min="2314" max="2314" width="16.5703125" bestFit="1" customWidth="1"/>
    <col min="2315" max="2315" width="16.42578125" bestFit="1" customWidth="1"/>
    <col min="2316" max="2316" width="15.5703125" bestFit="1" customWidth="1"/>
    <col min="2317" max="2317" width="14.85546875" bestFit="1" customWidth="1"/>
    <col min="2318" max="2318" width="16" bestFit="1" customWidth="1"/>
    <col min="2319" max="2319" width="14.85546875" bestFit="1" customWidth="1"/>
    <col min="2320" max="2320" width="16" bestFit="1" customWidth="1"/>
    <col min="2321" max="2321" width="12.7109375" bestFit="1" customWidth="1"/>
    <col min="2322" max="2322" width="14.85546875" bestFit="1" customWidth="1"/>
    <col min="2561" max="2561" width="6.28515625" customWidth="1"/>
    <col min="2562" max="2562" width="4.42578125" customWidth="1"/>
    <col min="2563" max="2563" width="38.42578125" customWidth="1"/>
    <col min="2564" max="2565" width="0" hidden="1" customWidth="1"/>
    <col min="2566" max="2566" width="28.140625" customWidth="1"/>
    <col min="2567" max="2567" width="19.28515625" bestFit="1" customWidth="1"/>
    <col min="2568" max="2568" width="18" bestFit="1" customWidth="1"/>
    <col min="2569" max="2569" width="16.28515625" bestFit="1" customWidth="1"/>
    <col min="2570" max="2570" width="16.5703125" bestFit="1" customWidth="1"/>
    <col min="2571" max="2571" width="16.42578125" bestFit="1" customWidth="1"/>
    <col min="2572" max="2572" width="15.5703125" bestFit="1" customWidth="1"/>
    <col min="2573" max="2573" width="14.85546875" bestFit="1" customWidth="1"/>
    <col min="2574" max="2574" width="16" bestFit="1" customWidth="1"/>
    <col min="2575" max="2575" width="14.85546875" bestFit="1" customWidth="1"/>
    <col min="2576" max="2576" width="16" bestFit="1" customWidth="1"/>
    <col min="2577" max="2577" width="12.7109375" bestFit="1" customWidth="1"/>
    <col min="2578" max="2578" width="14.85546875" bestFit="1" customWidth="1"/>
    <col min="2817" max="2817" width="6.28515625" customWidth="1"/>
    <col min="2818" max="2818" width="4.42578125" customWidth="1"/>
    <col min="2819" max="2819" width="38.42578125" customWidth="1"/>
    <col min="2820" max="2821" width="0" hidden="1" customWidth="1"/>
    <col min="2822" max="2822" width="28.140625" customWidth="1"/>
    <col min="2823" max="2823" width="19.28515625" bestFit="1" customWidth="1"/>
    <col min="2824" max="2824" width="18" bestFit="1" customWidth="1"/>
    <col min="2825" max="2825" width="16.28515625" bestFit="1" customWidth="1"/>
    <col min="2826" max="2826" width="16.5703125" bestFit="1" customWidth="1"/>
    <col min="2827" max="2827" width="16.42578125" bestFit="1" customWidth="1"/>
    <col min="2828" max="2828" width="15.5703125" bestFit="1" customWidth="1"/>
    <col min="2829" max="2829" width="14.85546875" bestFit="1" customWidth="1"/>
    <col min="2830" max="2830" width="16" bestFit="1" customWidth="1"/>
    <col min="2831" max="2831" width="14.85546875" bestFit="1" customWidth="1"/>
    <col min="2832" max="2832" width="16" bestFit="1" customWidth="1"/>
    <col min="2833" max="2833" width="12.7109375" bestFit="1" customWidth="1"/>
    <col min="2834" max="2834" width="14.85546875" bestFit="1" customWidth="1"/>
    <col min="3073" max="3073" width="6.28515625" customWidth="1"/>
    <col min="3074" max="3074" width="4.42578125" customWidth="1"/>
    <col min="3075" max="3075" width="38.42578125" customWidth="1"/>
    <col min="3076" max="3077" width="0" hidden="1" customWidth="1"/>
    <col min="3078" max="3078" width="28.140625" customWidth="1"/>
    <col min="3079" max="3079" width="19.28515625" bestFit="1" customWidth="1"/>
    <col min="3080" max="3080" width="18" bestFit="1" customWidth="1"/>
    <col min="3081" max="3081" width="16.28515625" bestFit="1" customWidth="1"/>
    <col min="3082" max="3082" width="16.5703125" bestFit="1" customWidth="1"/>
    <col min="3083" max="3083" width="16.42578125" bestFit="1" customWidth="1"/>
    <col min="3084" max="3084" width="15.5703125" bestFit="1" customWidth="1"/>
    <col min="3085" max="3085" width="14.85546875" bestFit="1" customWidth="1"/>
    <col min="3086" max="3086" width="16" bestFit="1" customWidth="1"/>
    <col min="3087" max="3087" width="14.85546875" bestFit="1" customWidth="1"/>
    <col min="3088" max="3088" width="16" bestFit="1" customWidth="1"/>
    <col min="3089" max="3089" width="12.7109375" bestFit="1" customWidth="1"/>
    <col min="3090" max="3090" width="14.85546875" bestFit="1" customWidth="1"/>
    <col min="3329" max="3329" width="6.28515625" customWidth="1"/>
    <col min="3330" max="3330" width="4.42578125" customWidth="1"/>
    <col min="3331" max="3331" width="38.42578125" customWidth="1"/>
    <col min="3332" max="3333" width="0" hidden="1" customWidth="1"/>
    <col min="3334" max="3334" width="28.140625" customWidth="1"/>
    <col min="3335" max="3335" width="19.28515625" bestFit="1" customWidth="1"/>
    <col min="3336" max="3336" width="18" bestFit="1" customWidth="1"/>
    <col min="3337" max="3337" width="16.28515625" bestFit="1" customWidth="1"/>
    <col min="3338" max="3338" width="16.5703125" bestFit="1" customWidth="1"/>
    <col min="3339" max="3339" width="16.42578125" bestFit="1" customWidth="1"/>
    <col min="3340" max="3340" width="15.5703125" bestFit="1" customWidth="1"/>
    <col min="3341" max="3341" width="14.85546875" bestFit="1" customWidth="1"/>
    <col min="3342" max="3342" width="16" bestFit="1" customWidth="1"/>
    <col min="3343" max="3343" width="14.85546875" bestFit="1" customWidth="1"/>
    <col min="3344" max="3344" width="16" bestFit="1" customWidth="1"/>
    <col min="3345" max="3345" width="12.7109375" bestFit="1" customWidth="1"/>
    <col min="3346" max="3346" width="14.85546875" bestFit="1" customWidth="1"/>
    <col min="3585" max="3585" width="6.28515625" customWidth="1"/>
    <col min="3586" max="3586" width="4.42578125" customWidth="1"/>
    <col min="3587" max="3587" width="38.42578125" customWidth="1"/>
    <col min="3588" max="3589" width="0" hidden="1" customWidth="1"/>
    <col min="3590" max="3590" width="28.140625" customWidth="1"/>
    <col min="3591" max="3591" width="19.28515625" bestFit="1" customWidth="1"/>
    <col min="3592" max="3592" width="18" bestFit="1" customWidth="1"/>
    <col min="3593" max="3593" width="16.28515625" bestFit="1" customWidth="1"/>
    <col min="3594" max="3594" width="16.5703125" bestFit="1" customWidth="1"/>
    <col min="3595" max="3595" width="16.42578125" bestFit="1" customWidth="1"/>
    <col min="3596" max="3596" width="15.5703125" bestFit="1" customWidth="1"/>
    <col min="3597" max="3597" width="14.85546875" bestFit="1" customWidth="1"/>
    <col min="3598" max="3598" width="16" bestFit="1" customWidth="1"/>
    <col min="3599" max="3599" width="14.85546875" bestFit="1" customWidth="1"/>
    <col min="3600" max="3600" width="16" bestFit="1" customWidth="1"/>
    <col min="3601" max="3601" width="12.7109375" bestFit="1" customWidth="1"/>
    <col min="3602" max="3602" width="14.85546875" bestFit="1" customWidth="1"/>
    <col min="3841" max="3841" width="6.28515625" customWidth="1"/>
    <col min="3842" max="3842" width="4.42578125" customWidth="1"/>
    <col min="3843" max="3843" width="38.42578125" customWidth="1"/>
    <col min="3844" max="3845" width="0" hidden="1" customWidth="1"/>
    <col min="3846" max="3846" width="28.140625" customWidth="1"/>
    <col min="3847" max="3847" width="19.28515625" bestFit="1" customWidth="1"/>
    <col min="3848" max="3848" width="18" bestFit="1" customWidth="1"/>
    <col min="3849" max="3849" width="16.28515625" bestFit="1" customWidth="1"/>
    <col min="3850" max="3850" width="16.5703125" bestFit="1" customWidth="1"/>
    <col min="3851" max="3851" width="16.42578125" bestFit="1" customWidth="1"/>
    <col min="3852" max="3852" width="15.5703125" bestFit="1" customWidth="1"/>
    <col min="3853" max="3853" width="14.85546875" bestFit="1" customWidth="1"/>
    <col min="3854" max="3854" width="16" bestFit="1" customWidth="1"/>
    <col min="3855" max="3855" width="14.85546875" bestFit="1" customWidth="1"/>
    <col min="3856" max="3856" width="16" bestFit="1" customWidth="1"/>
    <col min="3857" max="3857" width="12.7109375" bestFit="1" customWidth="1"/>
    <col min="3858" max="3858" width="14.85546875" bestFit="1" customWidth="1"/>
    <col min="4097" max="4097" width="6.28515625" customWidth="1"/>
    <col min="4098" max="4098" width="4.42578125" customWidth="1"/>
    <col min="4099" max="4099" width="38.42578125" customWidth="1"/>
    <col min="4100" max="4101" width="0" hidden="1" customWidth="1"/>
    <col min="4102" max="4102" width="28.140625" customWidth="1"/>
    <col min="4103" max="4103" width="19.28515625" bestFit="1" customWidth="1"/>
    <col min="4104" max="4104" width="18" bestFit="1" customWidth="1"/>
    <col min="4105" max="4105" width="16.28515625" bestFit="1" customWidth="1"/>
    <col min="4106" max="4106" width="16.5703125" bestFit="1" customWidth="1"/>
    <col min="4107" max="4107" width="16.42578125" bestFit="1" customWidth="1"/>
    <col min="4108" max="4108" width="15.5703125" bestFit="1" customWidth="1"/>
    <col min="4109" max="4109" width="14.85546875" bestFit="1" customWidth="1"/>
    <col min="4110" max="4110" width="16" bestFit="1" customWidth="1"/>
    <col min="4111" max="4111" width="14.85546875" bestFit="1" customWidth="1"/>
    <col min="4112" max="4112" width="16" bestFit="1" customWidth="1"/>
    <col min="4113" max="4113" width="12.7109375" bestFit="1" customWidth="1"/>
    <col min="4114" max="4114" width="14.85546875" bestFit="1" customWidth="1"/>
    <col min="4353" max="4353" width="6.28515625" customWidth="1"/>
    <col min="4354" max="4354" width="4.42578125" customWidth="1"/>
    <col min="4355" max="4355" width="38.42578125" customWidth="1"/>
    <col min="4356" max="4357" width="0" hidden="1" customWidth="1"/>
    <col min="4358" max="4358" width="28.140625" customWidth="1"/>
    <col min="4359" max="4359" width="19.28515625" bestFit="1" customWidth="1"/>
    <col min="4360" max="4360" width="18" bestFit="1" customWidth="1"/>
    <col min="4361" max="4361" width="16.28515625" bestFit="1" customWidth="1"/>
    <col min="4362" max="4362" width="16.5703125" bestFit="1" customWidth="1"/>
    <col min="4363" max="4363" width="16.42578125" bestFit="1" customWidth="1"/>
    <col min="4364" max="4364" width="15.5703125" bestFit="1" customWidth="1"/>
    <col min="4365" max="4365" width="14.85546875" bestFit="1" customWidth="1"/>
    <col min="4366" max="4366" width="16" bestFit="1" customWidth="1"/>
    <col min="4367" max="4367" width="14.85546875" bestFit="1" customWidth="1"/>
    <col min="4368" max="4368" width="16" bestFit="1" customWidth="1"/>
    <col min="4369" max="4369" width="12.7109375" bestFit="1" customWidth="1"/>
    <col min="4370" max="4370" width="14.85546875" bestFit="1" customWidth="1"/>
    <col min="4609" max="4609" width="6.28515625" customWidth="1"/>
    <col min="4610" max="4610" width="4.42578125" customWidth="1"/>
    <col min="4611" max="4611" width="38.42578125" customWidth="1"/>
    <col min="4612" max="4613" width="0" hidden="1" customWidth="1"/>
    <col min="4614" max="4614" width="28.140625" customWidth="1"/>
    <col min="4615" max="4615" width="19.28515625" bestFit="1" customWidth="1"/>
    <col min="4616" max="4616" width="18" bestFit="1" customWidth="1"/>
    <col min="4617" max="4617" width="16.28515625" bestFit="1" customWidth="1"/>
    <col min="4618" max="4618" width="16.5703125" bestFit="1" customWidth="1"/>
    <col min="4619" max="4619" width="16.42578125" bestFit="1" customWidth="1"/>
    <col min="4620" max="4620" width="15.5703125" bestFit="1" customWidth="1"/>
    <col min="4621" max="4621" width="14.85546875" bestFit="1" customWidth="1"/>
    <col min="4622" max="4622" width="16" bestFit="1" customWidth="1"/>
    <col min="4623" max="4623" width="14.85546875" bestFit="1" customWidth="1"/>
    <col min="4624" max="4624" width="16" bestFit="1" customWidth="1"/>
    <col min="4625" max="4625" width="12.7109375" bestFit="1" customWidth="1"/>
    <col min="4626" max="4626" width="14.85546875" bestFit="1" customWidth="1"/>
    <col min="4865" max="4865" width="6.28515625" customWidth="1"/>
    <col min="4866" max="4866" width="4.42578125" customWidth="1"/>
    <col min="4867" max="4867" width="38.42578125" customWidth="1"/>
    <col min="4868" max="4869" width="0" hidden="1" customWidth="1"/>
    <col min="4870" max="4870" width="28.140625" customWidth="1"/>
    <col min="4871" max="4871" width="19.28515625" bestFit="1" customWidth="1"/>
    <col min="4872" max="4872" width="18" bestFit="1" customWidth="1"/>
    <col min="4873" max="4873" width="16.28515625" bestFit="1" customWidth="1"/>
    <col min="4874" max="4874" width="16.5703125" bestFit="1" customWidth="1"/>
    <col min="4875" max="4875" width="16.42578125" bestFit="1" customWidth="1"/>
    <col min="4876" max="4876" width="15.5703125" bestFit="1" customWidth="1"/>
    <col min="4877" max="4877" width="14.85546875" bestFit="1" customWidth="1"/>
    <col min="4878" max="4878" width="16" bestFit="1" customWidth="1"/>
    <col min="4879" max="4879" width="14.85546875" bestFit="1" customWidth="1"/>
    <col min="4880" max="4880" width="16" bestFit="1" customWidth="1"/>
    <col min="4881" max="4881" width="12.7109375" bestFit="1" customWidth="1"/>
    <col min="4882" max="4882" width="14.85546875" bestFit="1" customWidth="1"/>
    <col min="5121" max="5121" width="6.28515625" customWidth="1"/>
    <col min="5122" max="5122" width="4.42578125" customWidth="1"/>
    <col min="5123" max="5123" width="38.42578125" customWidth="1"/>
    <col min="5124" max="5125" width="0" hidden="1" customWidth="1"/>
    <col min="5126" max="5126" width="28.140625" customWidth="1"/>
    <col min="5127" max="5127" width="19.28515625" bestFit="1" customWidth="1"/>
    <col min="5128" max="5128" width="18" bestFit="1" customWidth="1"/>
    <col min="5129" max="5129" width="16.28515625" bestFit="1" customWidth="1"/>
    <col min="5130" max="5130" width="16.5703125" bestFit="1" customWidth="1"/>
    <col min="5131" max="5131" width="16.42578125" bestFit="1" customWidth="1"/>
    <col min="5132" max="5132" width="15.5703125" bestFit="1" customWidth="1"/>
    <col min="5133" max="5133" width="14.85546875" bestFit="1" customWidth="1"/>
    <col min="5134" max="5134" width="16" bestFit="1" customWidth="1"/>
    <col min="5135" max="5135" width="14.85546875" bestFit="1" customWidth="1"/>
    <col min="5136" max="5136" width="16" bestFit="1" customWidth="1"/>
    <col min="5137" max="5137" width="12.7109375" bestFit="1" customWidth="1"/>
    <col min="5138" max="5138" width="14.85546875" bestFit="1" customWidth="1"/>
    <col min="5377" max="5377" width="6.28515625" customWidth="1"/>
    <col min="5378" max="5378" width="4.42578125" customWidth="1"/>
    <col min="5379" max="5379" width="38.42578125" customWidth="1"/>
    <col min="5380" max="5381" width="0" hidden="1" customWidth="1"/>
    <col min="5382" max="5382" width="28.140625" customWidth="1"/>
    <col min="5383" max="5383" width="19.28515625" bestFit="1" customWidth="1"/>
    <col min="5384" max="5384" width="18" bestFit="1" customWidth="1"/>
    <col min="5385" max="5385" width="16.28515625" bestFit="1" customWidth="1"/>
    <col min="5386" max="5386" width="16.5703125" bestFit="1" customWidth="1"/>
    <col min="5387" max="5387" width="16.42578125" bestFit="1" customWidth="1"/>
    <col min="5388" max="5388" width="15.5703125" bestFit="1" customWidth="1"/>
    <col min="5389" max="5389" width="14.85546875" bestFit="1" customWidth="1"/>
    <col min="5390" max="5390" width="16" bestFit="1" customWidth="1"/>
    <col min="5391" max="5391" width="14.85546875" bestFit="1" customWidth="1"/>
    <col min="5392" max="5392" width="16" bestFit="1" customWidth="1"/>
    <col min="5393" max="5393" width="12.7109375" bestFit="1" customWidth="1"/>
    <col min="5394" max="5394" width="14.85546875" bestFit="1" customWidth="1"/>
    <col min="5633" max="5633" width="6.28515625" customWidth="1"/>
    <col min="5634" max="5634" width="4.42578125" customWidth="1"/>
    <col min="5635" max="5635" width="38.42578125" customWidth="1"/>
    <col min="5636" max="5637" width="0" hidden="1" customWidth="1"/>
    <col min="5638" max="5638" width="28.140625" customWidth="1"/>
    <col min="5639" max="5639" width="19.28515625" bestFit="1" customWidth="1"/>
    <col min="5640" max="5640" width="18" bestFit="1" customWidth="1"/>
    <col min="5641" max="5641" width="16.28515625" bestFit="1" customWidth="1"/>
    <col min="5642" max="5642" width="16.5703125" bestFit="1" customWidth="1"/>
    <col min="5643" max="5643" width="16.42578125" bestFit="1" customWidth="1"/>
    <col min="5644" max="5644" width="15.5703125" bestFit="1" customWidth="1"/>
    <col min="5645" max="5645" width="14.85546875" bestFit="1" customWidth="1"/>
    <col min="5646" max="5646" width="16" bestFit="1" customWidth="1"/>
    <col min="5647" max="5647" width="14.85546875" bestFit="1" customWidth="1"/>
    <col min="5648" max="5648" width="16" bestFit="1" customWidth="1"/>
    <col min="5649" max="5649" width="12.7109375" bestFit="1" customWidth="1"/>
    <col min="5650" max="5650" width="14.85546875" bestFit="1" customWidth="1"/>
    <col min="5889" max="5889" width="6.28515625" customWidth="1"/>
    <col min="5890" max="5890" width="4.42578125" customWidth="1"/>
    <col min="5891" max="5891" width="38.42578125" customWidth="1"/>
    <col min="5892" max="5893" width="0" hidden="1" customWidth="1"/>
    <col min="5894" max="5894" width="28.140625" customWidth="1"/>
    <col min="5895" max="5895" width="19.28515625" bestFit="1" customWidth="1"/>
    <col min="5896" max="5896" width="18" bestFit="1" customWidth="1"/>
    <col min="5897" max="5897" width="16.28515625" bestFit="1" customWidth="1"/>
    <col min="5898" max="5898" width="16.5703125" bestFit="1" customWidth="1"/>
    <col min="5899" max="5899" width="16.42578125" bestFit="1" customWidth="1"/>
    <col min="5900" max="5900" width="15.5703125" bestFit="1" customWidth="1"/>
    <col min="5901" max="5901" width="14.85546875" bestFit="1" customWidth="1"/>
    <col min="5902" max="5902" width="16" bestFit="1" customWidth="1"/>
    <col min="5903" max="5903" width="14.85546875" bestFit="1" customWidth="1"/>
    <col min="5904" max="5904" width="16" bestFit="1" customWidth="1"/>
    <col min="5905" max="5905" width="12.7109375" bestFit="1" customWidth="1"/>
    <col min="5906" max="5906" width="14.85546875" bestFit="1" customWidth="1"/>
    <col min="6145" max="6145" width="6.28515625" customWidth="1"/>
    <col min="6146" max="6146" width="4.42578125" customWidth="1"/>
    <col min="6147" max="6147" width="38.42578125" customWidth="1"/>
    <col min="6148" max="6149" width="0" hidden="1" customWidth="1"/>
    <col min="6150" max="6150" width="28.140625" customWidth="1"/>
    <col min="6151" max="6151" width="19.28515625" bestFit="1" customWidth="1"/>
    <col min="6152" max="6152" width="18" bestFit="1" customWidth="1"/>
    <col min="6153" max="6153" width="16.28515625" bestFit="1" customWidth="1"/>
    <col min="6154" max="6154" width="16.5703125" bestFit="1" customWidth="1"/>
    <col min="6155" max="6155" width="16.42578125" bestFit="1" customWidth="1"/>
    <col min="6156" max="6156" width="15.5703125" bestFit="1" customWidth="1"/>
    <col min="6157" max="6157" width="14.85546875" bestFit="1" customWidth="1"/>
    <col min="6158" max="6158" width="16" bestFit="1" customWidth="1"/>
    <col min="6159" max="6159" width="14.85546875" bestFit="1" customWidth="1"/>
    <col min="6160" max="6160" width="16" bestFit="1" customWidth="1"/>
    <col min="6161" max="6161" width="12.7109375" bestFit="1" customWidth="1"/>
    <col min="6162" max="6162" width="14.85546875" bestFit="1" customWidth="1"/>
    <col min="6401" max="6401" width="6.28515625" customWidth="1"/>
    <col min="6402" max="6402" width="4.42578125" customWidth="1"/>
    <col min="6403" max="6403" width="38.42578125" customWidth="1"/>
    <col min="6404" max="6405" width="0" hidden="1" customWidth="1"/>
    <col min="6406" max="6406" width="28.140625" customWidth="1"/>
    <col min="6407" max="6407" width="19.28515625" bestFit="1" customWidth="1"/>
    <col min="6408" max="6408" width="18" bestFit="1" customWidth="1"/>
    <col min="6409" max="6409" width="16.28515625" bestFit="1" customWidth="1"/>
    <col min="6410" max="6410" width="16.5703125" bestFit="1" customWidth="1"/>
    <col min="6411" max="6411" width="16.42578125" bestFit="1" customWidth="1"/>
    <col min="6412" max="6412" width="15.5703125" bestFit="1" customWidth="1"/>
    <col min="6413" max="6413" width="14.85546875" bestFit="1" customWidth="1"/>
    <col min="6414" max="6414" width="16" bestFit="1" customWidth="1"/>
    <col min="6415" max="6415" width="14.85546875" bestFit="1" customWidth="1"/>
    <col min="6416" max="6416" width="16" bestFit="1" customWidth="1"/>
    <col min="6417" max="6417" width="12.7109375" bestFit="1" customWidth="1"/>
    <col min="6418" max="6418" width="14.85546875" bestFit="1" customWidth="1"/>
    <col min="6657" max="6657" width="6.28515625" customWidth="1"/>
    <col min="6658" max="6658" width="4.42578125" customWidth="1"/>
    <col min="6659" max="6659" width="38.42578125" customWidth="1"/>
    <col min="6660" max="6661" width="0" hidden="1" customWidth="1"/>
    <col min="6662" max="6662" width="28.140625" customWidth="1"/>
    <col min="6663" max="6663" width="19.28515625" bestFit="1" customWidth="1"/>
    <col min="6664" max="6664" width="18" bestFit="1" customWidth="1"/>
    <col min="6665" max="6665" width="16.28515625" bestFit="1" customWidth="1"/>
    <col min="6666" max="6666" width="16.5703125" bestFit="1" customWidth="1"/>
    <col min="6667" max="6667" width="16.42578125" bestFit="1" customWidth="1"/>
    <col min="6668" max="6668" width="15.5703125" bestFit="1" customWidth="1"/>
    <col min="6669" max="6669" width="14.85546875" bestFit="1" customWidth="1"/>
    <col min="6670" max="6670" width="16" bestFit="1" customWidth="1"/>
    <col min="6671" max="6671" width="14.85546875" bestFit="1" customWidth="1"/>
    <col min="6672" max="6672" width="16" bestFit="1" customWidth="1"/>
    <col min="6673" max="6673" width="12.7109375" bestFit="1" customWidth="1"/>
    <col min="6674" max="6674" width="14.85546875" bestFit="1" customWidth="1"/>
    <col min="6913" max="6913" width="6.28515625" customWidth="1"/>
    <col min="6914" max="6914" width="4.42578125" customWidth="1"/>
    <col min="6915" max="6915" width="38.42578125" customWidth="1"/>
    <col min="6916" max="6917" width="0" hidden="1" customWidth="1"/>
    <col min="6918" max="6918" width="28.140625" customWidth="1"/>
    <col min="6919" max="6919" width="19.28515625" bestFit="1" customWidth="1"/>
    <col min="6920" max="6920" width="18" bestFit="1" customWidth="1"/>
    <col min="6921" max="6921" width="16.28515625" bestFit="1" customWidth="1"/>
    <col min="6922" max="6922" width="16.5703125" bestFit="1" customWidth="1"/>
    <col min="6923" max="6923" width="16.42578125" bestFit="1" customWidth="1"/>
    <col min="6924" max="6924" width="15.5703125" bestFit="1" customWidth="1"/>
    <col min="6925" max="6925" width="14.85546875" bestFit="1" customWidth="1"/>
    <col min="6926" max="6926" width="16" bestFit="1" customWidth="1"/>
    <col min="6927" max="6927" width="14.85546875" bestFit="1" customWidth="1"/>
    <col min="6928" max="6928" width="16" bestFit="1" customWidth="1"/>
    <col min="6929" max="6929" width="12.7109375" bestFit="1" customWidth="1"/>
    <col min="6930" max="6930" width="14.85546875" bestFit="1" customWidth="1"/>
    <col min="7169" max="7169" width="6.28515625" customWidth="1"/>
    <col min="7170" max="7170" width="4.42578125" customWidth="1"/>
    <col min="7171" max="7171" width="38.42578125" customWidth="1"/>
    <col min="7172" max="7173" width="0" hidden="1" customWidth="1"/>
    <col min="7174" max="7174" width="28.140625" customWidth="1"/>
    <col min="7175" max="7175" width="19.28515625" bestFit="1" customWidth="1"/>
    <col min="7176" max="7176" width="18" bestFit="1" customWidth="1"/>
    <col min="7177" max="7177" width="16.28515625" bestFit="1" customWidth="1"/>
    <col min="7178" max="7178" width="16.5703125" bestFit="1" customWidth="1"/>
    <col min="7179" max="7179" width="16.42578125" bestFit="1" customWidth="1"/>
    <col min="7180" max="7180" width="15.5703125" bestFit="1" customWidth="1"/>
    <col min="7181" max="7181" width="14.85546875" bestFit="1" customWidth="1"/>
    <col min="7182" max="7182" width="16" bestFit="1" customWidth="1"/>
    <col min="7183" max="7183" width="14.85546875" bestFit="1" customWidth="1"/>
    <col min="7184" max="7184" width="16" bestFit="1" customWidth="1"/>
    <col min="7185" max="7185" width="12.7109375" bestFit="1" customWidth="1"/>
    <col min="7186" max="7186" width="14.85546875" bestFit="1" customWidth="1"/>
    <col min="7425" max="7425" width="6.28515625" customWidth="1"/>
    <col min="7426" max="7426" width="4.42578125" customWidth="1"/>
    <col min="7427" max="7427" width="38.42578125" customWidth="1"/>
    <col min="7428" max="7429" width="0" hidden="1" customWidth="1"/>
    <col min="7430" max="7430" width="28.140625" customWidth="1"/>
    <col min="7431" max="7431" width="19.28515625" bestFit="1" customWidth="1"/>
    <col min="7432" max="7432" width="18" bestFit="1" customWidth="1"/>
    <col min="7433" max="7433" width="16.28515625" bestFit="1" customWidth="1"/>
    <col min="7434" max="7434" width="16.5703125" bestFit="1" customWidth="1"/>
    <col min="7435" max="7435" width="16.42578125" bestFit="1" customWidth="1"/>
    <col min="7436" max="7436" width="15.5703125" bestFit="1" customWidth="1"/>
    <col min="7437" max="7437" width="14.85546875" bestFit="1" customWidth="1"/>
    <col min="7438" max="7438" width="16" bestFit="1" customWidth="1"/>
    <col min="7439" max="7439" width="14.85546875" bestFit="1" customWidth="1"/>
    <col min="7440" max="7440" width="16" bestFit="1" customWidth="1"/>
    <col min="7441" max="7441" width="12.7109375" bestFit="1" customWidth="1"/>
    <col min="7442" max="7442" width="14.85546875" bestFit="1" customWidth="1"/>
    <col min="7681" max="7681" width="6.28515625" customWidth="1"/>
    <col min="7682" max="7682" width="4.42578125" customWidth="1"/>
    <col min="7683" max="7683" width="38.42578125" customWidth="1"/>
    <col min="7684" max="7685" width="0" hidden="1" customWidth="1"/>
    <col min="7686" max="7686" width="28.140625" customWidth="1"/>
    <col min="7687" max="7687" width="19.28515625" bestFit="1" customWidth="1"/>
    <col min="7688" max="7688" width="18" bestFit="1" customWidth="1"/>
    <col min="7689" max="7689" width="16.28515625" bestFit="1" customWidth="1"/>
    <col min="7690" max="7690" width="16.5703125" bestFit="1" customWidth="1"/>
    <col min="7691" max="7691" width="16.42578125" bestFit="1" customWidth="1"/>
    <col min="7692" max="7692" width="15.5703125" bestFit="1" customWidth="1"/>
    <col min="7693" max="7693" width="14.85546875" bestFit="1" customWidth="1"/>
    <col min="7694" max="7694" width="16" bestFit="1" customWidth="1"/>
    <col min="7695" max="7695" width="14.85546875" bestFit="1" customWidth="1"/>
    <col min="7696" max="7696" width="16" bestFit="1" customWidth="1"/>
    <col min="7697" max="7697" width="12.7109375" bestFit="1" customWidth="1"/>
    <col min="7698" max="7698" width="14.85546875" bestFit="1" customWidth="1"/>
    <col min="7937" max="7937" width="6.28515625" customWidth="1"/>
    <col min="7938" max="7938" width="4.42578125" customWidth="1"/>
    <col min="7939" max="7939" width="38.42578125" customWidth="1"/>
    <col min="7940" max="7941" width="0" hidden="1" customWidth="1"/>
    <col min="7942" max="7942" width="28.140625" customWidth="1"/>
    <col min="7943" max="7943" width="19.28515625" bestFit="1" customWidth="1"/>
    <col min="7944" max="7944" width="18" bestFit="1" customWidth="1"/>
    <col min="7945" max="7945" width="16.28515625" bestFit="1" customWidth="1"/>
    <col min="7946" max="7946" width="16.5703125" bestFit="1" customWidth="1"/>
    <col min="7947" max="7947" width="16.42578125" bestFit="1" customWidth="1"/>
    <col min="7948" max="7948" width="15.5703125" bestFit="1" customWidth="1"/>
    <col min="7949" max="7949" width="14.85546875" bestFit="1" customWidth="1"/>
    <col min="7950" max="7950" width="16" bestFit="1" customWidth="1"/>
    <col min="7951" max="7951" width="14.85546875" bestFit="1" customWidth="1"/>
    <col min="7952" max="7952" width="16" bestFit="1" customWidth="1"/>
    <col min="7953" max="7953" width="12.7109375" bestFit="1" customWidth="1"/>
    <col min="7954" max="7954" width="14.85546875" bestFit="1" customWidth="1"/>
    <col min="8193" max="8193" width="6.28515625" customWidth="1"/>
    <col min="8194" max="8194" width="4.42578125" customWidth="1"/>
    <col min="8195" max="8195" width="38.42578125" customWidth="1"/>
    <col min="8196" max="8197" width="0" hidden="1" customWidth="1"/>
    <col min="8198" max="8198" width="28.140625" customWidth="1"/>
    <col min="8199" max="8199" width="19.28515625" bestFit="1" customWidth="1"/>
    <col min="8200" max="8200" width="18" bestFit="1" customWidth="1"/>
    <col min="8201" max="8201" width="16.28515625" bestFit="1" customWidth="1"/>
    <col min="8202" max="8202" width="16.5703125" bestFit="1" customWidth="1"/>
    <col min="8203" max="8203" width="16.42578125" bestFit="1" customWidth="1"/>
    <col min="8204" max="8204" width="15.5703125" bestFit="1" customWidth="1"/>
    <col min="8205" max="8205" width="14.85546875" bestFit="1" customWidth="1"/>
    <col min="8206" max="8206" width="16" bestFit="1" customWidth="1"/>
    <col min="8207" max="8207" width="14.85546875" bestFit="1" customWidth="1"/>
    <col min="8208" max="8208" width="16" bestFit="1" customWidth="1"/>
    <col min="8209" max="8209" width="12.7109375" bestFit="1" customWidth="1"/>
    <col min="8210" max="8210" width="14.85546875" bestFit="1" customWidth="1"/>
    <col min="8449" max="8449" width="6.28515625" customWidth="1"/>
    <col min="8450" max="8450" width="4.42578125" customWidth="1"/>
    <col min="8451" max="8451" width="38.42578125" customWidth="1"/>
    <col min="8452" max="8453" width="0" hidden="1" customWidth="1"/>
    <col min="8454" max="8454" width="28.140625" customWidth="1"/>
    <col min="8455" max="8455" width="19.28515625" bestFit="1" customWidth="1"/>
    <col min="8456" max="8456" width="18" bestFit="1" customWidth="1"/>
    <col min="8457" max="8457" width="16.28515625" bestFit="1" customWidth="1"/>
    <col min="8458" max="8458" width="16.5703125" bestFit="1" customWidth="1"/>
    <col min="8459" max="8459" width="16.42578125" bestFit="1" customWidth="1"/>
    <col min="8460" max="8460" width="15.5703125" bestFit="1" customWidth="1"/>
    <col min="8461" max="8461" width="14.85546875" bestFit="1" customWidth="1"/>
    <col min="8462" max="8462" width="16" bestFit="1" customWidth="1"/>
    <col min="8463" max="8463" width="14.85546875" bestFit="1" customWidth="1"/>
    <col min="8464" max="8464" width="16" bestFit="1" customWidth="1"/>
    <col min="8465" max="8465" width="12.7109375" bestFit="1" customWidth="1"/>
    <col min="8466" max="8466" width="14.85546875" bestFit="1" customWidth="1"/>
    <col min="8705" max="8705" width="6.28515625" customWidth="1"/>
    <col min="8706" max="8706" width="4.42578125" customWidth="1"/>
    <col min="8707" max="8707" width="38.42578125" customWidth="1"/>
    <col min="8708" max="8709" width="0" hidden="1" customWidth="1"/>
    <col min="8710" max="8710" width="28.140625" customWidth="1"/>
    <col min="8711" max="8711" width="19.28515625" bestFit="1" customWidth="1"/>
    <col min="8712" max="8712" width="18" bestFit="1" customWidth="1"/>
    <col min="8713" max="8713" width="16.28515625" bestFit="1" customWidth="1"/>
    <col min="8714" max="8714" width="16.5703125" bestFit="1" customWidth="1"/>
    <col min="8715" max="8715" width="16.42578125" bestFit="1" customWidth="1"/>
    <col min="8716" max="8716" width="15.5703125" bestFit="1" customWidth="1"/>
    <col min="8717" max="8717" width="14.85546875" bestFit="1" customWidth="1"/>
    <col min="8718" max="8718" width="16" bestFit="1" customWidth="1"/>
    <col min="8719" max="8719" width="14.85546875" bestFit="1" customWidth="1"/>
    <col min="8720" max="8720" width="16" bestFit="1" customWidth="1"/>
    <col min="8721" max="8721" width="12.7109375" bestFit="1" customWidth="1"/>
    <col min="8722" max="8722" width="14.85546875" bestFit="1" customWidth="1"/>
    <col min="8961" max="8961" width="6.28515625" customWidth="1"/>
    <col min="8962" max="8962" width="4.42578125" customWidth="1"/>
    <col min="8963" max="8963" width="38.42578125" customWidth="1"/>
    <col min="8964" max="8965" width="0" hidden="1" customWidth="1"/>
    <col min="8966" max="8966" width="28.140625" customWidth="1"/>
    <col min="8967" max="8967" width="19.28515625" bestFit="1" customWidth="1"/>
    <col min="8968" max="8968" width="18" bestFit="1" customWidth="1"/>
    <col min="8969" max="8969" width="16.28515625" bestFit="1" customWidth="1"/>
    <col min="8970" max="8970" width="16.5703125" bestFit="1" customWidth="1"/>
    <col min="8971" max="8971" width="16.42578125" bestFit="1" customWidth="1"/>
    <col min="8972" max="8972" width="15.5703125" bestFit="1" customWidth="1"/>
    <col min="8973" max="8973" width="14.85546875" bestFit="1" customWidth="1"/>
    <col min="8974" max="8974" width="16" bestFit="1" customWidth="1"/>
    <col min="8975" max="8975" width="14.85546875" bestFit="1" customWidth="1"/>
    <col min="8976" max="8976" width="16" bestFit="1" customWidth="1"/>
    <col min="8977" max="8977" width="12.7109375" bestFit="1" customWidth="1"/>
    <col min="8978" max="8978" width="14.85546875" bestFit="1" customWidth="1"/>
    <col min="9217" max="9217" width="6.28515625" customWidth="1"/>
    <col min="9218" max="9218" width="4.42578125" customWidth="1"/>
    <col min="9219" max="9219" width="38.42578125" customWidth="1"/>
    <col min="9220" max="9221" width="0" hidden="1" customWidth="1"/>
    <col min="9222" max="9222" width="28.140625" customWidth="1"/>
    <col min="9223" max="9223" width="19.28515625" bestFit="1" customWidth="1"/>
    <col min="9224" max="9224" width="18" bestFit="1" customWidth="1"/>
    <col min="9225" max="9225" width="16.28515625" bestFit="1" customWidth="1"/>
    <col min="9226" max="9226" width="16.5703125" bestFit="1" customWidth="1"/>
    <col min="9227" max="9227" width="16.42578125" bestFit="1" customWidth="1"/>
    <col min="9228" max="9228" width="15.5703125" bestFit="1" customWidth="1"/>
    <col min="9229" max="9229" width="14.85546875" bestFit="1" customWidth="1"/>
    <col min="9230" max="9230" width="16" bestFit="1" customWidth="1"/>
    <col min="9231" max="9231" width="14.85546875" bestFit="1" customWidth="1"/>
    <col min="9232" max="9232" width="16" bestFit="1" customWidth="1"/>
    <col min="9233" max="9233" width="12.7109375" bestFit="1" customWidth="1"/>
    <col min="9234" max="9234" width="14.85546875" bestFit="1" customWidth="1"/>
    <col min="9473" max="9473" width="6.28515625" customWidth="1"/>
    <col min="9474" max="9474" width="4.42578125" customWidth="1"/>
    <col min="9475" max="9475" width="38.42578125" customWidth="1"/>
    <col min="9476" max="9477" width="0" hidden="1" customWidth="1"/>
    <col min="9478" max="9478" width="28.140625" customWidth="1"/>
    <col min="9479" max="9479" width="19.28515625" bestFit="1" customWidth="1"/>
    <col min="9480" max="9480" width="18" bestFit="1" customWidth="1"/>
    <col min="9481" max="9481" width="16.28515625" bestFit="1" customWidth="1"/>
    <col min="9482" max="9482" width="16.5703125" bestFit="1" customWidth="1"/>
    <col min="9483" max="9483" width="16.42578125" bestFit="1" customWidth="1"/>
    <col min="9484" max="9484" width="15.5703125" bestFit="1" customWidth="1"/>
    <col min="9485" max="9485" width="14.85546875" bestFit="1" customWidth="1"/>
    <col min="9486" max="9486" width="16" bestFit="1" customWidth="1"/>
    <col min="9487" max="9487" width="14.85546875" bestFit="1" customWidth="1"/>
    <col min="9488" max="9488" width="16" bestFit="1" customWidth="1"/>
    <col min="9489" max="9489" width="12.7109375" bestFit="1" customWidth="1"/>
    <col min="9490" max="9490" width="14.85546875" bestFit="1" customWidth="1"/>
    <col min="9729" max="9729" width="6.28515625" customWidth="1"/>
    <col min="9730" max="9730" width="4.42578125" customWidth="1"/>
    <col min="9731" max="9731" width="38.42578125" customWidth="1"/>
    <col min="9732" max="9733" width="0" hidden="1" customWidth="1"/>
    <col min="9734" max="9734" width="28.140625" customWidth="1"/>
    <col min="9735" max="9735" width="19.28515625" bestFit="1" customWidth="1"/>
    <col min="9736" max="9736" width="18" bestFit="1" customWidth="1"/>
    <col min="9737" max="9737" width="16.28515625" bestFit="1" customWidth="1"/>
    <col min="9738" max="9738" width="16.5703125" bestFit="1" customWidth="1"/>
    <col min="9739" max="9739" width="16.42578125" bestFit="1" customWidth="1"/>
    <col min="9740" max="9740" width="15.5703125" bestFit="1" customWidth="1"/>
    <col min="9741" max="9741" width="14.85546875" bestFit="1" customWidth="1"/>
    <col min="9742" max="9742" width="16" bestFit="1" customWidth="1"/>
    <col min="9743" max="9743" width="14.85546875" bestFit="1" customWidth="1"/>
    <col min="9744" max="9744" width="16" bestFit="1" customWidth="1"/>
    <col min="9745" max="9745" width="12.7109375" bestFit="1" customWidth="1"/>
    <col min="9746" max="9746" width="14.85546875" bestFit="1" customWidth="1"/>
    <col min="9985" max="9985" width="6.28515625" customWidth="1"/>
    <col min="9986" max="9986" width="4.42578125" customWidth="1"/>
    <col min="9987" max="9987" width="38.42578125" customWidth="1"/>
    <col min="9988" max="9989" width="0" hidden="1" customWidth="1"/>
    <col min="9990" max="9990" width="28.140625" customWidth="1"/>
    <col min="9991" max="9991" width="19.28515625" bestFit="1" customWidth="1"/>
    <col min="9992" max="9992" width="18" bestFit="1" customWidth="1"/>
    <col min="9993" max="9993" width="16.28515625" bestFit="1" customWidth="1"/>
    <col min="9994" max="9994" width="16.5703125" bestFit="1" customWidth="1"/>
    <col min="9995" max="9995" width="16.42578125" bestFit="1" customWidth="1"/>
    <col min="9996" max="9996" width="15.5703125" bestFit="1" customWidth="1"/>
    <col min="9997" max="9997" width="14.85546875" bestFit="1" customWidth="1"/>
    <col min="9998" max="9998" width="16" bestFit="1" customWidth="1"/>
    <col min="9999" max="9999" width="14.85546875" bestFit="1" customWidth="1"/>
    <col min="10000" max="10000" width="16" bestFit="1" customWidth="1"/>
    <col min="10001" max="10001" width="12.7109375" bestFit="1" customWidth="1"/>
    <col min="10002" max="10002" width="14.85546875" bestFit="1" customWidth="1"/>
    <col min="10241" max="10241" width="6.28515625" customWidth="1"/>
    <col min="10242" max="10242" width="4.42578125" customWidth="1"/>
    <col min="10243" max="10243" width="38.42578125" customWidth="1"/>
    <col min="10244" max="10245" width="0" hidden="1" customWidth="1"/>
    <col min="10246" max="10246" width="28.140625" customWidth="1"/>
    <col min="10247" max="10247" width="19.28515625" bestFit="1" customWidth="1"/>
    <col min="10248" max="10248" width="18" bestFit="1" customWidth="1"/>
    <col min="10249" max="10249" width="16.28515625" bestFit="1" customWidth="1"/>
    <col min="10250" max="10250" width="16.5703125" bestFit="1" customWidth="1"/>
    <col min="10251" max="10251" width="16.42578125" bestFit="1" customWidth="1"/>
    <col min="10252" max="10252" width="15.5703125" bestFit="1" customWidth="1"/>
    <col min="10253" max="10253" width="14.85546875" bestFit="1" customWidth="1"/>
    <col min="10254" max="10254" width="16" bestFit="1" customWidth="1"/>
    <col min="10255" max="10255" width="14.85546875" bestFit="1" customWidth="1"/>
    <col min="10256" max="10256" width="16" bestFit="1" customWidth="1"/>
    <col min="10257" max="10257" width="12.7109375" bestFit="1" customWidth="1"/>
    <col min="10258" max="10258" width="14.85546875" bestFit="1" customWidth="1"/>
    <col min="10497" max="10497" width="6.28515625" customWidth="1"/>
    <col min="10498" max="10498" width="4.42578125" customWidth="1"/>
    <col min="10499" max="10499" width="38.42578125" customWidth="1"/>
    <col min="10500" max="10501" width="0" hidden="1" customWidth="1"/>
    <col min="10502" max="10502" width="28.140625" customWidth="1"/>
    <col min="10503" max="10503" width="19.28515625" bestFit="1" customWidth="1"/>
    <col min="10504" max="10504" width="18" bestFit="1" customWidth="1"/>
    <col min="10505" max="10505" width="16.28515625" bestFit="1" customWidth="1"/>
    <col min="10506" max="10506" width="16.5703125" bestFit="1" customWidth="1"/>
    <col min="10507" max="10507" width="16.42578125" bestFit="1" customWidth="1"/>
    <col min="10508" max="10508" width="15.5703125" bestFit="1" customWidth="1"/>
    <col min="10509" max="10509" width="14.85546875" bestFit="1" customWidth="1"/>
    <col min="10510" max="10510" width="16" bestFit="1" customWidth="1"/>
    <col min="10511" max="10511" width="14.85546875" bestFit="1" customWidth="1"/>
    <col min="10512" max="10512" width="16" bestFit="1" customWidth="1"/>
    <col min="10513" max="10513" width="12.7109375" bestFit="1" customWidth="1"/>
    <col min="10514" max="10514" width="14.85546875" bestFit="1" customWidth="1"/>
    <col min="10753" max="10753" width="6.28515625" customWidth="1"/>
    <col min="10754" max="10754" width="4.42578125" customWidth="1"/>
    <col min="10755" max="10755" width="38.42578125" customWidth="1"/>
    <col min="10756" max="10757" width="0" hidden="1" customWidth="1"/>
    <col min="10758" max="10758" width="28.140625" customWidth="1"/>
    <col min="10759" max="10759" width="19.28515625" bestFit="1" customWidth="1"/>
    <col min="10760" max="10760" width="18" bestFit="1" customWidth="1"/>
    <col min="10761" max="10761" width="16.28515625" bestFit="1" customWidth="1"/>
    <col min="10762" max="10762" width="16.5703125" bestFit="1" customWidth="1"/>
    <col min="10763" max="10763" width="16.42578125" bestFit="1" customWidth="1"/>
    <col min="10764" max="10764" width="15.5703125" bestFit="1" customWidth="1"/>
    <col min="10765" max="10765" width="14.85546875" bestFit="1" customWidth="1"/>
    <col min="10766" max="10766" width="16" bestFit="1" customWidth="1"/>
    <col min="10767" max="10767" width="14.85546875" bestFit="1" customWidth="1"/>
    <col min="10768" max="10768" width="16" bestFit="1" customWidth="1"/>
    <col min="10769" max="10769" width="12.7109375" bestFit="1" customWidth="1"/>
    <col min="10770" max="10770" width="14.85546875" bestFit="1" customWidth="1"/>
    <col min="11009" max="11009" width="6.28515625" customWidth="1"/>
    <col min="11010" max="11010" width="4.42578125" customWidth="1"/>
    <col min="11011" max="11011" width="38.42578125" customWidth="1"/>
    <col min="11012" max="11013" width="0" hidden="1" customWidth="1"/>
    <col min="11014" max="11014" width="28.140625" customWidth="1"/>
    <col min="11015" max="11015" width="19.28515625" bestFit="1" customWidth="1"/>
    <col min="11016" max="11016" width="18" bestFit="1" customWidth="1"/>
    <col min="11017" max="11017" width="16.28515625" bestFit="1" customWidth="1"/>
    <col min="11018" max="11018" width="16.5703125" bestFit="1" customWidth="1"/>
    <col min="11019" max="11019" width="16.42578125" bestFit="1" customWidth="1"/>
    <col min="11020" max="11020" width="15.5703125" bestFit="1" customWidth="1"/>
    <col min="11021" max="11021" width="14.85546875" bestFit="1" customWidth="1"/>
    <col min="11022" max="11022" width="16" bestFit="1" customWidth="1"/>
    <col min="11023" max="11023" width="14.85546875" bestFit="1" customWidth="1"/>
    <col min="11024" max="11024" width="16" bestFit="1" customWidth="1"/>
    <col min="11025" max="11025" width="12.7109375" bestFit="1" customWidth="1"/>
    <col min="11026" max="11026" width="14.85546875" bestFit="1" customWidth="1"/>
    <col min="11265" max="11265" width="6.28515625" customWidth="1"/>
    <col min="11266" max="11266" width="4.42578125" customWidth="1"/>
    <col min="11267" max="11267" width="38.42578125" customWidth="1"/>
    <col min="11268" max="11269" width="0" hidden="1" customWidth="1"/>
    <col min="11270" max="11270" width="28.140625" customWidth="1"/>
    <col min="11271" max="11271" width="19.28515625" bestFit="1" customWidth="1"/>
    <col min="11272" max="11272" width="18" bestFit="1" customWidth="1"/>
    <col min="11273" max="11273" width="16.28515625" bestFit="1" customWidth="1"/>
    <col min="11274" max="11274" width="16.5703125" bestFit="1" customWidth="1"/>
    <col min="11275" max="11275" width="16.42578125" bestFit="1" customWidth="1"/>
    <col min="11276" max="11276" width="15.5703125" bestFit="1" customWidth="1"/>
    <col min="11277" max="11277" width="14.85546875" bestFit="1" customWidth="1"/>
    <col min="11278" max="11278" width="16" bestFit="1" customWidth="1"/>
    <col min="11279" max="11279" width="14.85546875" bestFit="1" customWidth="1"/>
    <col min="11280" max="11280" width="16" bestFit="1" customWidth="1"/>
    <col min="11281" max="11281" width="12.7109375" bestFit="1" customWidth="1"/>
    <col min="11282" max="11282" width="14.85546875" bestFit="1" customWidth="1"/>
    <col min="11521" max="11521" width="6.28515625" customWidth="1"/>
    <col min="11522" max="11522" width="4.42578125" customWidth="1"/>
    <col min="11523" max="11523" width="38.42578125" customWidth="1"/>
    <col min="11524" max="11525" width="0" hidden="1" customWidth="1"/>
    <col min="11526" max="11526" width="28.140625" customWidth="1"/>
    <col min="11527" max="11527" width="19.28515625" bestFit="1" customWidth="1"/>
    <col min="11528" max="11528" width="18" bestFit="1" customWidth="1"/>
    <col min="11529" max="11529" width="16.28515625" bestFit="1" customWidth="1"/>
    <col min="11530" max="11530" width="16.5703125" bestFit="1" customWidth="1"/>
    <col min="11531" max="11531" width="16.42578125" bestFit="1" customWidth="1"/>
    <col min="11532" max="11532" width="15.5703125" bestFit="1" customWidth="1"/>
    <col min="11533" max="11533" width="14.85546875" bestFit="1" customWidth="1"/>
    <col min="11534" max="11534" width="16" bestFit="1" customWidth="1"/>
    <col min="11535" max="11535" width="14.85546875" bestFit="1" customWidth="1"/>
    <col min="11536" max="11536" width="16" bestFit="1" customWidth="1"/>
    <col min="11537" max="11537" width="12.7109375" bestFit="1" customWidth="1"/>
    <col min="11538" max="11538" width="14.85546875" bestFit="1" customWidth="1"/>
    <col min="11777" max="11777" width="6.28515625" customWidth="1"/>
    <col min="11778" max="11778" width="4.42578125" customWidth="1"/>
    <col min="11779" max="11779" width="38.42578125" customWidth="1"/>
    <col min="11780" max="11781" width="0" hidden="1" customWidth="1"/>
    <col min="11782" max="11782" width="28.140625" customWidth="1"/>
    <col min="11783" max="11783" width="19.28515625" bestFit="1" customWidth="1"/>
    <col min="11784" max="11784" width="18" bestFit="1" customWidth="1"/>
    <col min="11785" max="11785" width="16.28515625" bestFit="1" customWidth="1"/>
    <col min="11786" max="11786" width="16.5703125" bestFit="1" customWidth="1"/>
    <col min="11787" max="11787" width="16.42578125" bestFit="1" customWidth="1"/>
    <col min="11788" max="11788" width="15.5703125" bestFit="1" customWidth="1"/>
    <col min="11789" max="11789" width="14.85546875" bestFit="1" customWidth="1"/>
    <col min="11790" max="11790" width="16" bestFit="1" customWidth="1"/>
    <col min="11791" max="11791" width="14.85546875" bestFit="1" customWidth="1"/>
    <col min="11792" max="11792" width="16" bestFit="1" customWidth="1"/>
    <col min="11793" max="11793" width="12.7109375" bestFit="1" customWidth="1"/>
    <col min="11794" max="11794" width="14.85546875" bestFit="1" customWidth="1"/>
    <col min="12033" max="12033" width="6.28515625" customWidth="1"/>
    <col min="12034" max="12034" width="4.42578125" customWidth="1"/>
    <col min="12035" max="12035" width="38.42578125" customWidth="1"/>
    <col min="12036" max="12037" width="0" hidden="1" customWidth="1"/>
    <col min="12038" max="12038" width="28.140625" customWidth="1"/>
    <col min="12039" max="12039" width="19.28515625" bestFit="1" customWidth="1"/>
    <col min="12040" max="12040" width="18" bestFit="1" customWidth="1"/>
    <col min="12041" max="12041" width="16.28515625" bestFit="1" customWidth="1"/>
    <col min="12042" max="12042" width="16.5703125" bestFit="1" customWidth="1"/>
    <col min="12043" max="12043" width="16.42578125" bestFit="1" customWidth="1"/>
    <col min="12044" max="12044" width="15.5703125" bestFit="1" customWidth="1"/>
    <col min="12045" max="12045" width="14.85546875" bestFit="1" customWidth="1"/>
    <col min="12046" max="12046" width="16" bestFit="1" customWidth="1"/>
    <col min="12047" max="12047" width="14.85546875" bestFit="1" customWidth="1"/>
    <col min="12048" max="12048" width="16" bestFit="1" customWidth="1"/>
    <col min="12049" max="12049" width="12.7109375" bestFit="1" customWidth="1"/>
    <col min="12050" max="12050" width="14.85546875" bestFit="1" customWidth="1"/>
    <col min="12289" max="12289" width="6.28515625" customWidth="1"/>
    <col min="12290" max="12290" width="4.42578125" customWidth="1"/>
    <col min="12291" max="12291" width="38.42578125" customWidth="1"/>
    <col min="12292" max="12293" width="0" hidden="1" customWidth="1"/>
    <col min="12294" max="12294" width="28.140625" customWidth="1"/>
    <col min="12295" max="12295" width="19.28515625" bestFit="1" customWidth="1"/>
    <col min="12296" max="12296" width="18" bestFit="1" customWidth="1"/>
    <col min="12297" max="12297" width="16.28515625" bestFit="1" customWidth="1"/>
    <col min="12298" max="12298" width="16.5703125" bestFit="1" customWidth="1"/>
    <col min="12299" max="12299" width="16.42578125" bestFit="1" customWidth="1"/>
    <col min="12300" max="12300" width="15.5703125" bestFit="1" customWidth="1"/>
    <col min="12301" max="12301" width="14.85546875" bestFit="1" customWidth="1"/>
    <col min="12302" max="12302" width="16" bestFit="1" customWidth="1"/>
    <col min="12303" max="12303" width="14.85546875" bestFit="1" customWidth="1"/>
    <col min="12304" max="12304" width="16" bestFit="1" customWidth="1"/>
    <col min="12305" max="12305" width="12.7109375" bestFit="1" customWidth="1"/>
    <col min="12306" max="12306" width="14.85546875" bestFit="1" customWidth="1"/>
    <col min="12545" max="12545" width="6.28515625" customWidth="1"/>
    <col min="12546" max="12546" width="4.42578125" customWidth="1"/>
    <col min="12547" max="12547" width="38.42578125" customWidth="1"/>
    <col min="12548" max="12549" width="0" hidden="1" customWidth="1"/>
    <col min="12550" max="12550" width="28.140625" customWidth="1"/>
    <col min="12551" max="12551" width="19.28515625" bestFit="1" customWidth="1"/>
    <col min="12552" max="12552" width="18" bestFit="1" customWidth="1"/>
    <col min="12553" max="12553" width="16.28515625" bestFit="1" customWidth="1"/>
    <col min="12554" max="12554" width="16.5703125" bestFit="1" customWidth="1"/>
    <col min="12555" max="12555" width="16.42578125" bestFit="1" customWidth="1"/>
    <col min="12556" max="12556" width="15.5703125" bestFit="1" customWidth="1"/>
    <col min="12557" max="12557" width="14.85546875" bestFit="1" customWidth="1"/>
    <col min="12558" max="12558" width="16" bestFit="1" customWidth="1"/>
    <col min="12559" max="12559" width="14.85546875" bestFit="1" customWidth="1"/>
    <col min="12560" max="12560" width="16" bestFit="1" customWidth="1"/>
    <col min="12561" max="12561" width="12.7109375" bestFit="1" customWidth="1"/>
    <col min="12562" max="12562" width="14.85546875" bestFit="1" customWidth="1"/>
    <col min="12801" max="12801" width="6.28515625" customWidth="1"/>
    <col min="12802" max="12802" width="4.42578125" customWidth="1"/>
    <col min="12803" max="12803" width="38.42578125" customWidth="1"/>
    <col min="12804" max="12805" width="0" hidden="1" customWidth="1"/>
    <col min="12806" max="12806" width="28.140625" customWidth="1"/>
    <col min="12807" max="12807" width="19.28515625" bestFit="1" customWidth="1"/>
    <col min="12808" max="12808" width="18" bestFit="1" customWidth="1"/>
    <col min="12809" max="12809" width="16.28515625" bestFit="1" customWidth="1"/>
    <col min="12810" max="12810" width="16.5703125" bestFit="1" customWidth="1"/>
    <col min="12811" max="12811" width="16.42578125" bestFit="1" customWidth="1"/>
    <col min="12812" max="12812" width="15.5703125" bestFit="1" customWidth="1"/>
    <col min="12813" max="12813" width="14.85546875" bestFit="1" customWidth="1"/>
    <col min="12814" max="12814" width="16" bestFit="1" customWidth="1"/>
    <col min="12815" max="12815" width="14.85546875" bestFit="1" customWidth="1"/>
    <col min="12816" max="12816" width="16" bestFit="1" customWidth="1"/>
    <col min="12817" max="12817" width="12.7109375" bestFit="1" customWidth="1"/>
    <col min="12818" max="12818" width="14.85546875" bestFit="1" customWidth="1"/>
    <col min="13057" max="13057" width="6.28515625" customWidth="1"/>
    <col min="13058" max="13058" width="4.42578125" customWidth="1"/>
    <col min="13059" max="13059" width="38.42578125" customWidth="1"/>
    <col min="13060" max="13061" width="0" hidden="1" customWidth="1"/>
    <col min="13062" max="13062" width="28.140625" customWidth="1"/>
    <col min="13063" max="13063" width="19.28515625" bestFit="1" customWidth="1"/>
    <col min="13064" max="13064" width="18" bestFit="1" customWidth="1"/>
    <col min="13065" max="13065" width="16.28515625" bestFit="1" customWidth="1"/>
    <col min="13066" max="13066" width="16.5703125" bestFit="1" customWidth="1"/>
    <col min="13067" max="13067" width="16.42578125" bestFit="1" customWidth="1"/>
    <col min="13068" max="13068" width="15.5703125" bestFit="1" customWidth="1"/>
    <col min="13069" max="13069" width="14.85546875" bestFit="1" customWidth="1"/>
    <col min="13070" max="13070" width="16" bestFit="1" customWidth="1"/>
    <col min="13071" max="13071" width="14.85546875" bestFit="1" customWidth="1"/>
    <col min="13072" max="13072" width="16" bestFit="1" customWidth="1"/>
    <col min="13073" max="13073" width="12.7109375" bestFit="1" customWidth="1"/>
    <col min="13074" max="13074" width="14.85546875" bestFit="1" customWidth="1"/>
    <col min="13313" max="13313" width="6.28515625" customWidth="1"/>
    <col min="13314" max="13314" width="4.42578125" customWidth="1"/>
    <col min="13315" max="13315" width="38.42578125" customWidth="1"/>
    <col min="13316" max="13317" width="0" hidden="1" customWidth="1"/>
    <col min="13318" max="13318" width="28.140625" customWidth="1"/>
    <col min="13319" max="13319" width="19.28515625" bestFit="1" customWidth="1"/>
    <col min="13320" max="13320" width="18" bestFit="1" customWidth="1"/>
    <col min="13321" max="13321" width="16.28515625" bestFit="1" customWidth="1"/>
    <col min="13322" max="13322" width="16.5703125" bestFit="1" customWidth="1"/>
    <col min="13323" max="13323" width="16.42578125" bestFit="1" customWidth="1"/>
    <col min="13324" max="13324" width="15.5703125" bestFit="1" customWidth="1"/>
    <col min="13325" max="13325" width="14.85546875" bestFit="1" customWidth="1"/>
    <col min="13326" max="13326" width="16" bestFit="1" customWidth="1"/>
    <col min="13327" max="13327" width="14.85546875" bestFit="1" customWidth="1"/>
    <col min="13328" max="13328" width="16" bestFit="1" customWidth="1"/>
    <col min="13329" max="13329" width="12.7109375" bestFit="1" customWidth="1"/>
    <col min="13330" max="13330" width="14.85546875" bestFit="1" customWidth="1"/>
    <col min="13569" max="13569" width="6.28515625" customWidth="1"/>
    <col min="13570" max="13570" width="4.42578125" customWidth="1"/>
    <col min="13571" max="13571" width="38.42578125" customWidth="1"/>
    <col min="13572" max="13573" width="0" hidden="1" customWidth="1"/>
    <col min="13574" max="13574" width="28.140625" customWidth="1"/>
    <col min="13575" max="13575" width="19.28515625" bestFit="1" customWidth="1"/>
    <col min="13576" max="13576" width="18" bestFit="1" customWidth="1"/>
    <col min="13577" max="13577" width="16.28515625" bestFit="1" customWidth="1"/>
    <col min="13578" max="13578" width="16.5703125" bestFit="1" customWidth="1"/>
    <col min="13579" max="13579" width="16.42578125" bestFit="1" customWidth="1"/>
    <col min="13580" max="13580" width="15.5703125" bestFit="1" customWidth="1"/>
    <col min="13581" max="13581" width="14.85546875" bestFit="1" customWidth="1"/>
    <col min="13582" max="13582" width="16" bestFit="1" customWidth="1"/>
    <col min="13583" max="13583" width="14.85546875" bestFit="1" customWidth="1"/>
    <col min="13584" max="13584" width="16" bestFit="1" customWidth="1"/>
    <col min="13585" max="13585" width="12.7109375" bestFit="1" customWidth="1"/>
    <col min="13586" max="13586" width="14.85546875" bestFit="1" customWidth="1"/>
    <col min="13825" max="13825" width="6.28515625" customWidth="1"/>
    <col min="13826" max="13826" width="4.42578125" customWidth="1"/>
    <col min="13827" max="13827" width="38.42578125" customWidth="1"/>
    <col min="13828" max="13829" width="0" hidden="1" customWidth="1"/>
    <col min="13830" max="13830" width="28.140625" customWidth="1"/>
    <col min="13831" max="13831" width="19.28515625" bestFit="1" customWidth="1"/>
    <col min="13832" max="13832" width="18" bestFit="1" customWidth="1"/>
    <col min="13833" max="13833" width="16.28515625" bestFit="1" customWidth="1"/>
    <col min="13834" max="13834" width="16.5703125" bestFit="1" customWidth="1"/>
    <col min="13835" max="13835" width="16.42578125" bestFit="1" customWidth="1"/>
    <col min="13836" max="13836" width="15.5703125" bestFit="1" customWidth="1"/>
    <col min="13837" max="13837" width="14.85546875" bestFit="1" customWidth="1"/>
    <col min="13838" max="13838" width="16" bestFit="1" customWidth="1"/>
    <col min="13839" max="13839" width="14.85546875" bestFit="1" customWidth="1"/>
    <col min="13840" max="13840" width="16" bestFit="1" customWidth="1"/>
    <col min="13841" max="13841" width="12.7109375" bestFit="1" customWidth="1"/>
    <col min="13842" max="13842" width="14.85546875" bestFit="1" customWidth="1"/>
    <col min="14081" max="14081" width="6.28515625" customWidth="1"/>
    <col min="14082" max="14082" width="4.42578125" customWidth="1"/>
    <col min="14083" max="14083" width="38.42578125" customWidth="1"/>
    <col min="14084" max="14085" width="0" hidden="1" customWidth="1"/>
    <col min="14086" max="14086" width="28.140625" customWidth="1"/>
    <col min="14087" max="14087" width="19.28515625" bestFit="1" customWidth="1"/>
    <col min="14088" max="14088" width="18" bestFit="1" customWidth="1"/>
    <col min="14089" max="14089" width="16.28515625" bestFit="1" customWidth="1"/>
    <col min="14090" max="14090" width="16.5703125" bestFit="1" customWidth="1"/>
    <col min="14091" max="14091" width="16.42578125" bestFit="1" customWidth="1"/>
    <col min="14092" max="14092" width="15.5703125" bestFit="1" customWidth="1"/>
    <col min="14093" max="14093" width="14.85546875" bestFit="1" customWidth="1"/>
    <col min="14094" max="14094" width="16" bestFit="1" customWidth="1"/>
    <col min="14095" max="14095" width="14.85546875" bestFit="1" customWidth="1"/>
    <col min="14096" max="14096" width="16" bestFit="1" customWidth="1"/>
    <col min="14097" max="14097" width="12.7109375" bestFit="1" customWidth="1"/>
    <col min="14098" max="14098" width="14.85546875" bestFit="1" customWidth="1"/>
    <col min="14337" max="14337" width="6.28515625" customWidth="1"/>
    <col min="14338" max="14338" width="4.42578125" customWidth="1"/>
    <col min="14339" max="14339" width="38.42578125" customWidth="1"/>
    <col min="14340" max="14341" width="0" hidden="1" customWidth="1"/>
    <col min="14342" max="14342" width="28.140625" customWidth="1"/>
    <col min="14343" max="14343" width="19.28515625" bestFit="1" customWidth="1"/>
    <col min="14344" max="14344" width="18" bestFit="1" customWidth="1"/>
    <col min="14345" max="14345" width="16.28515625" bestFit="1" customWidth="1"/>
    <col min="14346" max="14346" width="16.5703125" bestFit="1" customWidth="1"/>
    <col min="14347" max="14347" width="16.42578125" bestFit="1" customWidth="1"/>
    <col min="14348" max="14348" width="15.5703125" bestFit="1" customWidth="1"/>
    <col min="14349" max="14349" width="14.85546875" bestFit="1" customWidth="1"/>
    <col min="14350" max="14350" width="16" bestFit="1" customWidth="1"/>
    <col min="14351" max="14351" width="14.85546875" bestFit="1" customWidth="1"/>
    <col min="14352" max="14352" width="16" bestFit="1" customWidth="1"/>
    <col min="14353" max="14353" width="12.7109375" bestFit="1" customWidth="1"/>
    <col min="14354" max="14354" width="14.85546875" bestFit="1" customWidth="1"/>
    <col min="14593" max="14593" width="6.28515625" customWidth="1"/>
    <col min="14594" max="14594" width="4.42578125" customWidth="1"/>
    <col min="14595" max="14595" width="38.42578125" customWidth="1"/>
    <col min="14596" max="14597" width="0" hidden="1" customWidth="1"/>
    <col min="14598" max="14598" width="28.140625" customWidth="1"/>
    <col min="14599" max="14599" width="19.28515625" bestFit="1" customWidth="1"/>
    <col min="14600" max="14600" width="18" bestFit="1" customWidth="1"/>
    <col min="14601" max="14601" width="16.28515625" bestFit="1" customWidth="1"/>
    <col min="14602" max="14602" width="16.5703125" bestFit="1" customWidth="1"/>
    <col min="14603" max="14603" width="16.42578125" bestFit="1" customWidth="1"/>
    <col min="14604" max="14604" width="15.5703125" bestFit="1" customWidth="1"/>
    <col min="14605" max="14605" width="14.85546875" bestFit="1" customWidth="1"/>
    <col min="14606" max="14606" width="16" bestFit="1" customWidth="1"/>
    <col min="14607" max="14607" width="14.85546875" bestFit="1" customWidth="1"/>
    <col min="14608" max="14608" width="16" bestFit="1" customWidth="1"/>
    <col min="14609" max="14609" width="12.7109375" bestFit="1" customWidth="1"/>
    <col min="14610" max="14610" width="14.85546875" bestFit="1" customWidth="1"/>
    <col min="14849" max="14849" width="6.28515625" customWidth="1"/>
    <col min="14850" max="14850" width="4.42578125" customWidth="1"/>
    <col min="14851" max="14851" width="38.42578125" customWidth="1"/>
    <col min="14852" max="14853" width="0" hidden="1" customWidth="1"/>
    <col min="14854" max="14854" width="28.140625" customWidth="1"/>
    <col min="14855" max="14855" width="19.28515625" bestFit="1" customWidth="1"/>
    <col min="14856" max="14856" width="18" bestFit="1" customWidth="1"/>
    <col min="14857" max="14857" width="16.28515625" bestFit="1" customWidth="1"/>
    <col min="14858" max="14858" width="16.5703125" bestFit="1" customWidth="1"/>
    <col min="14859" max="14859" width="16.42578125" bestFit="1" customWidth="1"/>
    <col min="14860" max="14860" width="15.5703125" bestFit="1" customWidth="1"/>
    <col min="14861" max="14861" width="14.85546875" bestFit="1" customWidth="1"/>
    <col min="14862" max="14862" width="16" bestFit="1" customWidth="1"/>
    <col min="14863" max="14863" width="14.85546875" bestFit="1" customWidth="1"/>
    <col min="14864" max="14864" width="16" bestFit="1" customWidth="1"/>
    <col min="14865" max="14865" width="12.7109375" bestFit="1" customWidth="1"/>
    <col min="14866" max="14866" width="14.85546875" bestFit="1" customWidth="1"/>
    <col min="15105" max="15105" width="6.28515625" customWidth="1"/>
    <col min="15106" max="15106" width="4.42578125" customWidth="1"/>
    <col min="15107" max="15107" width="38.42578125" customWidth="1"/>
    <col min="15108" max="15109" width="0" hidden="1" customWidth="1"/>
    <col min="15110" max="15110" width="28.140625" customWidth="1"/>
    <col min="15111" max="15111" width="19.28515625" bestFit="1" customWidth="1"/>
    <col min="15112" max="15112" width="18" bestFit="1" customWidth="1"/>
    <col min="15113" max="15113" width="16.28515625" bestFit="1" customWidth="1"/>
    <col min="15114" max="15114" width="16.5703125" bestFit="1" customWidth="1"/>
    <col min="15115" max="15115" width="16.42578125" bestFit="1" customWidth="1"/>
    <col min="15116" max="15116" width="15.5703125" bestFit="1" customWidth="1"/>
    <col min="15117" max="15117" width="14.85546875" bestFit="1" customWidth="1"/>
    <col min="15118" max="15118" width="16" bestFit="1" customWidth="1"/>
    <col min="15119" max="15119" width="14.85546875" bestFit="1" customWidth="1"/>
    <col min="15120" max="15120" width="16" bestFit="1" customWidth="1"/>
    <col min="15121" max="15121" width="12.7109375" bestFit="1" customWidth="1"/>
    <col min="15122" max="15122" width="14.85546875" bestFit="1" customWidth="1"/>
    <col min="15361" max="15361" width="6.28515625" customWidth="1"/>
    <col min="15362" max="15362" width="4.42578125" customWidth="1"/>
    <col min="15363" max="15363" width="38.42578125" customWidth="1"/>
    <col min="15364" max="15365" width="0" hidden="1" customWidth="1"/>
    <col min="15366" max="15366" width="28.140625" customWidth="1"/>
    <col min="15367" max="15367" width="19.28515625" bestFit="1" customWidth="1"/>
    <col min="15368" max="15368" width="18" bestFit="1" customWidth="1"/>
    <col min="15369" max="15369" width="16.28515625" bestFit="1" customWidth="1"/>
    <col min="15370" max="15370" width="16.5703125" bestFit="1" customWidth="1"/>
    <col min="15371" max="15371" width="16.42578125" bestFit="1" customWidth="1"/>
    <col min="15372" max="15372" width="15.5703125" bestFit="1" customWidth="1"/>
    <col min="15373" max="15373" width="14.85546875" bestFit="1" customWidth="1"/>
    <col min="15374" max="15374" width="16" bestFit="1" customWidth="1"/>
    <col min="15375" max="15375" width="14.85546875" bestFit="1" customWidth="1"/>
    <col min="15376" max="15376" width="16" bestFit="1" customWidth="1"/>
    <col min="15377" max="15377" width="12.7109375" bestFit="1" customWidth="1"/>
    <col min="15378" max="15378" width="14.85546875" bestFit="1" customWidth="1"/>
    <col min="15617" max="15617" width="6.28515625" customWidth="1"/>
    <col min="15618" max="15618" width="4.42578125" customWidth="1"/>
    <col min="15619" max="15619" width="38.42578125" customWidth="1"/>
    <col min="15620" max="15621" width="0" hidden="1" customWidth="1"/>
    <col min="15622" max="15622" width="28.140625" customWidth="1"/>
    <col min="15623" max="15623" width="19.28515625" bestFit="1" customWidth="1"/>
    <col min="15624" max="15624" width="18" bestFit="1" customWidth="1"/>
    <col min="15625" max="15625" width="16.28515625" bestFit="1" customWidth="1"/>
    <col min="15626" max="15626" width="16.5703125" bestFit="1" customWidth="1"/>
    <col min="15627" max="15627" width="16.42578125" bestFit="1" customWidth="1"/>
    <col min="15628" max="15628" width="15.5703125" bestFit="1" customWidth="1"/>
    <col min="15629" max="15629" width="14.85546875" bestFit="1" customWidth="1"/>
    <col min="15630" max="15630" width="16" bestFit="1" customWidth="1"/>
    <col min="15631" max="15631" width="14.85546875" bestFit="1" customWidth="1"/>
    <col min="15632" max="15632" width="16" bestFit="1" customWidth="1"/>
    <col min="15633" max="15633" width="12.7109375" bestFit="1" customWidth="1"/>
    <col min="15634" max="15634" width="14.85546875" bestFit="1" customWidth="1"/>
    <col min="15873" max="15873" width="6.28515625" customWidth="1"/>
    <col min="15874" max="15874" width="4.42578125" customWidth="1"/>
    <col min="15875" max="15875" width="38.42578125" customWidth="1"/>
    <col min="15876" max="15877" width="0" hidden="1" customWidth="1"/>
    <col min="15878" max="15878" width="28.140625" customWidth="1"/>
    <col min="15879" max="15879" width="19.28515625" bestFit="1" customWidth="1"/>
    <col min="15880" max="15880" width="18" bestFit="1" customWidth="1"/>
    <col min="15881" max="15881" width="16.28515625" bestFit="1" customWidth="1"/>
    <col min="15882" max="15882" width="16.5703125" bestFit="1" customWidth="1"/>
    <col min="15883" max="15883" width="16.42578125" bestFit="1" customWidth="1"/>
    <col min="15884" max="15884" width="15.5703125" bestFit="1" customWidth="1"/>
    <col min="15885" max="15885" width="14.85546875" bestFit="1" customWidth="1"/>
    <col min="15886" max="15886" width="16" bestFit="1" customWidth="1"/>
    <col min="15887" max="15887" width="14.85546875" bestFit="1" customWidth="1"/>
    <col min="15888" max="15888" width="16" bestFit="1" customWidth="1"/>
    <col min="15889" max="15889" width="12.7109375" bestFit="1" customWidth="1"/>
    <col min="15890" max="15890" width="14.85546875" bestFit="1" customWidth="1"/>
    <col min="16129" max="16129" width="6.28515625" customWidth="1"/>
    <col min="16130" max="16130" width="4.42578125" customWidth="1"/>
    <col min="16131" max="16131" width="38.42578125" customWidth="1"/>
    <col min="16132" max="16133" width="0" hidden="1" customWidth="1"/>
    <col min="16134" max="16134" width="28.140625" customWidth="1"/>
    <col min="16135" max="16135" width="19.28515625" bestFit="1" customWidth="1"/>
    <col min="16136" max="16136" width="18" bestFit="1" customWidth="1"/>
    <col min="16137" max="16137" width="16.28515625" bestFit="1" customWidth="1"/>
    <col min="16138" max="16138" width="16.5703125" bestFit="1" customWidth="1"/>
    <col min="16139" max="16139" width="16.42578125" bestFit="1" customWidth="1"/>
    <col min="16140" max="16140" width="15.5703125" bestFit="1" customWidth="1"/>
    <col min="16141" max="16141" width="14.85546875" bestFit="1" customWidth="1"/>
    <col min="16142" max="16142" width="16" bestFit="1" customWidth="1"/>
    <col min="16143" max="16143" width="14.85546875" bestFit="1" customWidth="1"/>
    <col min="16144" max="16144" width="16" bestFit="1" customWidth="1"/>
    <col min="16145" max="16145" width="12.7109375" bestFit="1" customWidth="1"/>
    <col min="16146" max="16146" width="14.85546875" bestFit="1" customWidth="1"/>
  </cols>
  <sheetData>
    <row r="1" spans="1:12" ht="42.75" customHeight="1">
      <c r="F1" s="501" t="s">
        <v>741</v>
      </c>
      <c r="G1" s="502"/>
      <c r="H1" s="502"/>
    </row>
    <row r="4" spans="1:12" ht="38.25">
      <c r="A4" s="3"/>
      <c r="B4" s="3" t="s">
        <v>181</v>
      </c>
      <c r="C4" s="4"/>
      <c r="D4" s="4"/>
      <c r="E4" s="3"/>
      <c r="F4" s="9" t="s">
        <v>9</v>
      </c>
      <c r="G4" s="9" t="s">
        <v>37</v>
      </c>
      <c r="H4" s="9" t="s">
        <v>29</v>
      </c>
      <c r="I4" s="9" t="s">
        <v>30</v>
      </c>
      <c r="J4" s="9" t="s">
        <v>679</v>
      </c>
      <c r="K4" s="457" t="s">
        <v>680</v>
      </c>
      <c r="L4" s="9" t="s">
        <v>681</v>
      </c>
    </row>
    <row r="5" spans="1:12">
      <c r="A5" s="406" t="s">
        <v>184</v>
      </c>
      <c r="C5" s="2" t="s">
        <v>182</v>
      </c>
      <c r="D5" s="1"/>
      <c r="E5" s="1"/>
      <c r="F5" s="1"/>
      <c r="G5" s="1"/>
      <c r="H5" s="1"/>
      <c r="I5" s="1"/>
      <c r="K5" s="1"/>
      <c r="L5" s="1"/>
    </row>
    <row r="6" spans="1:12" ht="19.5" customHeight="1">
      <c r="A6" s="406" t="s">
        <v>185</v>
      </c>
      <c r="C6" s="1" t="s">
        <v>183</v>
      </c>
      <c r="D6" s="1"/>
      <c r="E6" s="1"/>
      <c r="F6" s="411">
        <f>SUM('Anne Arundel-12:Western Maryland-12'!F18)</f>
        <v>0</v>
      </c>
      <c r="G6" s="411">
        <f>SUM('Anne Arundel-12:Western Maryland-12'!G18)</f>
        <v>0</v>
      </c>
      <c r="H6" s="407">
        <f>SUM('Anne Arundel-12:Western Maryland-12'!H18)</f>
        <v>389825000</v>
      </c>
      <c r="I6" s="407">
        <f>SUM('Anne Arundel-12:Western Maryland-12'!I18)</f>
        <v>0</v>
      </c>
      <c r="J6" s="407">
        <f>SUM('Anne Arundel-12:Western Maryland-12'!J18)</f>
        <v>333349115</v>
      </c>
      <c r="K6" s="407">
        <f>SUM('Anne Arundel-12:Western Maryland-12'!K18)</f>
        <v>56475885</v>
      </c>
      <c r="L6" s="408">
        <f>K6-I6</f>
        <v>56475885</v>
      </c>
    </row>
    <row r="7" spans="1:12" ht="38.25">
      <c r="A7" s="3" t="s">
        <v>8</v>
      </c>
      <c r="B7" s="3"/>
      <c r="C7" s="4"/>
      <c r="D7" s="4"/>
      <c r="E7" s="4"/>
      <c r="F7" s="9" t="s">
        <v>9</v>
      </c>
      <c r="G7" s="9" t="s">
        <v>37</v>
      </c>
      <c r="H7" s="9" t="s">
        <v>682</v>
      </c>
      <c r="I7" s="9" t="s">
        <v>683</v>
      </c>
      <c r="J7" s="457" t="s">
        <v>679</v>
      </c>
      <c r="K7" s="458" t="s">
        <v>680</v>
      </c>
      <c r="L7" s="9" t="s">
        <v>681</v>
      </c>
    </row>
    <row r="8" spans="1:12">
      <c r="A8" s="6" t="s">
        <v>74</v>
      </c>
      <c r="B8" s="2" t="s">
        <v>41</v>
      </c>
      <c r="J8" s="409"/>
      <c r="K8" s="410"/>
    </row>
    <row r="9" spans="1:12" ht="19.5" customHeight="1">
      <c r="A9" s="5" t="s">
        <v>75</v>
      </c>
      <c r="B9" s="1" t="s">
        <v>42</v>
      </c>
      <c r="F9" s="411">
        <f>SUM('Anne Arundel-12:Western Maryland-12'!F21)</f>
        <v>234785.00595238095</v>
      </c>
      <c r="G9" s="411">
        <f>SUM('Anne Arundel-12:Western Maryland-12'!G21)</f>
        <v>13818884.438888889</v>
      </c>
      <c r="H9" s="407">
        <f>SUM('Anne Arundel-12:Western Maryland-12'!H21)</f>
        <v>18363354.948372945</v>
      </c>
      <c r="I9" s="407">
        <f>SUM('Anne Arundel-12:Western Maryland-12'!I21)</f>
        <v>10195307.33212157</v>
      </c>
      <c r="J9" s="407">
        <f>SUM('Anne Arundel-12:Western Maryland-12'!J21)</f>
        <v>1741330.216</v>
      </c>
      <c r="K9" s="407">
        <f>SUM('Anne Arundel-12:Western Maryland-12'!K21)</f>
        <v>26817332.064494513</v>
      </c>
      <c r="L9" s="408">
        <f>K9-I9</f>
        <v>16622024.732372943</v>
      </c>
    </row>
    <row r="10" spans="1:12" ht="19.5" customHeight="1">
      <c r="A10" s="5" t="s">
        <v>76</v>
      </c>
      <c r="B10" t="s">
        <v>6</v>
      </c>
      <c r="F10" s="411">
        <f>SUM('Anne Arundel-12:Western Maryland-12'!F22)</f>
        <v>18608.2</v>
      </c>
      <c r="G10" s="411">
        <f>SUM('Anne Arundel-12:Western Maryland-12'!G22)</f>
        <v>37263</v>
      </c>
      <c r="H10" s="407">
        <f>SUM('Anne Arundel-12:Western Maryland-12'!H22)</f>
        <v>779133.79505618836</v>
      </c>
      <c r="I10" s="407">
        <f>SUM('Anne Arundel-12:Western Maryland-12'!I22)</f>
        <v>437109.40015255683</v>
      </c>
      <c r="J10" s="407">
        <f>SUM('Anne Arundel-12:Western Maryland-12'!J22)</f>
        <v>23873.477000000003</v>
      </c>
      <c r="K10" s="407">
        <f>SUM('Anne Arundel-12:Western Maryland-12'!K22)</f>
        <v>1192369.7182087454</v>
      </c>
      <c r="L10" s="408">
        <f t="shared" ref="L10:L18" si="0">K10-I10</f>
        <v>755260.31805618852</v>
      </c>
    </row>
    <row r="11" spans="1:12" ht="19.5" customHeight="1">
      <c r="A11" s="5" t="s">
        <v>77</v>
      </c>
      <c r="B11" t="s">
        <v>43</v>
      </c>
      <c r="F11" s="411">
        <f>SUM('Anne Arundel-12:Western Maryland-12'!F23)</f>
        <v>29407.3</v>
      </c>
      <c r="G11" s="411">
        <f>SUM('Anne Arundel-12:Western Maryland-12'!G23)</f>
        <v>114344</v>
      </c>
      <c r="H11" s="407">
        <f>SUM('Anne Arundel-12:Western Maryland-12'!H23)</f>
        <v>1520330.106782157</v>
      </c>
      <c r="I11" s="407">
        <f>SUM('Anne Arundel-12:Western Maryland-12'!I23)</f>
        <v>800543.66277210123</v>
      </c>
      <c r="J11" s="407">
        <f>SUM('Anne Arundel-12:Western Maryland-12'!J23)</f>
        <v>932429</v>
      </c>
      <c r="K11" s="407">
        <f>SUM('Anne Arundel-12:Western Maryland-12'!K23)</f>
        <v>1388444.7695542581</v>
      </c>
      <c r="L11" s="408">
        <f t="shared" si="0"/>
        <v>587901.10678215686</v>
      </c>
    </row>
    <row r="12" spans="1:12" ht="19.5" customHeight="1">
      <c r="A12" s="5" t="s">
        <v>78</v>
      </c>
      <c r="B12" t="s">
        <v>44</v>
      </c>
      <c r="F12" s="411">
        <f>SUM('Anne Arundel-12:Western Maryland-12'!F24)</f>
        <v>301541.28000000003</v>
      </c>
      <c r="G12" s="411">
        <f>SUM('Anne Arundel-12:Western Maryland-12'!G24)</f>
        <v>442634</v>
      </c>
      <c r="H12" s="407">
        <f>SUM('Anne Arundel-12:Western Maryland-12'!H24)</f>
        <v>16555997.346986648</v>
      </c>
      <c r="I12" s="407">
        <f>SUM('Anne Arundel-12:Western Maryland-12'!I24)</f>
        <v>3824213.3798477068</v>
      </c>
      <c r="J12" s="407">
        <f>SUM('Anne Arundel-12:Western Maryland-12'!J24)</f>
        <v>739305.02</v>
      </c>
      <c r="K12" s="407">
        <f>SUM('Anne Arundel-12:Western Maryland-12'!K24)</f>
        <v>19640905.706834354</v>
      </c>
      <c r="L12" s="408">
        <f t="shared" si="0"/>
        <v>15816692.326986646</v>
      </c>
    </row>
    <row r="13" spans="1:12" ht="19.5" customHeight="1">
      <c r="A13" s="5" t="s">
        <v>79</v>
      </c>
      <c r="B13" t="s">
        <v>5</v>
      </c>
      <c r="F13" s="411">
        <f>SUM('Anne Arundel-12:Western Maryland-12'!F25)</f>
        <v>24860.0625</v>
      </c>
      <c r="G13" s="411">
        <f>SUM('Anne Arundel-12:Western Maryland-12'!G25)</f>
        <v>87544.932070625</v>
      </c>
      <c r="H13" s="407">
        <f>SUM('Anne Arundel-12:Western Maryland-12'!H25)</f>
        <v>2206951.7835987904</v>
      </c>
      <c r="I13" s="407">
        <f>SUM('Anne Arundel-12:Western Maryland-12'!I25)</f>
        <v>1181816.721594512</v>
      </c>
      <c r="J13" s="407">
        <f>SUM('Anne Arundel-12:Western Maryland-12'!J25)</f>
        <v>351458.51</v>
      </c>
      <c r="K13" s="407">
        <f>SUM('Anne Arundel-12:Western Maryland-12'!K25)</f>
        <v>3037309.9951933022</v>
      </c>
      <c r="L13" s="408">
        <f t="shared" si="0"/>
        <v>1855493.2735987902</v>
      </c>
    </row>
    <row r="14" spans="1:12" ht="19.5" customHeight="1">
      <c r="A14" s="5" t="s">
        <v>80</v>
      </c>
      <c r="B14" t="s">
        <v>45</v>
      </c>
      <c r="F14" s="411">
        <f>SUM('Anne Arundel-12:Western Maryland-12'!F26)</f>
        <v>1865.49</v>
      </c>
      <c r="G14" s="411">
        <f>SUM('Anne Arundel-12:Western Maryland-12'!G26)</f>
        <v>12517</v>
      </c>
      <c r="H14" s="407">
        <f>SUM('Anne Arundel-12:Western Maryland-12'!H26)</f>
        <v>243307.95246946064</v>
      </c>
      <c r="I14" s="407">
        <f>SUM('Anne Arundel-12:Western Maryland-12'!I26)</f>
        <v>105978.03778026832</v>
      </c>
      <c r="J14" s="407">
        <f>SUM('Anne Arundel-12:Western Maryland-12'!J26)</f>
        <v>80980</v>
      </c>
      <c r="K14" s="407">
        <f>SUM('Anne Arundel-12:Western Maryland-12'!K26)</f>
        <v>268305.99024972902</v>
      </c>
      <c r="L14" s="408">
        <f t="shared" si="0"/>
        <v>162327.9524694607</v>
      </c>
    </row>
    <row r="15" spans="1:12" ht="19.5" customHeight="1">
      <c r="A15" s="5" t="s">
        <v>81</v>
      </c>
      <c r="B15" t="s">
        <v>46</v>
      </c>
      <c r="F15" s="411">
        <f>SUM('Anne Arundel-12:Western Maryland-12'!F27)</f>
        <v>12</v>
      </c>
      <c r="G15" s="411">
        <f>SUM('Anne Arundel-12:Western Maryland-12'!G27)</f>
        <v>71</v>
      </c>
      <c r="H15" s="407">
        <f>SUM('Anne Arundel-12:Western Maryland-12'!H27)</f>
        <v>75021.485440000004</v>
      </c>
      <c r="I15" s="407">
        <f>SUM('Anne Arundel-12:Western Maryland-12'!I27)</f>
        <v>42840.261851060153</v>
      </c>
      <c r="J15" s="407">
        <f>SUM('Anne Arundel-12:Western Maryland-12'!J27)</f>
        <v>67726</v>
      </c>
      <c r="K15" s="407">
        <f>SUM('Anne Arundel-12:Western Maryland-12'!K27)</f>
        <v>50135.747291060157</v>
      </c>
      <c r="L15" s="408">
        <f t="shared" si="0"/>
        <v>7295.485440000004</v>
      </c>
    </row>
    <row r="16" spans="1:12" ht="19.5" customHeight="1">
      <c r="A16" s="5" t="s">
        <v>82</v>
      </c>
      <c r="B16" t="s">
        <v>47</v>
      </c>
      <c r="F16" s="411">
        <f>SUM('Anne Arundel-12:Western Maryland-12'!F28)</f>
        <v>20014</v>
      </c>
      <c r="G16" s="411">
        <f>SUM('Anne Arundel-12:Western Maryland-12'!G28)</f>
        <v>8784</v>
      </c>
      <c r="H16" s="407">
        <f>SUM('Anne Arundel-12:Western Maryland-12'!H28)</f>
        <v>1101445.4997207453</v>
      </c>
      <c r="I16" s="407">
        <f>SUM('Anne Arundel-12:Western Maryland-12'!I28)</f>
        <v>382752.4566389469</v>
      </c>
      <c r="J16" s="407">
        <f>SUM('Anne Arundel-12:Western Maryland-12'!J28)</f>
        <v>709765</v>
      </c>
      <c r="K16" s="407">
        <f>SUM('Anne Arundel-12:Western Maryland-12'!K28)</f>
        <v>774432.95635969203</v>
      </c>
      <c r="L16" s="408">
        <f t="shared" si="0"/>
        <v>391680.49972074514</v>
      </c>
    </row>
    <row r="17" spans="1:12" ht="19.5" customHeight="1">
      <c r="A17" s="5" t="s">
        <v>83</v>
      </c>
      <c r="B17" t="s">
        <v>48</v>
      </c>
      <c r="F17" s="411">
        <f>SUM('Anne Arundel-12:Western Maryland-12'!F29)</f>
        <v>214499.69999999998</v>
      </c>
      <c r="G17" s="411">
        <f>SUM('Anne Arundel-12:Western Maryland-12'!G29)</f>
        <v>242180.75</v>
      </c>
      <c r="H17" s="407">
        <f>SUM('Anne Arundel-12:Western Maryland-12'!H29)</f>
        <v>22962158.309020266</v>
      </c>
      <c r="I17" s="407">
        <f>SUM('Anne Arundel-12:Western Maryland-12'!I29)</f>
        <v>9969716.5289152823</v>
      </c>
      <c r="J17" s="407">
        <f>SUM('Anne Arundel-12:Western Maryland-12'!J29)</f>
        <v>787560.12749999994</v>
      </c>
      <c r="K17" s="407">
        <f>SUM('Anne Arundel-12:Western Maryland-12'!K29)</f>
        <v>32144314.710435547</v>
      </c>
      <c r="L17" s="408">
        <f t="shared" si="0"/>
        <v>22174598.181520265</v>
      </c>
    </row>
    <row r="18" spans="1:12" ht="19.5" customHeight="1">
      <c r="A18" s="5" t="s">
        <v>84</v>
      </c>
      <c r="B18" t="s">
        <v>282</v>
      </c>
      <c r="F18" s="411">
        <f>SUM('Anne Arundel-12:Western Maryland-12'!F30:F35)</f>
        <v>54149.382500000007</v>
      </c>
      <c r="G18" s="411">
        <f>SUM('Anne Arundel-12:Western Maryland-12'!G30:G35)</f>
        <v>97789.613112499996</v>
      </c>
      <c r="H18" s="407">
        <f>SUM('Anne Arundel-12:Western Maryland-12'!H30:H35)</f>
        <v>4404758.2704267828</v>
      </c>
      <c r="I18" s="407">
        <f>SUM('Anne Arundel-12:Western Maryland-12'!I30:I35)</f>
        <v>3187637.1321147494</v>
      </c>
      <c r="J18" s="407">
        <f>SUM('Anne Arundel-12:Western Maryland-12'!J30:J35)</f>
        <v>51121.777000000002</v>
      </c>
      <c r="K18" s="407">
        <f>SUM('Anne Arundel-12:Western Maryland-12'!K30:K35)</f>
        <v>7541273.6255415315</v>
      </c>
      <c r="L18" s="408">
        <f t="shared" si="0"/>
        <v>4353636.4934267821</v>
      </c>
    </row>
    <row r="19" spans="1:12" ht="19.5" customHeight="1">
      <c r="D19" s="2"/>
      <c r="E19" s="2"/>
      <c r="F19" s="423"/>
      <c r="G19" s="423"/>
      <c r="H19" s="423"/>
      <c r="I19" s="423"/>
      <c r="J19" s="423"/>
      <c r="K19" s="423"/>
      <c r="L19" s="424"/>
    </row>
    <row r="20" spans="1:12" ht="19.5" customHeight="1">
      <c r="A20" s="6" t="s">
        <v>137</v>
      </c>
      <c r="B20" s="2" t="s">
        <v>138</v>
      </c>
      <c r="F20" s="411">
        <f t="shared" ref="F20:L20" si="1">SUM(F9:F18)</f>
        <v>899742.42095238087</v>
      </c>
      <c r="G20" s="411">
        <f t="shared" si="1"/>
        <v>14862012.734072013</v>
      </c>
      <c r="H20" s="407">
        <f t="shared" si="1"/>
        <v>68212459.497873977</v>
      </c>
      <c r="I20" s="407">
        <f t="shared" si="1"/>
        <v>30127914.913788751</v>
      </c>
      <c r="J20" s="407">
        <f t="shared" si="1"/>
        <v>5485549.1275000004</v>
      </c>
      <c r="K20" s="407">
        <f t="shared" si="1"/>
        <v>92854825.28416273</v>
      </c>
      <c r="L20" s="408">
        <f t="shared" si="1"/>
        <v>62726910.370373979</v>
      </c>
    </row>
    <row r="21" spans="1:12">
      <c r="A21" s="6"/>
      <c r="B21" s="2"/>
      <c r="F21" s="412"/>
      <c r="G21" s="412"/>
      <c r="H21" s="412"/>
      <c r="I21" s="412"/>
      <c r="J21" s="412"/>
      <c r="K21" s="412"/>
      <c r="L21" s="413"/>
    </row>
    <row r="22" spans="1:12">
      <c r="A22" s="6"/>
      <c r="B22" s="2"/>
      <c r="F22" s="414"/>
      <c r="G22" s="414"/>
      <c r="H22" s="415"/>
      <c r="I22" s="415"/>
      <c r="J22" s="416"/>
      <c r="K22" s="416"/>
      <c r="L22" s="381"/>
    </row>
    <row r="23" spans="1:12" ht="38.25">
      <c r="A23" s="8"/>
      <c r="B23" s="8"/>
      <c r="F23" s="9" t="s">
        <v>9</v>
      </c>
      <c r="G23" s="9" t="s">
        <v>37</v>
      </c>
      <c r="H23" s="9" t="s">
        <v>682</v>
      </c>
      <c r="I23" s="9" t="s">
        <v>683</v>
      </c>
      <c r="J23" s="457" t="s">
        <v>679</v>
      </c>
      <c r="K23" s="458" t="s">
        <v>680</v>
      </c>
      <c r="L23" s="9" t="s">
        <v>681</v>
      </c>
    </row>
    <row r="24" spans="1:12">
      <c r="A24" s="6" t="s">
        <v>684</v>
      </c>
      <c r="B24" s="6"/>
      <c r="C24" s="2" t="s">
        <v>49</v>
      </c>
      <c r="J24" s="409"/>
      <c r="K24" s="410"/>
    </row>
    <row r="25" spans="1:12" ht="19.5" customHeight="1">
      <c r="A25" s="5" t="s">
        <v>685</v>
      </c>
      <c r="B25" s="5"/>
      <c r="C25" s="2" t="s">
        <v>31</v>
      </c>
      <c r="D25" s="2"/>
      <c r="E25" s="2"/>
      <c r="F25" s="411">
        <f>SUM('Anne Arundel-12:Western Maryland-12'!F40)</f>
        <v>4461908.0502351522</v>
      </c>
      <c r="G25" s="411">
        <f>SUM('Anne Arundel-12:Western Maryland-12'!G40)</f>
        <v>21932.66</v>
      </c>
      <c r="H25" s="411">
        <f>SUM('Anne Arundel-12:Western Maryland-12'!H40)</f>
        <v>263293998.02327234</v>
      </c>
      <c r="I25" s="411">
        <f>SUM('Anne Arundel-12:Western Maryland-12'!I40)</f>
        <v>63069533.281592973</v>
      </c>
      <c r="J25" s="411">
        <f>SUM('Anne Arundel-12:Western Maryland-12'!J40)</f>
        <v>0</v>
      </c>
      <c r="K25" s="411">
        <f>SUM('Anne Arundel-12:Western Maryland-12'!K40)</f>
        <v>326363531.3048653</v>
      </c>
      <c r="L25" s="408">
        <f>K25-I25</f>
        <v>263293998.02327234</v>
      </c>
    </row>
    <row r="26" spans="1:12" ht="19.5" customHeight="1">
      <c r="A26" s="5" t="s">
        <v>686</v>
      </c>
      <c r="B26" s="5"/>
      <c r="C26" s="404" t="s">
        <v>50</v>
      </c>
      <c r="F26" s="411">
        <f>SUM('Anne Arundel-12:Western Maryland-12'!F41)</f>
        <v>453604.28919999994</v>
      </c>
      <c r="G26" s="411">
        <f>SUM('Anne Arundel-12:Western Maryland-12'!G41)</f>
        <v>118793</v>
      </c>
      <c r="H26" s="411">
        <f>SUM('Anne Arundel-12:Western Maryland-12'!H41)</f>
        <v>19710285.34324</v>
      </c>
      <c r="I26" s="411">
        <f>SUM('Anne Arundel-12:Western Maryland-12'!I41)</f>
        <v>6151814.9232785553</v>
      </c>
      <c r="J26" s="411">
        <f>SUM('Anne Arundel-12:Western Maryland-12'!J41)</f>
        <v>335954</v>
      </c>
      <c r="K26" s="411">
        <f>SUM('Anne Arundel-12:Western Maryland-12'!K41)</f>
        <v>25526146.266518556</v>
      </c>
      <c r="L26" s="408">
        <f>K26-I26</f>
        <v>19374331.34324</v>
      </c>
    </row>
    <row r="27" spans="1:12" ht="19.5" customHeight="1">
      <c r="A27" s="5" t="s">
        <v>687</v>
      </c>
      <c r="B27" s="5"/>
      <c r="C27" s="1" t="s">
        <v>11</v>
      </c>
      <c r="D27" s="417"/>
      <c r="E27" s="417"/>
      <c r="F27" s="411">
        <f>SUM('Anne Arundel-12:Western Maryland-12'!F42)</f>
        <v>212235.84</v>
      </c>
      <c r="G27" s="411">
        <f>SUM('Anne Arundel-12:Western Maryland-12'!G42)</f>
        <v>80691.591396376316</v>
      </c>
      <c r="H27" s="411">
        <f>SUM('Anne Arundel-12:Western Maryland-12'!H42)</f>
        <v>9287566.3840778042</v>
      </c>
      <c r="I27" s="411">
        <f>SUM('Anne Arundel-12:Western Maryland-12'!I42)</f>
        <v>1449643.5690708447</v>
      </c>
      <c r="J27" s="411">
        <f>SUM('Anne Arundel-12:Western Maryland-12'!J42)</f>
        <v>126160.04250000001</v>
      </c>
      <c r="K27" s="411">
        <f>SUM('Anne Arundel-12:Western Maryland-12'!K42)</f>
        <v>10611049.91064865</v>
      </c>
      <c r="L27" s="408">
        <f>K27-I27</f>
        <v>9161406.3415778056</v>
      </c>
    </row>
    <row r="28" spans="1:12" ht="19.5" customHeight="1">
      <c r="A28" s="5" t="s">
        <v>688</v>
      </c>
      <c r="B28" s="5"/>
      <c r="C28" s="47" t="s">
        <v>10</v>
      </c>
      <c r="F28" s="411">
        <f>SUM('Anne Arundel-12:Western Maryland-12'!F43)</f>
        <v>6989.21</v>
      </c>
      <c r="G28" s="411">
        <f>SUM('Anne Arundel-12:Western Maryland-12'!G43)</f>
        <v>697.50703999999996</v>
      </c>
      <c r="H28" s="411">
        <f>SUM('Anne Arundel-12:Western Maryland-12'!H43)</f>
        <v>2648153.2583933333</v>
      </c>
      <c r="I28" s="411">
        <f>SUM('Anne Arundel-12:Western Maryland-12'!I43)</f>
        <v>3162.9031979359474</v>
      </c>
      <c r="J28" s="411">
        <f>SUM('Anne Arundel-12:Western Maryland-12'!J43)</f>
        <v>47298.84</v>
      </c>
      <c r="K28" s="411">
        <f>SUM('Anne Arundel-12:Western Maryland-12'!K43)</f>
        <v>2604017.3215912688</v>
      </c>
      <c r="L28" s="408">
        <f>K28-I28</f>
        <v>2600854.418393333</v>
      </c>
    </row>
    <row r="29" spans="1:12" ht="19.5" customHeight="1">
      <c r="A29" s="5" t="s">
        <v>689</v>
      </c>
      <c r="B29" s="5"/>
      <c r="C29" s="2" t="s">
        <v>282</v>
      </c>
      <c r="D29" s="10"/>
      <c r="E29" s="10"/>
      <c r="F29" s="411">
        <f>SUM('Anne Arundel-12:Western Maryland-12'!F44:F47)</f>
        <v>141104.35285714289</v>
      </c>
      <c r="G29" s="411">
        <f>SUM('Anne Arundel-12:Western Maryland-12'!G44:G47)</f>
        <v>36296.85</v>
      </c>
      <c r="H29" s="411">
        <f>SUM('Anne Arundel-12:Western Maryland-12'!H44:H47)</f>
        <v>5180166.5847907439</v>
      </c>
      <c r="I29" s="411">
        <f>SUM('Anne Arundel-12:Western Maryland-12'!I44:I47)</f>
        <v>325510.58625990147</v>
      </c>
      <c r="J29" s="411">
        <f>SUM('Anne Arundel-12:Western Maryland-12'!J44:J47)</f>
        <v>73477.5</v>
      </c>
      <c r="K29" s="411">
        <f>SUM('Anne Arundel-12:Western Maryland-12'!K44:K47)</f>
        <v>5432199.6710506454</v>
      </c>
      <c r="L29" s="408">
        <f>K29-I29</f>
        <v>5106689.0847907439</v>
      </c>
    </row>
    <row r="30" spans="1:12" ht="19.5" customHeight="1">
      <c r="D30" s="2"/>
      <c r="E30" s="2"/>
      <c r="F30" s="423"/>
      <c r="G30" s="423"/>
      <c r="H30" s="423"/>
      <c r="I30" s="423"/>
      <c r="J30" s="423"/>
      <c r="K30" s="423"/>
      <c r="L30" s="424"/>
    </row>
    <row r="31" spans="1:12" ht="19.5" customHeight="1">
      <c r="A31" s="418" t="s">
        <v>142</v>
      </c>
      <c r="B31" s="8"/>
      <c r="C31" s="2" t="s">
        <v>690</v>
      </c>
      <c r="F31" s="411">
        <f t="shared" ref="F31:L31" si="2">SUM(F25:F29)</f>
        <v>5275841.7422922943</v>
      </c>
      <c r="G31" s="411">
        <f t="shared" si="2"/>
        <v>258411.60843637632</v>
      </c>
      <c r="H31" s="407">
        <f t="shared" si="2"/>
        <v>300120169.59377426</v>
      </c>
      <c r="I31" s="407">
        <f t="shared" si="2"/>
        <v>70999665.263400212</v>
      </c>
      <c r="J31" s="407">
        <f t="shared" si="2"/>
        <v>582890.38249999995</v>
      </c>
      <c r="K31" s="407">
        <f t="shared" si="2"/>
        <v>370536944.4746744</v>
      </c>
      <c r="L31" s="408">
        <f t="shared" si="2"/>
        <v>299537279.21127427</v>
      </c>
    </row>
    <row r="32" spans="1:12">
      <c r="A32" s="8"/>
      <c r="B32" s="8"/>
      <c r="F32" s="414"/>
      <c r="G32" s="414"/>
      <c r="H32" s="414"/>
      <c r="I32" s="414"/>
      <c r="J32" s="414"/>
      <c r="K32" s="414"/>
      <c r="L32" s="414"/>
    </row>
    <row r="33" spans="1:12">
      <c r="A33" s="8"/>
      <c r="B33" s="8"/>
      <c r="F33" s="414"/>
      <c r="G33" s="414"/>
      <c r="H33" s="414"/>
      <c r="I33" s="414"/>
      <c r="J33" s="414"/>
      <c r="K33" s="414"/>
      <c r="L33" s="415"/>
    </row>
    <row r="34" spans="1:12" ht="38.25">
      <c r="A34" s="8"/>
      <c r="B34" s="8"/>
      <c r="F34" s="9" t="s">
        <v>9</v>
      </c>
      <c r="G34" s="9" t="s">
        <v>37</v>
      </c>
      <c r="H34" s="9" t="s">
        <v>682</v>
      </c>
      <c r="I34" s="9" t="s">
        <v>683</v>
      </c>
      <c r="J34" s="457" t="s">
        <v>679</v>
      </c>
      <c r="K34" s="458" t="s">
        <v>680</v>
      </c>
      <c r="L34" s="9" t="s">
        <v>681</v>
      </c>
    </row>
    <row r="35" spans="1:12" ht="12.75" customHeight="1">
      <c r="A35" s="6" t="s">
        <v>692</v>
      </c>
      <c r="B35" s="8"/>
      <c r="C35" s="419" t="s">
        <v>691</v>
      </c>
      <c r="J35" s="409"/>
      <c r="K35" s="410"/>
    </row>
    <row r="36" spans="1:12" ht="19.5" customHeight="1">
      <c r="B36" s="6"/>
      <c r="C36" s="2" t="s">
        <v>690</v>
      </c>
      <c r="D36" s="419"/>
      <c r="E36" s="419"/>
      <c r="F36" s="411">
        <f>SUM('Anne Arundel-12:Western Maryland-12'!F64)</f>
        <v>2200955.6576033058</v>
      </c>
      <c r="G36" s="411">
        <f>SUM('Anne Arundel-12:Western Maryland-12'!G64)</f>
        <v>892487.93295619823</v>
      </c>
      <c r="H36" s="407">
        <f>SUM('Anne Arundel-12:Western Maryland-12'!H64)</f>
        <v>363387868.44998145</v>
      </c>
      <c r="I36" s="407">
        <f>SUM('Anne Arundel-12:Western Maryland-12'!I64)</f>
        <v>83681981.350069374</v>
      </c>
      <c r="J36" s="407">
        <f>SUM('Anne Arundel-12:Western Maryland-12'!J64)</f>
        <v>130950081.89</v>
      </c>
      <c r="K36" s="407">
        <f>SUM('Anne Arundel-12:Western Maryland-12'!K64)</f>
        <v>316119767.91005087</v>
      </c>
      <c r="L36" s="408">
        <f>K36-I36</f>
        <v>232437786.5599815</v>
      </c>
    </row>
    <row r="37" spans="1:12">
      <c r="A37" s="5"/>
      <c r="B37" s="5"/>
      <c r="F37" s="435"/>
      <c r="G37" s="435"/>
      <c r="H37" s="435"/>
      <c r="I37" s="435"/>
      <c r="J37" s="435"/>
      <c r="K37" s="435"/>
      <c r="L37" s="451"/>
    </row>
    <row r="38" spans="1:12">
      <c r="A38" s="5"/>
      <c r="B38" s="5"/>
      <c r="F38" s="10"/>
      <c r="G38" s="10"/>
      <c r="H38" s="10"/>
      <c r="I38" s="10"/>
      <c r="J38" s="420"/>
      <c r="K38" s="421"/>
      <c r="L38" s="422"/>
    </row>
    <row r="39" spans="1:12" ht="38.25">
      <c r="A39" s="6" t="s">
        <v>693</v>
      </c>
      <c r="B39" s="8"/>
      <c r="C39" s="2" t="s">
        <v>12</v>
      </c>
      <c r="F39" s="9" t="s">
        <v>9</v>
      </c>
      <c r="G39" s="9" t="s">
        <v>37</v>
      </c>
      <c r="H39" s="9" t="s">
        <v>682</v>
      </c>
      <c r="I39" s="9" t="s">
        <v>683</v>
      </c>
      <c r="J39" s="457" t="s">
        <v>679</v>
      </c>
      <c r="K39" s="458" t="s">
        <v>680</v>
      </c>
      <c r="L39" s="9" t="s">
        <v>681</v>
      </c>
    </row>
    <row r="40" spans="1:12" ht="19.5" customHeight="1">
      <c r="A40" s="5" t="s">
        <v>694</v>
      </c>
      <c r="B40" s="8"/>
      <c r="C40" s="2" t="s">
        <v>52</v>
      </c>
      <c r="F40" s="411">
        <f>SUM('Anne Arundel-12:Western Maryland-12'!F68)</f>
        <v>96283.48</v>
      </c>
      <c r="G40" s="411">
        <f>SUM('Anne Arundel-12:Western Maryland-12'!G68)</f>
        <v>7097</v>
      </c>
      <c r="H40" s="411">
        <f>SUM('Anne Arundel-12:Western Maryland-12'!H68)</f>
        <v>5263307.2100000009</v>
      </c>
      <c r="I40" s="411">
        <f>SUM('Anne Arundel-12:Western Maryland-12'!I68)</f>
        <v>1618225.0783574674</v>
      </c>
      <c r="J40" s="411">
        <f>SUM('Anne Arundel-12:Western Maryland-12'!J68)</f>
        <v>1619302.6</v>
      </c>
      <c r="K40" s="411">
        <f>SUM('Anne Arundel-12:Western Maryland-12'!K68)</f>
        <v>5262229.6883574668</v>
      </c>
      <c r="L40" s="408">
        <f>K40-I40</f>
        <v>3644004.6099999994</v>
      </c>
    </row>
    <row r="41" spans="1:12" ht="19.5" customHeight="1">
      <c r="A41" s="5" t="s">
        <v>695</v>
      </c>
      <c r="B41" s="6"/>
      <c r="C41" s="2" t="s">
        <v>53</v>
      </c>
      <c r="F41" s="411">
        <f>SUM('Anne Arundel-12:Western Maryland-12'!F69)</f>
        <v>362.75</v>
      </c>
      <c r="G41" s="411">
        <f>SUM('Anne Arundel-12:Western Maryland-12'!G69)</f>
        <v>438</v>
      </c>
      <c r="H41" s="411">
        <f>SUM('Anne Arundel-12:Western Maryland-12'!H69)</f>
        <v>147124.065</v>
      </c>
      <c r="I41" s="411">
        <f>SUM('Anne Arundel-12:Western Maryland-12'!I69)</f>
        <v>6997.7147341262471</v>
      </c>
      <c r="J41" s="411">
        <f>SUM('Anne Arundel-12:Western Maryland-12'!J69)</f>
        <v>0</v>
      </c>
      <c r="K41" s="411">
        <f>SUM('Anne Arundel-12:Western Maryland-12'!K69)</f>
        <v>154121.77973412623</v>
      </c>
      <c r="L41" s="408">
        <f>K41-I41</f>
        <v>147124.06499999997</v>
      </c>
    </row>
    <row r="42" spans="1:12" ht="19.5" customHeight="1">
      <c r="A42" s="5" t="s">
        <v>696</v>
      </c>
      <c r="B42" s="5"/>
      <c r="C42" s="2" t="s">
        <v>282</v>
      </c>
      <c r="D42" s="2"/>
      <c r="E42" s="2"/>
      <c r="F42" s="411">
        <f>SUM('Anne Arundel-12:Western Maryland-12'!F70:F72)</f>
        <v>12000</v>
      </c>
      <c r="G42" s="411">
        <f>SUM('Anne Arundel-12:Western Maryland-12'!G70:G72)</f>
        <v>65</v>
      </c>
      <c r="H42" s="411">
        <f>SUM('Anne Arundel-12:Western Maryland-12'!H70:H72)</f>
        <v>833985</v>
      </c>
      <c r="I42" s="411">
        <f>SUM('Anne Arundel-12:Western Maryland-12'!I70:I72)</f>
        <v>494265.09940000001</v>
      </c>
      <c r="J42" s="411">
        <f>SUM('Anne Arundel-12:Western Maryland-12'!J70:J72)</f>
        <v>0</v>
      </c>
      <c r="K42" s="411">
        <f>SUM('Anne Arundel-12:Western Maryland-12'!K70:K72)</f>
        <v>1328250.0993999999</v>
      </c>
      <c r="L42" s="408">
        <f>K42-I42</f>
        <v>833985</v>
      </c>
    </row>
    <row r="43" spans="1:12" ht="19.5" customHeight="1">
      <c r="D43" s="2"/>
      <c r="E43" s="2"/>
      <c r="F43" s="423"/>
      <c r="G43" s="423"/>
      <c r="H43" s="423"/>
      <c r="I43" s="423"/>
      <c r="J43" s="423"/>
      <c r="K43" s="423"/>
      <c r="L43" s="424"/>
    </row>
    <row r="44" spans="1:12" ht="19.5" customHeight="1">
      <c r="A44" s="5" t="s">
        <v>146</v>
      </c>
      <c r="B44" s="5"/>
      <c r="C44" s="2" t="s">
        <v>690</v>
      </c>
      <c r="F44" s="425">
        <f t="shared" ref="F44:L44" si="3">SUM(F40:F42)</f>
        <v>108646.23</v>
      </c>
      <c r="G44" s="425">
        <f t="shared" si="3"/>
        <v>7600</v>
      </c>
      <c r="H44" s="407">
        <f t="shared" si="3"/>
        <v>6244416.2750000013</v>
      </c>
      <c r="I44" s="407">
        <f t="shared" si="3"/>
        <v>2119487.892491594</v>
      </c>
      <c r="J44" s="407">
        <f t="shared" si="3"/>
        <v>1619302.6</v>
      </c>
      <c r="K44" s="407">
        <f t="shared" si="3"/>
        <v>6744601.5674915928</v>
      </c>
      <c r="L44" s="408">
        <f t="shared" si="3"/>
        <v>4625113.6749999989</v>
      </c>
    </row>
    <row r="45" spans="1:12">
      <c r="A45" s="5"/>
      <c r="B45" s="5"/>
      <c r="C45" s="1"/>
      <c r="F45" s="452"/>
      <c r="G45" s="452"/>
      <c r="H45" s="452"/>
      <c r="I45" s="452"/>
      <c r="J45" s="452"/>
      <c r="K45" s="452"/>
      <c r="L45" s="381"/>
    </row>
    <row r="46" spans="1:12" ht="39">
      <c r="A46" s="418" t="s">
        <v>697</v>
      </c>
      <c r="B46" s="8"/>
      <c r="C46" s="426" t="s">
        <v>68</v>
      </c>
      <c r="F46" s="9" t="s">
        <v>9</v>
      </c>
      <c r="G46" s="9" t="s">
        <v>37</v>
      </c>
      <c r="H46" s="427" t="s">
        <v>682</v>
      </c>
      <c r="I46" s="427" t="s">
        <v>683</v>
      </c>
      <c r="J46" s="457" t="s">
        <v>679</v>
      </c>
      <c r="K46" s="458" t="s">
        <v>680</v>
      </c>
      <c r="L46" s="9" t="s">
        <v>681</v>
      </c>
    </row>
    <row r="47" spans="1:12" ht="15.75">
      <c r="A47" s="8"/>
      <c r="B47" s="8"/>
      <c r="C47" s="426"/>
      <c r="J47" s="409"/>
      <c r="K47" s="410"/>
    </row>
    <row r="48" spans="1:12" ht="19.5" customHeight="1">
      <c r="A48" s="5" t="s">
        <v>698</v>
      </c>
      <c r="B48" s="8"/>
      <c r="C48" s="6" t="s">
        <v>54</v>
      </c>
      <c r="F48" s="425">
        <f>SUM('Anne Arundel-12:Western Maryland-12'!F77)</f>
        <v>1029</v>
      </c>
      <c r="G48" s="425">
        <f>SUM('Anne Arundel-12:Western Maryland-12'!G77)</f>
        <v>75786</v>
      </c>
      <c r="H48" s="425">
        <f>SUM('Anne Arundel-12:Western Maryland-12'!H77)</f>
        <v>7868369.5324400002</v>
      </c>
      <c r="I48" s="425">
        <f>SUM('Anne Arundel-12:Western Maryland-12'!I77)</f>
        <v>408109.16354419303</v>
      </c>
      <c r="J48" s="425">
        <f>SUM('Anne Arundel-12:Western Maryland-12'!J77)</f>
        <v>239091</v>
      </c>
      <c r="K48" s="425">
        <f>SUM('Anne Arundel-12:Western Maryland-12'!K77)</f>
        <v>8037387.6959841931</v>
      </c>
      <c r="L48" s="408">
        <f>K48-I48</f>
        <v>7629278.5324400002</v>
      </c>
    </row>
    <row r="49" spans="1:12" ht="19.5" customHeight="1">
      <c r="A49" s="5" t="s">
        <v>699</v>
      </c>
      <c r="B49" s="6"/>
      <c r="C49" s="6" t="s">
        <v>55</v>
      </c>
      <c r="F49" s="425">
        <f>SUM('Anne Arundel-12:Western Maryland-12'!F78)</f>
        <v>6181.86</v>
      </c>
      <c r="G49" s="425">
        <f>SUM('Anne Arundel-12:Western Maryland-12'!G78)</f>
        <v>431</v>
      </c>
      <c r="H49" s="425">
        <f>SUM('Anne Arundel-12:Western Maryland-12'!H78)</f>
        <v>561975.76</v>
      </c>
      <c r="I49" s="425">
        <f>SUM('Anne Arundel-12:Western Maryland-12'!I78)</f>
        <v>30580.346440000001</v>
      </c>
      <c r="J49" s="425">
        <f>SUM('Anne Arundel-12:Western Maryland-12'!J78)</f>
        <v>193922</v>
      </c>
      <c r="K49" s="425">
        <f>SUM('Anne Arundel-12:Western Maryland-12'!K78)</f>
        <v>398634.10644</v>
      </c>
      <c r="L49" s="408">
        <f>K49-I49</f>
        <v>368053.76000000001</v>
      </c>
    </row>
    <row r="50" spans="1:12" ht="19.5" customHeight="1">
      <c r="A50" s="5" t="s">
        <v>700</v>
      </c>
      <c r="B50" s="5"/>
      <c r="C50" s="6" t="s">
        <v>13</v>
      </c>
      <c r="F50" s="425">
        <f>SUM('Anne Arundel-12:Western Maryland-12'!F79)</f>
        <v>32698.570000000003</v>
      </c>
      <c r="G50" s="425">
        <f>SUM('Anne Arundel-12:Western Maryland-12'!G79)</f>
        <v>176374.66</v>
      </c>
      <c r="H50" s="425">
        <f>SUM('Anne Arundel-12:Western Maryland-12'!H79)</f>
        <v>4918420.2135589626</v>
      </c>
      <c r="I50" s="425">
        <f>SUM('Anne Arundel-12:Western Maryland-12'!I79)</f>
        <v>605277.20408565621</v>
      </c>
      <c r="J50" s="425">
        <f>SUM('Anne Arundel-12:Western Maryland-12'!J79)</f>
        <v>206776</v>
      </c>
      <c r="K50" s="425">
        <f>SUM('Anne Arundel-12:Western Maryland-12'!K79)</f>
        <v>5316921.417644619</v>
      </c>
      <c r="L50" s="408">
        <f>K50-I50</f>
        <v>4711644.2135589626</v>
      </c>
    </row>
    <row r="51" spans="1:12" ht="19.5" customHeight="1">
      <c r="A51" s="5" t="s">
        <v>701</v>
      </c>
      <c r="B51" s="5"/>
      <c r="C51" s="6" t="s">
        <v>56</v>
      </c>
      <c r="F51" s="425">
        <f>SUM('Anne Arundel-12:Western Maryland-12'!F80)</f>
        <v>1226.5</v>
      </c>
      <c r="G51" s="425">
        <f>SUM('Anne Arundel-12:Western Maryland-12'!G80)</f>
        <v>28312</v>
      </c>
      <c r="H51" s="425">
        <f>SUM('Anne Arundel-12:Western Maryland-12'!H80)</f>
        <v>422736.89900638658</v>
      </c>
      <c r="I51" s="425">
        <f>SUM('Anne Arundel-12:Western Maryland-12'!I80)</f>
        <v>97467.996260506072</v>
      </c>
      <c r="J51" s="425">
        <f>SUM('Anne Arundel-12:Western Maryland-12'!J80)</f>
        <v>0</v>
      </c>
      <c r="K51" s="425">
        <f>SUM('Anne Arundel-12:Western Maryland-12'!K80)</f>
        <v>520204.89526689262</v>
      </c>
      <c r="L51" s="408">
        <f>K51-I51</f>
        <v>422736.89900638652</v>
      </c>
    </row>
    <row r="52" spans="1:12" ht="19.5" customHeight="1">
      <c r="A52" s="5"/>
      <c r="B52" s="5"/>
      <c r="C52" s="428"/>
      <c r="F52" s="429"/>
      <c r="G52" s="429"/>
      <c r="H52" s="429"/>
      <c r="I52" s="429"/>
      <c r="J52" s="429"/>
      <c r="K52" s="429"/>
      <c r="L52" s="424"/>
    </row>
    <row r="53" spans="1:12" ht="19.5" customHeight="1">
      <c r="A53" s="5" t="s">
        <v>148</v>
      </c>
      <c r="B53" s="5"/>
      <c r="C53" s="6" t="s">
        <v>690</v>
      </c>
      <c r="D53" s="428"/>
      <c r="E53" s="428"/>
      <c r="F53" s="425">
        <f>SUM(F48:F51)</f>
        <v>41135.93</v>
      </c>
      <c r="G53" s="425">
        <f t="shared" ref="G53:L53" si="4">SUM(G48:G51)</f>
        <v>280903.66000000003</v>
      </c>
      <c r="H53" s="407">
        <f t="shared" si="4"/>
        <v>13771502.405005351</v>
      </c>
      <c r="I53" s="407">
        <f t="shared" si="4"/>
        <v>1141434.7103303552</v>
      </c>
      <c r="J53" s="407">
        <f t="shared" si="4"/>
        <v>639789</v>
      </c>
      <c r="K53" s="407">
        <f t="shared" si="4"/>
        <v>14273148.115335705</v>
      </c>
      <c r="L53" s="408">
        <f t="shared" si="4"/>
        <v>13131713.405005349</v>
      </c>
    </row>
    <row r="54" spans="1:12">
      <c r="A54" s="5"/>
      <c r="B54" s="5"/>
      <c r="C54" s="6"/>
      <c r="D54" s="428"/>
      <c r="E54" s="428"/>
      <c r="F54" s="432"/>
      <c r="G54" s="432"/>
      <c r="H54" s="432"/>
      <c r="I54" s="432"/>
      <c r="J54" s="432"/>
      <c r="K54" s="432"/>
      <c r="L54" s="432"/>
    </row>
    <row r="55" spans="1:12">
      <c r="A55" s="5"/>
      <c r="F55" s="412"/>
      <c r="G55" s="412"/>
      <c r="H55" s="413"/>
      <c r="I55" s="413"/>
      <c r="J55" s="413"/>
      <c r="K55" s="413"/>
      <c r="L55" s="413"/>
    </row>
    <row r="56" spans="1:12">
      <c r="A56" s="5"/>
      <c r="B56" s="5"/>
      <c r="C56" s="6"/>
      <c r="F56" s="10"/>
      <c r="G56" s="10"/>
      <c r="J56" s="420"/>
      <c r="K56" s="421"/>
    </row>
    <row r="57" spans="1:12" ht="38.25">
      <c r="A57" s="6" t="s">
        <v>702</v>
      </c>
      <c r="B57" s="5"/>
      <c r="C57" s="2" t="s">
        <v>57</v>
      </c>
      <c r="F57" s="9" t="s">
        <v>9</v>
      </c>
      <c r="G57" s="9" t="s">
        <v>37</v>
      </c>
      <c r="H57" s="9" t="s">
        <v>682</v>
      </c>
      <c r="I57" s="9" t="s">
        <v>683</v>
      </c>
      <c r="J57" s="457" t="s">
        <v>679</v>
      </c>
      <c r="K57" s="458" t="s">
        <v>680</v>
      </c>
      <c r="L57" s="9" t="s">
        <v>681</v>
      </c>
    </row>
    <row r="58" spans="1:12">
      <c r="J58" s="409"/>
      <c r="K58" s="410"/>
    </row>
    <row r="59" spans="1:12" ht="17.25" customHeight="1">
      <c r="A59" s="5" t="s">
        <v>703</v>
      </c>
      <c r="B59" s="8"/>
      <c r="C59" s="2" t="s">
        <v>704</v>
      </c>
      <c r="F59" s="434">
        <f>SUM('Anne Arundel-12:Western Maryland-12'!F86)</f>
        <v>10140.5</v>
      </c>
      <c r="G59" s="434">
        <f>SUM('Anne Arundel-12:Western Maryland-12'!G86)</f>
        <v>312453</v>
      </c>
      <c r="H59" s="430">
        <f>SUM('Anne Arundel-12:Western Maryland-12'!H86)</f>
        <v>3576660.1306532337</v>
      </c>
      <c r="I59" s="430">
        <f>SUM('Anne Arundel-12:Western Maryland-12'!I86)</f>
        <v>196167.79657654476</v>
      </c>
      <c r="J59" s="430">
        <f>SUM('Anne Arundel-12:Western Maryland-12'!J86)</f>
        <v>2779792</v>
      </c>
      <c r="K59" s="430">
        <f>SUM('Anne Arundel-12:Western Maryland-12'!K86)</f>
        <v>993035.92722977896</v>
      </c>
      <c r="L59" s="431">
        <f>K59-I59</f>
        <v>796868.1306532342</v>
      </c>
    </row>
    <row r="60" spans="1:12" ht="17.25" customHeight="1">
      <c r="A60" s="5" t="s">
        <v>705</v>
      </c>
      <c r="B60" s="6"/>
      <c r="C60" s="2" t="s">
        <v>14</v>
      </c>
      <c r="D60" s="2"/>
      <c r="E60" s="2"/>
      <c r="F60" s="434">
        <f>SUM('Anne Arundel-12:Western Maryland-12'!F87)</f>
        <v>3371.75</v>
      </c>
      <c r="G60" s="434">
        <f>SUM('Anne Arundel-12:Western Maryland-12'!G87)</f>
        <v>6228</v>
      </c>
      <c r="H60" s="430">
        <f>SUM('Anne Arundel-12:Western Maryland-12'!H87)</f>
        <v>1358307.5854811112</v>
      </c>
      <c r="I60" s="430">
        <f>SUM('Anne Arundel-12:Western Maryland-12'!I87)</f>
        <v>658339.05563335854</v>
      </c>
      <c r="J60" s="430">
        <f>SUM('Anne Arundel-12:Western Maryland-12'!J87)</f>
        <v>394731</v>
      </c>
      <c r="K60" s="430">
        <f>SUM('Anne Arundel-12:Western Maryland-12'!K87)</f>
        <v>1621915.6411144696</v>
      </c>
      <c r="L60" s="431">
        <f t="shared" ref="L60:L68" si="5">K60-I60</f>
        <v>963576.58548111108</v>
      </c>
    </row>
    <row r="61" spans="1:12" ht="17.25" customHeight="1">
      <c r="A61" s="5" t="s">
        <v>706</v>
      </c>
      <c r="B61" s="5"/>
      <c r="C61" s="2" t="s">
        <v>707</v>
      </c>
      <c r="D61" s="2"/>
      <c r="E61" s="2"/>
      <c r="F61" s="434">
        <f>SUM('Anne Arundel-12:Western Maryland-12'!F88)</f>
        <v>23216.966666666667</v>
      </c>
      <c r="G61" s="434">
        <f>SUM('Anne Arundel-12:Western Maryland-12'!G88)</f>
        <v>32841</v>
      </c>
      <c r="H61" s="430">
        <f>SUM('Anne Arundel-12:Western Maryland-12'!H88)</f>
        <v>2328983.6879985891</v>
      </c>
      <c r="I61" s="430">
        <f>SUM('Anne Arundel-12:Western Maryland-12'!I88)</f>
        <v>1299046.2355646912</v>
      </c>
      <c r="J61" s="430">
        <f>SUM('Anne Arundel-12:Western Maryland-12'!J88)</f>
        <v>116273</v>
      </c>
      <c r="K61" s="430">
        <f>SUM('Anne Arundel-12:Western Maryland-12'!K88)</f>
        <v>3511756.9235632815</v>
      </c>
      <c r="L61" s="431">
        <f t="shared" si="5"/>
        <v>2212710.6879985901</v>
      </c>
    </row>
    <row r="62" spans="1:12" ht="17.25" customHeight="1">
      <c r="A62" s="5" t="s">
        <v>708</v>
      </c>
      <c r="B62" s="5"/>
      <c r="C62" s="2" t="s">
        <v>58</v>
      </c>
      <c r="D62" s="2"/>
      <c r="E62" s="2"/>
      <c r="F62" s="434">
        <f>SUM('Anne Arundel-12:Western Maryland-12'!F89)</f>
        <v>10596.4</v>
      </c>
      <c r="G62" s="434">
        <f>SUM('Anne Arundel-12:Western Maryland-12'!G89)</f>
        <v>5620</v>
      </c>
      <c r="H62" s="430">
        <f>SUM('Anne Arundel-12:Western Maryland-12'!H89)</f>
        <v>2624630.88</v>
      </c>
      <c r="I62" s="430">
        <f>SUM('Anne Arundel-12:Western Maryland-12'!I89)</f>
        <v>231613.21982005378</v>
      </c>
      <c r="J62" s="430">
        <f>SUM('Anne Arundel-12:Western Maryland-12'!J89)</f>
        <v>0</v>
      </c>
      <c r="K62" s="430">
        <f>SUM('Anne Arundel-12:Western Maryland-12'!K89)</f>
        <v>2856244.0998200537</v>
      </c>
      <c r="L62" s="431">
        <f t="shared" si="5"/>
        <v>2624630.88</v>
      </c>
    </row>
    <row r="63" spans="1:12" ht="17.25" customHeight="1">
      <c r="A63" s="5" t="s">
        <v>709</v>
      </c>
      <c r="B63" s="5"/>
      <c r="C63" s="406" t="s">
        <v>59</v>
      </c>
      <c r="D63" s="2"/>
      <c r="E63" s="2"/>
      <c r="F63" s="434">
        <f>SUM('Anne Arundel-12:Western Maryland-12'!F90)</f>
        <v>2749.5</v>
      </c>
      <c r="G63" s="434">
        <f>SUM('Anne Arundel-12:Western Maryland-12'!G90)</f>
        <v>1172</v>
      </c>
      <c r="H63" s="430">
        <f>SUM('Anne Arundel-12:Western Maryland-12'!H90)</f>
        <v>198978.62935200002</v>
      </c>
      <c r="I63" s="430">
        <f>SUM('Anne Arundel-12:Western Maryland-12'!I90)</f>
        <v>103176.14751500404</v>
      </c>
      <c r="J63" s="430">
        <f>SUM('Anne Arundel-12:Western Maryland-12'!J90)</f>
        <v>0</v>
      </c>
      <c r="K63" s="430">
        <f>SUM('Anne Arundel-12:Western Maryland-12'!K90)</f>
        <v>302154.77686700405</v>
      </c>
      <c r="L63" s="431">
        <f t="shared" si="5"/>
        <v>198978.62935200002</v>
      </c>
    </row>
    <row r="64" spans="1:12" ht="17.25" customHeight="1">
      <c r="A64" s="5" t="s">
        <v>710</v>
      </c>
      <c r="B64" s="5"/>
      <c r="C64" s="2" t="s">
        <v>60</v>
      </c>
      <c r="D64" s="433"/>
      <c r="E64" s="433"/>
      <c r="F64" s="434">
        <f>SUM('Anne Arundel-12:Western Maryland-12'!F91)</f>
        <v>8856.4</v>
      </c>
      <c r="G64" s="434">
        <f>SUM('Anne Arundel-12:Western Maryland-12'!G91)</f>
        <v>47644</v>
      </c>
      <c r="H64" s="430">
        <f>SUM('Anne Arundel-12:Western Maryland-12'!H91)</f>
        <v>1027131.7508651271</v>
      </c>
      <c r="I64" s="430">
        <f>SUM('Anne Arundel-12:Western Maryland-12'!I91)</f>
        <v>470362.95908735687</v>
      </c>
      <c r="J64" s="430">
        <f>SUM('Anne Arundel-12:Western Maryland-12'!J91)</f>
        <v>161</v>
      </c>
      <c r="K64" s="430">
        <f>SUM('Anne Arundel-12:Western Maryland-12'!K91)</f>
        <v>1497333.7099524844</v>
      </c>
      <c r="L64" s="431">
        <f t="shared" si="5"/>
        <v>1026970.7508651274</v>
      </c>
    </row>
    <row r="65" spans="1:12" ht="17.25" customHeight="1">
      <c r="A65" s="5" t="s">
        <v>711</v>
      </c>
      <c r="B65" s="5"/>
      <c r="C65" s="2" t="s">
        <v>712</v>
      </c>
      <c r="D65" s="2"/>
      <c r="E65" s="2"/>
      <c r="F65" s="434">
        <f>SUM('Anne Arundel-12:Western Maryland-12'!F92)</f>
        <v>4198.9750000000004</v>
      </c>
      <c r="G65" s="434">
        <f>SUM('Anne Arundel-12:Western Maryland-12'!G92)</f>
        <v>5349</v>
      </c>
      <c r="H65" s="430">
        <f>SUM('Anne Arundel-12:Western Maryland-12'!H92)</f>
        <v>1184870.6879034594</v>
      </c>
      <c r="I65" s="430">
        <f>SUM('Anne Arundel-12:Western Maryland-12'!I92)</f>
        <v>468728.59255195945</v>
      </c>
      <c r="J65" s="430">
        <f>SUM('Anne Arundel-12:Western Maryland-12'!J92)</f>
        <v>47922</v>
      </c>
      <c r="K65" s="430">
        <f>SUM('Anne Arundel-12:Western Maryland-12'!K92)</f>
        <v>1605677.2804554189</v>
      </c>
      <c r="L65" s="431">
        <f t="shared" si="5"/>
        <v>1136948.6879034594</v>
      </c>
    </row>
    <row r="66" spans="1:12" ht="17.25" customHeight="1">
      <c r="A66" s="5" t="s">
        <v>713</v>
      </c>
      <c r="B66" s="5"/>
      <c r="C66" s="2" t="s">
        <v>714</v>
      </c>
      <c r="D66" s="2"/>
      <c r="E66" s="2"/>
      <c r="F66" s="434">
        <f>SUM('Anne Arundel-12:Western Maryland-12'!F93)</f>
        <v>23054.400000000001</v>
      </c>
      <c r="G66" s="434">
        <f>SUM('Anne Arundel-12:Western Maryland-12'!G93)</f>
        <v>17520</v>
      </c>
      <c r="H66" s="430">
        <f>SUM('Anne Arundel-12:Western Maryland-12'!H93)</f>
        <v>2757631.8836269975</v>
      </c>
      <c r="I66" s="430">
        <f>SUM('Anne Arundel-12:Western Maryland-12'!I93)</f>
        <v>1492294.0730056292</v>
      </c>
      <c r="J66" s="430">
        <f>SUM('Anne Arundel-12:Western Maryland-12'!J93)</f>
        <v>13200</v>
      </c>
      <c r="K66" s="430">
        <f>SUM('Anne Arundel-12:Western Maryland-12'!K93)</f>
        <v>4236725.9566326262</v>
      </c>
      <c r="L66" s="431">
        <f t="shared" si="5"/>
        <v>2744431.883626997</v>
      </c>
    </row>
    <row r="67" spans="1:12" ht="17.25" customHeight="1">
      <c r="A67" s="5" t="s">
        <v>715</v>
      </c>
      <c r="B67" s="5"/>
      <c r="C67" s="2" t="s">
        <v>282</v>
      </c>
      <c r="D67" s="2"/>
      <c r="E67" s="2"/>
      <c r="F67" s="434">
        <f>SUM('Anne Arundel-12:Western Maryland-12'!F94)</f>
        <v>21907.337797885066</v>
      </c>
      <c r="G67" s="434">
        <f>SUM('Anne Arundel-12:Western Maryland-12'!G94)</f>
        <v>180208.51072878664</v>
      </c>
      <c r="H67" s="430">
        <f>SUM('Anne Arundel-12:Western Maryland-12'!H94)</f>
        <v>1551025.7278572642</v>
      </c>
      <c r="I67" s="430">
        <f>SUM('Anne Arundel-12:Western Maryland-12'!I94)</f>
        <v>682172.41206134774</v>
      </c>
      <c r="J67" s="430">
        <f>SUM('Anne Arundel-12:Western Maryland-12'!J94)</f>
        <v>6575</v>
      </c>
      <c r="K67" s="430">
        <f>SUM('Anne Arundel-12:Western Maryland-12'!K94)</f>
        <v>2226623.1399186119</v>
      </c>
      <c r="L67" s="431">
        <f t="shared" si="5"/>
        <v>1544450.7278572642</v>
      </c>
    </row>
    <row r="68" spans="1:12" ht="17.25" customHeight="1">
      <c r="A68" s="5" t="s">
        <v>112</v>
      </c>
      <c r="B68" s="5"/>
      <c r="C68" s="2" t="s">
        <v>282</v>
      </c>
      <c r="D68" s="2"/>
      <c r="E68" s="2"/>
      <c r="F68" s="434">
        <f>SUM('Anne Arundel-12:Western Maryland-12'!F95)</f>
        <v>1235</v>
      </c>
      <c r="G68" s="434">
        <f>SUM('Anne Arundel-12:Western Maryland-12'!G95)</f>
        <v>0</v>
      </c>
      <c r="H68" s="430">
        <f>SUM('Anne Arundel-12:Western Maryland-12'!H95)</f>
        <v>51870</v>
      </c>
      <c r="I68" s="430">
        <f>SUM('Anne Arundel-12:Western Maryland-12'!I95)</f>
        <v>26920.530000000002</v>
      </c>
      <c r="J68" s="430">
        <f>SUM('Anne Arundel-12:Western Maryland-12'!J95)</f>
        <v>0</v>
      </c>
      <c r="K68" s="430">
        <f>SUM('Anne Arundel-12:Western Maryland-12'!K95)</f>
        <v>78790.53</v>
      </c>
      <c r="L68" s="431">
        <f t="shared" si="5"/>
        <v>51870</v>
      </c>
    </row>
    <row r="69" spans="1:12" ht="17.25" customHeight="1">
      <c r="A69" s="5" t="s">
        <v>716</v>
      </c>
      <c r="B69" s="5"/>
      <c r="C69" s="500" t="s">
        <v>717</v>
      </c>
      <c r="D69" s="500"/>
      <c r="E69" s="500"/>
      <c r="F69" s="411">
        <f>SUM('Anne Arundel-12:Western Maryland-12'!F96)</f>
        <v>0</v>
      </c>
      <c r="G69" s="411">
        <f>SUM('Anne Arundel-12:Western Maryland-12'!G96)</f>
        <v>0</v>
      </c>
      <c r="H69" s="407">
        <f>SUM('Anne Arundel-12:Western Maryland-12'!H96)</f>
        <v>4314302</v>
      </c>
      <c r="I69" s="407">
        <f>SUM('Anne Arundel-12:Western Maryland-12'!I96)</f>
        <v>0</v>
      </c>
      <c r="J69" s="407">
        <f>SUM('Anne Arundel-12:Western Maryland-12'!J96)</f>
        <v>0</v>
      </c>
      <c r="K69" s="407">
        <f>SUM('Anne Arundel-12:Western Maryland-12'!K96)</f>
        <v>4314302</v>
      </c>
      <c r="L69" s="408">
        <f>K69-I69</f>
        <v>4314302</v>
      </c>
    </row>
    <row r="70" spans="1:12" ht="17.25" customHeight="1">
      <c r="B70" s="5"/>
      <c r="C70" s="1"/>
      <c r="D70" s="2"/>
      <c r="E70" s="2"/>
      <c r="H70" s="381"/>
      <c r="I70" s="381"/>
      <c r="J70" s="381"/>
      <c r="K70" s="381"/>
      <c r="L70" s="415"/>
    </row>
    <row r="71" spans="1:12" ht="17.25" customHeight="1">
      <c r="A71" s="6" t="s">
        <v>150</v>
      </c>
      <c r="B71" s="5"/>
      <c r="C71" s="2" t="s">
        <v>690</v>
      </c>
      <c r="F71" s="434">
        <f t="shared" ref="F71:L71" si="6">SUM(F59:F69)</f>
        <v>109327.22946455172</v>
      </c>
      <c r="G71" s="434">
        <f t="shared" si="6"/>
        <v>609035.5107287867</v>
      </c>
      <c r="H71" s="430">
        <f t="shared" si="6"/>
        <v>20974392.963737786</v>
      </c>
      <c r="I71" s="430">
        <f t="shared" si="6"/>
        <v>5628821.0218159463</v>
      </c>
      <c r="J71" s="430">
        <f t="shared" si="6"/>
        <v>3358654</v>
      </c>
      <c r="K71" s="430">
        <f t="shared" si="6"/>
        <v>23244559.985553727</v>
      </c>
      <c r="L71" s="431">
        <f t="shared" si="6"/>
        <v>17615738.963737786</v>
      </c>
    </row>
    <row r="72" spans="1:12">
      <c r="A72" s="5"/>
      <c r="B72" s="5"/>
      <c r="C72" s="2"/>
      <c r="F72" s="435"/>
      <c r="G72" s="435"/>
      <c r="H72" s="435"/>
      <c r="I72" s="435"/>
      <c r="J72" s="435"/>
      <c r="K72" s="435"/>
      <c r="L72" s="435"/>
    </row>
    <row r="73" spans="1:12">
      <c r="A73" s="8"/>
      <c r="B73" s="8"/>
      <c r="C73" s="2"/>
      <c r="F73" s="10"/>
      <c r="G73" s="10"/>
      <c r="J73" s="420"/>
      <c r="K73" s="421"/>
    </row>
    <row r="74" spans="1:12" ht="38.25">
      <c r="A74" s="2" t="s">
        <v>718</v>
      </c>
      <c r="B74" s="2"/>
      <c r="C74" s="2" t="s">
        <v>63</v>
      </c>
      <c r="F74" s="9" t="s">
        <v>9</v>
      </c>
      <c r="G74" s="9" t="s">
        <v>37</v>
      </c>
      <c r="H74" s="9" t="s">
        <v>682</v>
      </c>
      <c r="I74" s="9" t="s">
        <v>683</v>
      </c>
      <c r="J74" s="457" t="s">
        <v>679</v>
      </c>
      <c r="K74" s="458" t="s">
        <v>680</v>
      </c>
      <c r="L74" s="9" t="s">
        <v>681</v>
      </c>
    </row>
    <row r="75" spans="1:12">
      <c r="A75" s="8"/>
      <c r="B75" s="8"/>
      <c r="C75" s="2"/>
      <c r="J75" s="409"/>
      <c r="K75" s="410"/>
    </row>
    <row r="76" spans="1:12" ht="15" customHeight="1">
      <c r="A76" s="5" t="s">
        <v>719</v>
      </c>
      <c r="B76" s="8"/>
      <c r="C76" t="s">
        <v>720</v>
      </c>
      <c r="F76" s="434">
        <f>SUM('Anne Arundel-12:Western Maryland-12'!F102)</f>
        <v>59116.35</v>
      </c>
      <c r="G76" s="434">
        <f>SUM('Anne Arundel-12:Western Maryland-12'!G102)</f>
        <v>874</v>
      </c>
      <c r="H76" s="407">
        <f>SUM('Anne Arundel-12:Western Maryland-12'!H102)</f>
        <v>4098175.8070176458</v>
      </c>
      <c r="I76" s="407">
        <f>SUM('Anne Arundel-12:Western Maryland-12'!I102)</f>
        <v>1556490.6307003731</v>
      </c>
      <c r="J76" s="407">
        <f>SUM('Anne Arundel-12:Western Maryland-12'!J102)</f>
        <v>0</v>
      </c>
      <c r="K76" s="407">
        <f>SUM('Anne Arundel-12:Western Maryland-12'!K102)</f>
        <v>5654666.437718018</v>
      </c>
      <c r="L76" s="408">
        <f>K76-I76</f>
        <v>4098175.8070176449</v>
      </c>
    </row>
    <row r="77" spans="1:12" ht="15" customHeight="1">
      <c r="A77" s="5" t="s">
        <v>721</v>
      </c>
      <c r="B77" s="6"/>
      <c r="C77" s="404" t="s">
        <v>62</v>
      </c>
      <c r="F77" s="434">
        <f>SUM('Anne Arundel-12:Western Maryland-12'!F103)</f>
        <v>8892.5</v>
      </c>
      <c r="G77" s="434">
        <f>SUM('Anne Arundel-12:Western Maryland-12'!G103)</f>
        <v>4292</v>
      </c>
      <c r="H77" s="407">
        <f>SUM('Anne Arundel-12:Western Maryland-12'!H103)</f>
        <v>688481.72117240785</v>
      </c>
      <c r="I77" s="407">
        <f>SUM('Anne Arundel-12:Western Maryland-12'!I103)</f>
        <v>339658.55504601385</v>
      </c>
      <c r="J77" s="407">
        <f>SUM('Anne Arundel-12:Western Maryland-12'!J103)</f>
        <v>0</v>
      </c>
      <c r="K77" s="407">
        <f>SUM('Anne Arundel-12:Western Maryland-12'!K103)</f>
        <v>1028140.2762184215</v>
      </c>
      <c r="L77" s="408">
        <f>K77-I77</f>
        <v>688481.72117240774</v>
      </c>
    </row>
    <row r="78" spans="1:12" ht="15" customHeight="1">
      <c r="A78" s="5" t="s">
        <v>722</v>
      </c>
      <c r="B78" s="5"/>
      <c r="C78" t="s">
        <v>247</v>
      </c>
      <c r="D78" s="417"/>
      <c r="E78" s="417"/>
      <c r="F78" s="434">
        <f>SUM('Anne Arundel-12:Western Maryland-12'!F104)</f>
        <v>528</v>
      </c>
      <c r="G78" s="434">
        <f>SUM('Anne Arundel-12:Western Maryland-12'!G104)</f>
        <v>314</v>
      </c>
      <c r="H78" s="407">
        <f>SUM('Anne Arundel-12:Western Maryland-12'!H104)</f>
        <v>1287461.0998999998</v>
      </c>
      <c r="I78" s="407">
        <f>SUM('Anne Arundel-12:Western Maryland-12'!I104)</f>
        <v>670082.30248539476</v>
      </c>
      <c r="J78" s="407">
        <f>SUM('Anne Arundel-12:Western Maryland-12'!J104)</f>
        <v>10355</v>
      </c>
      <c r="K78" s="407">
        <f>SUM('Anne Arundel-12:Western Maryland-12'!K104)</f>
        <v>1947188.4023853948</v>
      </c>
      <c r="L78" s="408">
        <f>K78-I78</f>
        <v>1277106.0999</v>
      </c>
    </row>
    <row r="79" spans="1:12" ht="15" customHeight="1">
      <c r="A79" s="5" t="s">
        <v>723</v>
      </c>
      <c r="B79" s="5"/>
      <c r="C79" s="2"/>
      <c r="F79" s="434">
        <f>SUM('Anne Arundel-12:Western Maryland-12'!F105)</f>
        <v>25</v>
      </c>
      <c r="G79" s="434">
        <f>SUM('Anne Arundel-12:Western Maryland-12'!G105)</f>
        <v>4000</v>
      </c>
      <c r="H79" s="407">
        <f>SUM('Anne Arundel-12:Western Maryland-12'!H105)</f>
        <v>1042</v>
      </c>
      <c r="I79" s="407">
        <f>SUM('Anne Arundel-12:Western Maryland-12'!I105)</f>
        <v>397.91873595048054</v>
      </c>
      <c r="J79" s="407">
        <f>SUM('Anne Arundel-12:Western Maryland-12'!J105)</f>
        <v>0</v>
      </c>
      <c r="K79" s="407">
        <f>SUM('Anne Arundel-12:Western Maryland-12'!K105)</f>
        <v>1439.9187359504806</v>
      </c>
      <c r="L79" s="408">
        <f>K79-I79</f>
        <v>1042</v>
      </c>
    </row>
    <row r="80" spans="1:12" ht="15" customHeight="1">
      <c r="A80" s="5" t="s">
        <v>724</v>
      </c>
      <c r="B80" s="5"/>
      <c r="C80" s="63"/>
      <c r="F80" s="411">
        <f>SUM('Anne Arundel-12:Western Maryland-12'!F106)</f>
        <v>30</v>
      </c>
      <c r="G80" s="411">
        <f>SUM('Anne Arundel-12:Western Maryland-12'!G106)</f>
        <v>0</v>
      </c>
      <c r="H80" s="407">
        <f>SUM('Anne Arundel-12:Western Maryland-12'!H106)</f>
        <v>1251</v>
      </c>
      <c r="I80" s="407">
        <f>SUM('Anne Arundel-12:Western Maryland-12'!I106)</f>
        <v>477.73161101156541</v>
      </c>
      <c r="J80" s="407">
        <f>SUM('Anne Arundel-12:Western Maryland-12'!J106)</f>
        <v>0</v>
      </c>
      <c r="K80" s="407">
        <f>SUM('Anne Arundel-12:Western Maryland-12'!K106)</f>
        <v>1728.7316110115653</v>
      </c>
      <c r="L80" s="408">
        <f>K80-I80</f>
        <v>1251</v>
      </c>
    </row>
    <row r="81" spans="1:12" ht="15" customHeight="1">
      <c r="A81" s="5"/>
      <c r="B81" s="5"/>
      <c r="C81" s="63"/>
      <c r="F81" s="454"/>
      <c r="G81" s="436"/>
      <c r="H81" s="436"/>
      <c r="I81" s="436"/>
      <c r="J81" s="436"/>
      <c r="K81" s="436"/>
    </row>
    <row r="82" spans="1:12" ht="15" customHeight="1">
      <c r="A82" s="2" t="s">
        <v>153</v>
      </c>
      <c r="B82" s="8"/>
      <c r="C82" s="63" t="s">
        <v>690</v>
      </c>
      <c r="D82" s="415"/>
      <c r="E82" s="415"/>
      <c r="F82" s="434">
        <f>SUM(F76:F80)</f>
        <v>68591.850000000006</v>
      </c>
      <c r="G82" s="434">
        <f t="shared" ref="G82:L82" si="7">SUM(G76:G80)</f>
        <v>9480</v>
      </c>
      <c r="H82" s="407">
        <f t="shared" si="7"/>
        <v>6076411.6280900538</v>
      </c>
      <c r="I82" s="407">
        <f t="shared" si="7"/>
        <v>2567107.1385787437</v>
      </c>
      <c r="J82" s="407">
        <f t="shared" si="7"/>
        <v>10355</v>
      </c>
      <c r="K82" s="407">
        <f t="shared" si="7"/>
        <v>8633163.7666687965</v>
      </c>
      <c r="L82" s="408">
        <f t="shared" si="7"/>
        <v>6066056.6280900519</v>
      </c>
    </row>
    <row r="83" spans="1:12" ht="15" customHeight="1">
      <c r="A83" s="8"/>
      <c r="B83" s="8"/>
      <c r="C83" s="63"/>
      <c r="D83" s="415"/>
      <c r="E83" s="415"/>
      <c r="F83" s="437"/>
      <c r="G83" s="437"/>
      <c r="H83" s="437"/>
      <c r="I83" s="437"/>
      <c r="J83" s="437"/>
      <c r="K83" s="437"/>
      <c r="L83" s="422"/>
    </row>
    <row r="84" spans="1:12">
      <c r="A84" s="8"/>
      <c r="B84" s="8"/>
      <c r="C84" s="63"/>
      <c r="D84" s="415"/>
      <c r="E84" s="415"/>
      <c r="F84" s="10"/>
      <c r="G84" s="10"/>
      <c r="H84" s="10"/>
      <c r="I84" s="10"/>
      <c r="J84" s="420"/>
      <c r="K84" s="421"/>
      <c r="L84" s="422"/>
    </row>
    <row r="85" spans="1:12" ht="16.5" customHeight="1">
      <c r="A85" s="6" t="s">
        <v>725</v>
      </c>
      <c r="B85" s="8"/>
      <c r="C85" s="2" t="s">
        <v>39</v>
      </c>
      <c r="D85" s="10"/>
      <c r="E85" s="10"/>
      <c r="J85" s="420"/>
      <c r="K85" s="410"/>
    </row>
    <row r="86" spans="1:12" ht="20.25" customHeight="1">
      <c r="B86" s="438"/>
      <c r="F86" s="407">
        <f>SUM('Anne Arundel-12:Western Maryland-12'!F111)</f>
        <v>487132405.96700001</v>
      </c>
      <c r="H86" s="427"/>
      <c r="I86" s="427"/>
      <c r="J86" s="409"/>
      <c r="K86" s="410"/>
    </row>
    <row r="87" spans="1:12">
      <c r="B87" s="6"/>
      <c r="C87" s="2"/>
      <c r="J87" s="409"/>
      <c r="K87" s="410"/>
    </row>
    <row r="88" spans="1:12">
      <c r="A88" s="8"/>
      <c r="B88" s="8"/>
      <c r="J88" s="409"/>
      <c r="K88" s="410"/>
    </row>
    <row r="89" spans="1:12" ht="38.25">
      <c r="A89" s="8"/>
      <c r="B89" s="8"/>
      <c r="F89" s="9" t="s">
        <v>9</v>
      </c>
      <c r="G89" s="9" t="s">
        <v>37</v>
      </c>
      <c r="H89" s="9" t="s">
        <v>682</v>
      </c>
      <c r="I89" s="9" t="s">
        <v>683</v>
      </c>
      <c r="J89" s="457" t="s">
        <v>679</v>
      </c>
      <c r="K89" s="458" t="s">
        <v>680</v>
      </c>
      <c r="L89" s="9" t="s">
        <v>681</v>
      </c>
    </row>
    <row r="90" spans="1:12">
      <c r="A90" s="6" t="s">
        <v>726</v>
      </c>
      <c r="B90" s="5"/>
      <c r="C90" s="2" t="s">
        <v>23</v>
      </c>
      <c r="J90" s="409"/>
      <c r="K90" s="410"/>
    </row>
    <row r="91" spans="1:12">
      <c r="B91" s="8"/>
      <c r="C91" s="2"/>
      <c r="F91" s="449"/>
      <c r="G91" s="449"/>
      <c r="H91" s="450"/>
      <c r="I91" s="450"/>
      <c r="J91" s="450"/>
      <c r="K91" s="450"/>
      <c r="L91" s="450"/>
    </row>
    <row r="92" spans="1:12">
      <c r="A92" s="5" t="s">
        <v>727</v>
      </c>
      <c r="B92" s="6"/>
      <c r="C92" s="2" t="s">
        <v>24</v>
      </c>
      <c r="F92" s="434">
        <f>SUM('Anne Arundel-12:Western Maryland-12'!F131)</f>
        <v>10398.495000100134</v>
      </c>
      <c r="G92" s="434">
        <f>SUM('Anne Arundel-12:Western Maryland-12'!G131)</f>
        <v>2184.6666666666665</v>
      </c>
      <c r="H92" s="430">
        <f>SUM('Anne Arundel-12:Western Maryland-12'!H131)</f>
        <v>695231.96314616199</v>
      </c>
      <c r="I92" s="430">
        <f>SUM('Anne Arundel-12:Western Maryland-12'!I131)</f>
        <v>91478.400132709372</v>
      </c>
      <c r="J92" s="430">
        <f>SUM('Anne Arundel-12:Western Maryland-12'!J131)</f>
        <v>8078</v>
      </c>
      <c r="K92" s="430">
        <f>SUM('Anne Arundel-12:Western Maryland-12'!K131)</f>
        <v>778632.3632788714</v>
      </c>
      <c r="L92" s="431">
        <f>K92-I92</f>
        <v>687153.96314616199</v>
      </c>
    </row>
    <row r="93" spans="1:12">
      <c r="A93" s="5" t="s">
        <v>728</v>
      </c>
      <c r="B93" s="5"/>
      <c r="C93" s="2" t="s">
        <v>25</v>
      </c>
      <c r="F93" s="434">
        <f>SUM('Anne Arundel-12:Western Maryland-12'!F132)</f>
        <v>45799</v>
      </c>
      <c r="G93" s="434">
        <f>SUM('Anne Arundel-12:Western Maryland-12'!G132)</f>
        <v>40971</v>
      </c>
      <c r="H93" s="430">
        <f>SUM('Anne Arundel-12:Western Maryland-12'!H132)</f>
        <v>1452747.36</v>
      </c>
      <c r="I93" s="430">
        <f>SUM('Anne Arundel-12:Western Maryland-12'!I132)</f>
        <v>55248.600917822791</v>
      </c>
      <c r="J93" s="430">
        <f>SUM('Anne Arundel-12:Western Maryland-12'!J132)</f>
        <v>0</v>
      </c>
      <c r="K93" s="430">
        <f>SUM('Anne Arundel-12:Western Maryland-12'!K132)</f>
        <v>1507995.9609178228</v>
      </c>
      <c r="L93" s="431">
        <f>K93-I93</f>
        <v>1452747.36</v>
      </c>
    </row>
    <row r="94" spans="1:12">
      <c r="A94" s="5"/>
      <c r="B94" s="5"/>
      <c r="C94" s="2"/>
      <c r="F94" s="435"/>
      <c r="G94" s="435"/>
      <c r="H94" s="456"/>
      <c r="I94" s="456"/>
      <c r="J94" s="456"/>
      <c r="K94" s="456"/>
      <c r="L94" s="456"/>
    </row>
    <row r="95" spans="1:12">
      <c r="A95" s="5"/>
      <c r="B95" s="5"/>
      <c r="F95" s="412"/>
      <c r="G95" s="412"/>
      <c r="H95" s="413"/>
      <c r="I95" s="413"/>
      <c r="J95" s="413"/>
      <c r="K95" s="413"/>
      <c r="L95" s="413"/>
    </row>
    <row r="96" spans="1:12">
      <c r="A96" s="5"/>
      <c r="B96" s="5"/>
      <c r="H96" s="381"/>
      <c r="I96" s="381"/>
      <c r="J96" s="381"/>
      <c r="K96" s="381"/>
      <c r="L96" s="415"/>
    </row>
    <row r="97" spans="1:12">
      <c r="A97" s="5" t="s">
        <v>163</v>
      </c>
      <c r="B97" s="5"/>
      <c r="C97" s="2" t="s">
        <v>690</v>
      </c>
      <c r="F97" s="411">
        <f t="shared" ref="F97:L97" si="8">SUM(F91:F95)</f>
        <v>56197.495000100134</v>
      </c>
      <c r="G97" s="411">
        <f t="shared" si="8"/>
        <v>43155.666666666664</v>
      </c>
      <c r="H97" s="407">
        <f t="shared" si="8"/>
        <v>2147979.3231461621</v>
      </c>
      <c r="I97" s="407">
        <f t="shared" si="8"/>
        <v>146727.00105053216</v>
      </c>
      <c r="J97" s="407">
        <f t="shared" si="8"/>
        <v>8078</v>
      </c>
      <c r="K97" s="407">
        <f t="shared" si="8"/>
        <v>2286628.3241966944</v>
      </c>
      <c r="L97" s="408">
        <f t="shared" si="8"/>
        <v>2139901.3231461621</v>
      </c>
    </row>
    <row r="98" spans="1:12">
      <c r="A98" s="6"/>
      <c r="B98" s="6"/>
      <c r="F98" s="453"/>
      <c r="G98" s="453"/>
      <c r="H98" s="453"/>
      <c r="I98" s="453"/>
      <c r="J98" s="453"/>
      <c r="K98" s="453"/>
      <c r="L98" s="453"/>
    </row>
    <row r="99" spans="1:12">
      <c r="A99" s="8"/>
      <c r="B99" s="8"/>
      <c r="F99" s="10"/>
      <c r="G99" s="10"/>
      <c r="H99" s="10"/>
      <c r="I99" s="10"/>
      <c r="J99" s="420"/>
      <c r="K99" s="421"/>
      <c r="L99" s="10"/>
    </row>
    <row r="100" spans="1:12" ht="38.25">
      <c r="A100" s="2"/>
      <c r="F100" s="9" t="s">
        <v>9</v>
      </c>
      <c r="G100" s="9" t="s">
        <v>37</v>
      </c>
      <c r="H100" s="9" t="s">
        <v>682</v>
      </c>
      <c r="I100" s="9" t="s">
        <v>683</v>
      </c>
      <c r="J100" s="457" t="s">
        <v>679</v>
      </c>
      <c r="K100" s="458" t="s">
        <v>680</v>
      </c>
      <c r="L100" s="9" t="s">
        <v>681</v>
      </c>
    </row>
    <row r="101" spans="1:12" ht="15" customHeight="1">
      <c r="A101" t="s">
        <v>729</v>
      </c>
      <c r="C101" s="2" t="s">
        <v>26</v>
      </c>
      <c r="J101" s="409"/>
      <c r="K101" s="410"/>
    </row>
    <row r="102" spans="1:12" ht="18" customHeight="1">
      <c r="A102" s="5" t="s">
        <v>730</v>
      </c>
      <c r="B102" s="6"/>
      <c r="C102" s="2" t="s">
        <v>64</v>
      </c>
      <c r="F102" s="425">
        <f>F20</f>
        <v>899742.42095238087</v>
      </c>
      <c r="G102" s="425">
        <f t="shared" ref="G102:L102" si="9">G20</f>
        <v>14862012.734072013</v>
      </c>
      <c r="H102" s="425">
        <f t="shared" si="9"/>
        <v>68212459.497873977</v>
      </c>
      <c r="I102" s="425">
        <f t="shared" si="9"/>
        <v>30127914.913788751</v>
      </c>
      <c r="J102" s="425">
        <f t="shared" si="9"/>
        <v>5485549.1275000004</v>
      </c>
      <c r="K102" s="425">
        <f t="shared" si="9"/>
        <v>92854825.28416273</v>
      </c>
      <c r="L102" s="425">
        <f t="shared" si="9"/>
        <v>62726910.370373979</v>
      </c>
    </row>
    <row r="103" spans="1:12" ht="18" customHeight="1">
      <c r="A103" s="5" t="s">
        <v>535</v>
      </c>
      <c r="B103" s="5"/>
      <c r="C103" s="2" t="s">
        <v>65</v>
      </c>
      <c r="F103" s="425">
        <f t="shared" ref="F103:L103" si="10">F31</f>
        <v>5275841.7422922943</v>
      </c>
      <c r="G103" s="425">
        <f t="shared" si="10"/>
        <v>258411.60843637632</v>
      </c>
      <c r="H103" s="439">
        <f t="shared" si="10"/>
        <v>300120169.59377426</v>
      </c>
      <c r="I103" s="439">
        <f t="shared" si="10"/>
        <v>70999665.263400212</v>
      </c>
      <c r="J103" s="440">
        <f t="shared" si="10"/>
        <v>582890.38249999995</v>
      </c>
      <c r="K103" s="440">
        <f t="shared" si="10"/>
        <v>370536944.4746744</v>
      </c>
      <c r="L103" s="440">
        <f t="shared" si="10"/>
        <v>299537279.21127427</v>
      </c>
    </row>
    <row r="104" spans="1:12" ht="18" customHeight="1">
      <c r="A104" s="5" t="s">
        <v>731</v>
      </c>
      <c r="B104" s="5"/>
      <c r="C104" s="2" t="s">
        <v>66</v>
      </c>
      <c r="F104" s="425">
        <f t="shared" ref="F104:L104" si="11">F36</f>
        <v>2200955.6576033058</v>
      </c>
      <c r="G104" s="425">
        <f t="shared" si="11"/>
        <v>892487.93295619823</v>
      </c>
      <c r="H104" s="439">
        <f t="shared" si="11"/>
        <v>363387868.44998145</v>
      </c>
      <c r="I104" s="439">
        <f t="shared" si="11"/>
        <v>83681981.350069374</v>
      </c>
      <c r="J104" s="440">
        <f t="shared" si="11"/>
        <v>130950081.89</v>
      </c>
      <c r="K104" s="440">
        <f t="shared" si="11"/>
        <v>316119767.91005087</v>
      </c>
      <c r="L104" s="440">
        <f t="shared" si="11"/>
        <v>232437786.5599815</v>
      </c>
    </row>
    <row r="105" spans="1:12" ht="18" customHeight="1">
      <c r="A105" s="5" t="s">
        <v>527</v>
      </c>
      <c r="B105" s="5"/>
      <c r="C105" s="2" t="s">
        <v>67</v>
      </c>
      <c r="F105" s="425">
        <f>F44</f>
        <v>108646.23</v>
      </c>
      <c r="G105" s="425">
        <f t="shared" ref="G105:L105" si="12">G44</f>
        <v>7600</v>
      </c>
      <c r="H105" s="439">
        <f t="shared" si="12"/>
        <v>6244416.2750000013</v>
      </c>
      <c r="I105" s="439">
        <f t="shared" si="12"/>
        <v>2119487.892491594</v>
      </c>
      <c r="J105" s="440">
        <f t="shared" si="12"/>
        <v>1619302.6</v>
      </c>
      <c r="K105" s="440">
        <f t="shared" si="12"/>
        <v>6744601.5674915928</v>
      </c>
      <c r="L105" s="440">
        <f t="shared" si="12"/>
        <v>4625113.6749999989</v>
      </c>
    </row>
    <row r="106" spans="1:12" ht="18" customHeight="1">
      <c r="A106" s="5" t="s">
        <v>732</v>
      </c>
      <c r="B106" s="5"/>
      <c r="C106" s="2" t="s">
        <v>68</v>
      </c>
      <c r="F106" s="425">
        <f>F53</f>
        <v>41135.93</v>
      </c>
      <c r="G106" s="425">
        <f t="shared" ref="G106:L106" si="13">G53</f>
        <v>280903.66000000003</v>
      </c>
      <c r="H106" s="439">
        <f t="shared" si="13"/>
        <v>13771502.405005351</v>
      </c>
      <c r="I106" s="439">
        <f t="shared" si="13"/>
        <v>1141434.7103303552</v>
      </c>
      <c r="J106" s="440">
        <f t="shared" si="13"/>
        <v>639789</v>
      </c>
      <c r="K106" s="440">
        <f t="shared" si="13"/>
        <v>14273148.115335705</v>
      </c>
      <c r="L106" s="440">
        <f t="shared" si="13"/>
        <v>13131713.405005349</v>
      </c>
    </row>
    <row r="107" spans="1:12" ht="18" customHeight="1">
      <c r="A107" s="5" t="s">
        <v>733</v>
      </c>
      <c r="B107" s="5"/>
      <c r="C107" s="2" t="s">
        <v>69</v>
      </c>
      <c r="F107" s="425">
        <f t="shared" ref="F107:L107" si="14">F71</f>
        <v>109327.22946455172</v>
      </c>
      <c r="G107" s="425">
        <f t="shared" si="14"/>
        <v>609035.5107287867</v>
      </c>
      <c r="H107" s="439">
        <f t="shared" si="14"/>
        <v>20974392.963737786</v>
      </c>
      <c r="I107" s="439">
        <f t="shared" si="14"/>
        <v>5628821.0218159463</v>
      </c>
      <c r="J107" s="440">
        <f t="shared" si="14"/>
        <v>3358654</v>
      </c>
      <c r="K107" s="440">
        <f t="shared" si="14"/>
        <v>23244559.985553727</v>
      </c>
      <c r="L107" s="440">
        <f t="shared" si="14"/>
        <v>17615738.963737786</v>
      </c>
    </row>
    <row r="108" spans="1:12" ht="18" customHeight="1">
      <c r="A108" s="5" t="s">
        <v>734</v>
      </c>
      <c r="B108" s="5"/>
      <c r="C108" s="2" t="s">
        <v>61</v>
      </c>
      <c r="F108" s="425">
        <f>F82</f>
        <v>68591.850000000006</v>
      </c>
      <c r="G108" s="425">
        <f t="shared" ref="G108:L108" si="15">G82</f>
        <v>9480</v>
      </c>
      <c r="H108" s="439">
        <f t="shared" si="15"/>
        <v>6076411.6280900538</v>
      </c>
      <c r="I108" s="439">
        <f t="shared" si="15"/>
        <v>2567107.1385787437</v>
      </c>
      <c r="J108" s="440">
        <f t="shared" si="15"/>
        <v>10355</v>
      </c>
      <c r="K108" s="440">
        <f t="shared" si="15"/>
        <v>8633163.7666687965</v>
      </c>
      <c r="L108" s="440">
        <f t="shared" si="15"/>
        <v>6066056.6280900519</v>
      </c>
    </row>
    <row r="109" spans="1:12" ht="18" customHeight="1">
      <c r="A109" s="5" t="s">
        <v>735</v>
      </c>
      <c r="B109" s="5"/>
      <c r="C109" s="2" t="s">
        <v>70</v>
      </c>
      <c r="F109" s="425">
        <v>0</v>
      </c>
      <c r="G109" s="425">
        <v>0</v>
      </c>
      <c r="H109" s="439">
        <f>F86</f>
        <v>487132405.96700001</v>
      </c>
      <c r="I109" s="439">
        <v>0</v>
      </c>
      <c r="J109" s="440">
        <v>0</v>
      </c>
      <c r="K109" s="440">
        <f>F86</f>
        <v>487132405.96700001</v>
      </c>
      <c r="L109" s="440">
        <f>F86</f>
        <v>487132405.96700001</v>
      </c>
    </row>
    <row r="110" spans="1:12" ht="18" customHeight="1">
      <c r="A110" s="5" t="s">
        <v>736</v>
      </c>
      <c r="B110" s="5"/>
      <c r="C110" s="2" t="s">
        <v>71</v>
      </c>
      <c r="F110" s="425">
        <f t="shared" ref="F110:L110" si="16">F97</f>
        <v>56197.495000100134</v>
      </c>
      <c r="G110" s="425">
        <f t="shared" si="16"/>
        <v>43155.666666666664</v>
      </c>
      <c r="H110" s="439">
        <f t="shared" si="16"/>
        <v>2147979.3231461621</v>
      </c>
      <c r="I110" s="439">
        <f t="shared" si="16"/>
        <v>146727.00105053216</v>
      </c>
      <c r="J110" s="440">
        <f t="shared" si="16"/>
        <v>8078</v>
      </c>
      <c r="K110" s="440">
        <f t="shared" si="16"/>
        <v>2286628.3241966944</v>
      </c>
      <c r="L110" s="440">
        <f t="shared" si="16"/>
        <v>2139901.3231461621</v>
      </c>
    </row>
    <row r="111" spans="1:12" ht="18" customHeight="1">
      <c r="A111" s="5" t="s">
        <v>185</v>
      </c>
      <c r="B111" s="5"/>
      <c r="C111" s="2" t="s">
        <v>183</v>
      </c>
      <c r="F111" s="425">
        <f t="shared" ref="F111:L111" si="17">F6</f>
        <v>0</v>
      </c>
      <c r="G111" s="425">
        <f t="shared" si="17"/>
        <v>0</v>
      </c>
      <c r="H111" s="439">
        <f t="shared" si="17"/>
        <v>389825000</v>
      </c>
      <c r="I111" s="439">
        <f t="shared" si="17"/>
        <v>0</v>
      </c>
      <c r="J111" s="440">
        <f t="shared" si="17"/>
        <v>333349115</v>
      </c>
      <c r="K111" s="440">
        <f t="shared" si="17"/>
        <v>56475885</v>
      </c>
      <c r="L111" s="440">
        <f t="shared" si="17"/>
        <v>56475885</v>
      </c>
    </row>
    <row r="112" spans="1:12">
      <c r="A112" s="5"/>
      <c r="B112" s="5"/>
      <c r="C112" s="2"/>
      <c r="F112" s="48"/>
      <c r="G112" s="48"/>
      <c r="H112" s="381"/>
      <c r="I112" s="381"/>
      <c r="J112" s="381"/>
      <c r="K112" s="381"/>
      <c r="L112" s="415"/>
    </row>
    <row r="113" spans="1:14" ht="15" customHeight="1">
      <c r="A113" s="5" t="s">
        <v>165</v>
      </c>
      <c r="B113" s="8"/>
      <c r="C113" s="2" t="s">
        <v>26</v>
      </c>
      <c r="F113" s="434">
        <f t="shared" ref="F113:K113" si="18">SUM(F102:F111)</f>
        <v>8760438.5553126317</v>
      </c>
      <c r="G113" s="434">
        <f t="shared" si="18"/>
        <v>16963087.112860043</v>
      </c>
      <c r="H113" s="430">
        <f t="shared" si="18"/>
        <v>1657892606.1036088</v>
      </c>
      <c r="I113" s="430">
        <f t="shared" si="18"/>
        <v>196413139.29152551</v>
      </c>
      <c r="J113" s="430">
        <f t="shared" si="18"/>
        <v>476003815</v>
      </c>
      <c r="K113" s="430">
        <f t="shared" si="18"/>
        <v>1378301930.3951344</v>
      </c>
      <c r="L113" s="431">
        <f>K113-I113</f>
        <v>1181888791.1036088</v>
      </c>
    </row>
    <row r="114" spans="1:14" ht="18" customHeight="1">
      <c r="A114" s="8"/>
      <c r="B114" s="6"/>
      <c r="C114" s="2"/>
      <c r="F114" s="435"/>
      <c r="G114" s="435"/>
      <c r="H114" s="435"/>
      <c r="I114" s="435"/>
      <c r="J114" s="441"/>
      <c r="K114" s="441"/>
      <c r="L114" s="441"/>
    </row>
    <row r="115" spans="1:14" ht="24.75" customHeight="1">
      <c r="A115" s="6"/>
      <c r="B115" s="6"/>
      <c r="C115" s="2" t="s">
        <v>737</v>
      </c>
      <c r="D115" s="442">
        <f>SUM('[6]AAMC 11:WMHS 11'!F121)</f>
        <v>13039588671.793743</v>
      </c>
      <c r="E115" s="443"/>
      <c r="F115" s="407">
        <f>SUM('Anne Arundel-12:Western Maryland-12'!F121)</f>
        <v>13532154004.168001</v>
      </c>
      <c r="J115" s="10"/>
      <c r="K115" s="10"/>
    </row>
    <row r="116" spans="1:14">
      <c r="A116" s="6"/>
      <c r="B116" s="6"/>
      <c r="D116" s="2"/>
      <c r="E116" s="444"/>
      <c r="M116" s="421"/>
    </row>
    <row r="117" spans="1:14" ht="20.25" customHeight="1">
      <c r="A117" s="6"/>
      <c r="B117" s="8"/>
      <c r="C117" s="2" t="s">
        <v>738</v>
      </c>
      <c r="D117" s="445">
        <f>K113/D115</f>
        <v>0.10570133499506572</v>
      </c>
      <c r="E117" s="446"/>
      <c r="F117" s="455">
        <f>K113/F115</f>
        <v>0.10185384603002652</v>
      </c>
      <c r="L117" s="420"/>
      <c r="M117" s="410"/>
    </row>
    <row r="118" spans="1:14" ht="13.5" customHeight="1">
      <c r="A118" s="8"/>
      <c r="B118" s="8"/>
      <c r="D118" s="2"/>
      <c r="E118" s="444"/>
      <c r="K118" s="2"/>
      <c r="L118" s="409"/>
      <c r="M118" s="410"/>
    </row>
    <row r="119" spans="1:14" ht="23.25" customHeight="1">
      <c r="A119" s="8"/>
      <c r="B119" s="8"/>
      <c r="C119" s="2" t="s">
        <v>739</v>
      </c>
      <c r="D119" s="447">
        <f>L113/D115</f>
        <v>9.0638502551862066E-2</v>
      </c>
      <c r="E119" s="448"/>
      <c r="F119" s="455">
        <f>L113/F115</f>
        <v>8.7339295040507123E-2</v>
      </c>
      <c r="L119" s="409"/>
      <c r="M119" s="410"/>
    </row>
    <row r="120" spans="1:14">
      <c r="A120" s="8"/>
      <c r="L120" s="409"/>
      <c r="M120" s="409"/>
      <c r="N120" s="410"/>
    </row>
    <row r="121" spans="1:14">
      <c r="B121" s="10"/>
    </row>
    <row r="122" spans="1:14">
      <c r="A122" s="10"/>
      <c r="B122" s="10"/>
    </row>
    <row r="123" spans="1:14">
      <c r="A123" s="10"/>
      <c r="B123" s="10"/>
    </row>
    <row r="124" spans="1:14">
      <c r="A124" s="10"/>
    </row>
  </sheetData>
  <sheetProtection password="EF72" sheet="1" objects="1" scenarios="1"/>
  <mergeCells count="2">
    <mergeCell ref="C69:E69"/>
    <mergeCell ref="F1:H1"/>
  </mergeCells>
  <pageMargins left="0.75" right="0.75" top="1" bottom="1" header="0.5" footer="0.5"/>
  <pageSetup scale="60" fitToHeight="0" orientation="landscape" r:id="rId1"/>
  <headerFooter alignWithMargins="0">
    <oddHeader>&amp;CFY 2011 Aggregate Data</oddHeader>
    <oddFooter>&amp;CPage &amp;P</oddFooter>
  </headerFooter>
  <rowBreaks count="3" manualBreakCount="3">
    <brk id="33" max="11" man="1"/>
    <brk id="56" max="11" man="1"/>
    <brk id="99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80" zoomScaleNormal="50" zoomScaleSheetLayoutView="8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84" t="s">
        <v>440</v>
      </c>
      <c r="D5" s="534"/>
      <c r="E5" s="534"/>
      <c r="F5" s="534"/>
      <c r="G5" s="535"/>
    </row>
    <row r="6" spans="1:11" ht="18" customHeight="1">
      <c r="B6" s="5" t="s">
        <v>3</v>
      </c>
      <c r="C6" s="655">
        <v>35</v>
      </c>
      <c r="D6" s="656"/>
      <c r="E6" s="656"/>
      <c r="F6" s="656"/>
      <c r="G6" s="657"/>
    </row>
    <row r="7" spans="1:11" ht="18" customHeight="1">
      <c r="B7" s="5" t="s">
        <v>4</v>
      </c>
      <c r="C7" s="640">
        <v>809</v>
      </c>
      <c r="D7" s="641"/>
      <c r="E7" s="641"/>
      <c r="F7" s="641"/>
      <c r="G7" s="642"/>
    </row>
    <row r="9" spans="1:11" ht="18" customHeight="1">
      <c r="B9" s="5" t="s">
        <v>1</v>
      </c>
      <c r="C9" s="584" t="s">
        <v>439</v>
      </c>
      <c r="D9" s="534"/>
      <c r="E9" s="534"/>
      <c r="F9" s="534"/>
      <c r="G9" s="535"/>
    </row>
    <row r="10" spans="1:11" ht="18" customHeight="1">
      <c r="B10" s="5" t="s">
        <v>2</v>
      </c>
      <c r="C10" s="586" t="s">
        <v>438</v>
      </c>
      <c r="D10" s="543"/>
      <c r="E10" s="543"/>
      <c r="F10" s="543"/>
      <c r="G10" s="544"/>
    </row>
    <row r="11" spans="1:11" ht="18" customHeight="1">
      <c r="B11" s="5" t="s">
        <v>32</v>
      </c>
      <c r="C11" s="584" t="s">
        <v>437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3237751</v>
      </c>
      <c r="I18" s="55">
        <v>0</v>
      </c>
      <c r="J18" s="15">
        <v>2768682</v>
      </c>
      <c r="K18" s="16">
        <f>(H18+I18)-J18</f>
        <v>469069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482</v>
      </c>
      <c r="G21" s="54">
        <v>162670</v>
      </c>
      <c r="H21" s="15">
        <v>210791</v>
      </c>
      <c r="I21" s="55">
        <v>139722</v>
      </c>
      <c r="J21" s="15">
        <v>0</v>
      </c>
      <c r="K21" s="16">
        <f t="shared" ref="K21:K34" si="0">(H21+I21)-J21</f>
        <v>350513</v>
      </c>
    </row>
    <row r="22" spans="1:11" ht="18" customHeight="1">
      <c r="A22" s="5" t="s">
        <v>76</v>
      </c>
      <c r="B22" t="s">
        <v>6</v>
      </c>
      <c r="F22" s="54"/>
      <c r="G22" s="54"/>
      <c r="H22" s="15"/>
      <c r="I22" s="55">
        <f>H22*F$114</f>
        <v>0</v>
      </c>
      <c r="J22" s="15"/>
      <c r="K22" s="16">
        <f t="shared" si="0"/>
        <v>0</v>
      </c>
    </row>
    <row r="23" spans="1:11" ht="18" customHeight="1">
      <c r="A23" s="5" t="s">
        <v>77</v>
      </c>
      <c r="B23" t="s">
        <v>43</v>
      </c>
      <c r="F23" s="54"/>
      <c r="G23" s="54"/>
      <c r="H23" s="15"/>
      <c r="I23" s="55">
        <f>H23*F$114</f>
        <v>0</v>
      </c>
      <c r="J23" s="15"/>
      <c r="K23" s="16">
        <f t="shared" si="0"/>
        <v>0</v>
      </c>
    </row>
    <row r="24" spans="1:11" ht="18" customHeight="1">
      <c r="A24" s="5" t="s">
        <v>78</v>
      </c>
      <c r="B24" t="s">
        <v>44</v>
      </c>
      <c r="F24" s="54">
        <v>127</v>
      </c>
      <c r="G24" s="54">
        <v>348</v>
      </c>
      <c r="H24" s="15">
        <v>15142</v>
      </c>
      <c r="I24" s="55">
        <v>11276</v>
      </c>
      <c r="J24" s="15">
        <v>1240</v>
      </c>
      <c r="K24" s="16">
        <f t="shared" si="0"/>
        <v>25178</v>
      </c>
    </row>
    <row r="25" spans="1:11" ht="18" customHeight="1">
      <c r="A25" s="5" t="s">
        <v>79</v>
      </c>
      <c r="B25" t="s">
        <v>5</v>
      </c>
      <c r="F25" s="54"/>
      <c r="G25" s="54"/>
      <c r="H25" s="15"/>
      <c r="I25" s="55">
        <f>H25*F$114</f>
        <v>0</v>
      </c>
      <c r="J25" s="15"/>
      <c r="K25" s="16">
        <f t="shared" si="0"/>
        <v>0</v>
      </c>
    </row>
    <row r="26" spans="1:11" ht="18" customHeight="1">
      <c r="A26" s="5" t="s">
        <v>80</v>
      </c>
      <c r="B26" t="s">
        <v>45</v>
      </c>
      <c r="F26" s="54"/>
      <c r="G26" s="54"/>
      <c r="H26" s="15"/>
      <c r="I26" s="55">
        <f>H26*F$114</f>
        <v>0</v>
      </c>
      <c r="J26" s="15"/>
      <c r="K26" s="16">
        <f t="shared" si="0"/>
        <v>0</v>
      </c>
    </row>
    <row r="27" spans="1:11" ht="18" customHeight="1">
      <c r="A27" s="5" t="s">
        <v>81</v>
      </c>
      <c r="B27" t="s">
        <v>46</v>
      </c>
      <c r="F27" s="54"/>
      <c r="G27" s="54"/>
      <c r="H27" s="15"/>
      <c r="I27" s="55">
        <f>H27*F$114</f>
        <v>0</v>
      </c>
      <c r="J27" s="15"/>
      <c r="K27" s="16">
        <f t="shared" si="0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15"/>
      <c r="I28" s="55">
        <f>H28*F$114</f>
        <v>0</v>
      </c>
      <c r="J28" s="15"/>
      <c r="K28" s="16">
        <f t="shared" si="0"/>
        <v>0</v>
      </c>
    </row>
    <row r="29" spans="1:11" ht="18" customHeight="1">
      <c r="A29" s="5" t="s">
        <v>83</v>
      </c>
      <c r="B29" t="s">
        <v>48</v>
      </c>
      <c r="F29" s="54">
        <v>208</v>
      </c>
      <c r="G29" s="54">
        <v>311</v>
      </c>
      <c r="H29" s="15">
        <v>39813</v>
      </c>
      <c r="I29" s="55">
        <v>27101</v>
      </c>
      <c r="J29" s="15">
        <v>35</v>
      </c>
      <c r="K29" s="16">
        <f t="shared" si="0"/>
        <v>66879</v>
      </c>
    </row>
    <row r="30" spans="1:11" ht="18" customHeight="1">
      <c r="A30" s="5" t="s">
        <v>84</v>
      </c>
      <c r="B30" s="547"/>
      <c r="C30" s="548"/>
      <c r="D30" s="549"/>
      <c r="F30" s="54"/>
      <c r="G30" s="54"/>
      <c r="H30" s="15"/>
      <c r="I30" s="55">
        <f>H30*F$114</f>
        <v>0</v>
      </c>
      <c r="J30" s="15"/>
      <c r="K30" s="16">
        <f t="shared" si="0"/>
        <v>0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>H31*F$114</f>
        <v>0</v>
      </c>
      <c r="J31" s="15"/>
      <c r="K31" s="16">
        <f t="shared" si="0"/>
        <v>0</v>
      </c>
    </row>
    <row r="32" spans="1:11" ht="18" customHeight="1">
      <c r="A32" s="5" t="s">
        <v>134</v>
      </c>
      <c r="B32" s="73"/>
      <c r="C32" s="74"/>
      <c r="D32" s="75"/>
      <c r="F32" s="54"/>
      <c r="G32" s="52" t="s">
        <v>85</v>
      </c>
      <c r="H32" s="15"/>
      <c r="I32" s="55">
        <f>H32*F$114</f>
        <v>0</v>
      </c>
      <c r="J32" s="15"/>
      <c r="K32" s="16">
        <f t="shared" si="0"/>
        <v>0</v>
      </c>
    </row>
    <row r="33" spans="1:11" ht="18" customHeight="1">
      <c r="A33" s="5" t="s">
        <v>135</v>
      </c>
      <c r="B33" s="73"/>
      <c r="C33" s="74"/>
      <c r="D33" s="75"/>
      <c r="F33" s="54"/>
      <c r="G33" s="52" t="s">
        <v>85</v>
      </c>
      <c r="H33" s="15"/>
      <c r="I33" s="55">
        <f>H33*F$114</f>
        <v>0</v>
      </c>
      <c r="J33" s="15"/>
      <c r="K33" s="16">
        <f t="shared" si="0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>H34*F$114</f>
        <v>0</v>
      </c>
      <c r="J34" s="15"/>
      <c r="K34" s="16">
        <f t="shared" si="0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1">SUM(F21:F34)</f>
        <v>817</v>
      </c>
      <c r="G36" s="18">
        <f t="shared" si="1"/>
        <v>163329</v>
      </c>
      <c r="H36" s="18">
        <f t="shared" si="1"/>
        <v>265746</v>
      </c>
      <c r="I36" s="16">
        <f t="shared" si="1"/>
        <v>178099</v>
      </c>
      <c r="J36" s="16">
        <f t="shared" si="1"/>
        <v>1275</v>
      </c>
      <c r="K36" s="16">
        <f t="shared" si="1"/>
        <v>442570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/>
      <c r="G40" s="54"/>
      <c r="H40" s="15"/>
      <c r="I40" s="55">
        <v>0</v>
      </c>
      <c r="J40" s="15"/>
      <c r="K40" s="16">
        <f t="shared" ref="K40:K47" si="2">(H40+I40)-J40</f>
        <v>0</v>
      </c>
    </row>
    <row r="41" spans="1:11" ht="18" customHeight="1">
      <c r="A41" s="5" t="s">
        <v>88</v>
      </c>
      <c r="B41" s="550" t="s">
        <v>50</v>
      </c>
      <c r="C41" s="551"/>
      <c r="F41" s="54">
        <v>2844</v>
      </c>
      <c r="G41" s="54">
        <v>0</v>
      </c>
      <c r="H41" s="15">
        <v>74281</v>
      </c>
      <c r="I41" s="55">
        <v>55145</v>
      </c>
      <c r="J41" s="15"/>
      <c r="K41" s="16">
        <f t="shared" si="2"/>
        <v>129426</v>
      </c>
    </row>
    <row r="42" spans="1:11" ht="18" customHeight="1">
      <c r="A42" s="5" t="s">
        <v>89</v>
      </c>
      <c r="B42" s="1" t="s">
        <v>11</v>
      </c>
      <c r="F42" s="54">
        <v>2372</v>
      </c>
      <c r="G42" s="54">
        <v>43</v>
      </c>
      <c r="H42" s="15">
        <v>65747</v>
      </c>
      <c r="I42" s="55">
        <v>48351</v>
      </c>
      <c r="J42" s="15"/>
      <c r="K42" s="16">
        <f t="shared" si="2"/>
        <v>114098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/>
      <c r="I43" s="55">
        <v>0</v>
      </c>
      <c r="J43" s="15"/>
      <c r="K43" s="16">
        <f t="shared" si="2"/>
        <v>0</v>
      </c>
    </row>
    <row r="44" spans="1:11" ht="18" customHeight="1">
      <c r="A44" s="5" t="s">
        <v>91</v>
      </c>
      <c r="B44" s="547" t="s">
        <v>436</v>
      </c>
      <c r="C44" s="548"/>
      <c r="D44" s="549"/>
      <c r="F44" s="82">
        <v>662</v>
      </c>
      <c r="G44" s="82">
        <v>0</v>
      </c>
      <c r="H44" s="82">
        <v>17295</v>
      </c>
      <c r="I44" s="83">
        <v>12874</v>
      </c>
      <c r="J44" s="82"/>
      <c r="K44" s="81">
        <f t="shared" si="2"/>
        <v>30169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2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2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2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3">SUM(F40:F47)</f>
        <v>5878</v>
      </c>
      <c r="G49" s="23">
        <f t="shared" si="3"/>
        <v>43</v>
      </c>
      <c r="H49" s="16">
        <f t="shared" si="3"/>
        <v>157323</v>
      </c>
      <c r="I49" s="16">
        <f t="shared" si="3"/>
        <v>116370</v>
      </c>
      <c r="J49" s="16">
        <f t="shared" si="3"/>
        <v>0</v>
      </c>
      <c r="K49" s="16">
        <f t="shared" si="3"/>
        <v>273693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85" t="s">
        <v>435</v>
      </c>
      <c r="C53" s="559"/>
      <c r="D53" s="532"/>
      <c r="F53" s="54">
        <v>9</v>
      </c>
      <c r="G53" s="54">
        <v>0</v>
      </c>
      <c r="H53" s="15">
        <v>722465</v>
      </c>
      <c r="I53" s="55">
        <v>196</v>
      </c>
      <c r="J53" s="15"/>
      <c r="K53" s="16">
        <f t="shared" ref="K53:K62" si="4">(H53+I53)-J53</f>
        <v>722661</v>
      </c>
    </row>
    <row r="54" spans="1:11" ht="18" customHeight="1">
      <c r="A54" s="5" t="s">
        <v>93</v>
      </c>
      <c r="B54" s="585" t="s">
        <v>434</v>
      </c>
      <c r="C54" s="559"/>
      <c r="D54" s="532"/>
      <c r="F54" s="54">
        <v>0</v>
      </c>
      <c r="G54" s="54">
        <v>0</v>
      </c>
      <c r="H54" s="15">
        <v>1818388</v>
      </c>
      <c r="I54" s="55">
        <v>0</v>
      </c>
      <c r="J54" s="15"/>
      <c r="K54" s="16">
        <f t="shared" si="4"/>
        <v>1818388</v>
      </c>
    </row>
    <row r="55" spans="1:11" ht="18" customHeight="1">
      <c r="A55" s="5" t="s">
        <v>94</v>
      </c>
      <c r="B55" s="530"/>
      <c r="C55" s="531"/>
      <c r="D55" s="532"/>
      <c r="F55" s="54"/>
      <c r="G55" s="54"/>
      <c r="H55" s="15"/>
      <c r="I55" s="55">
        <v>0</v>
      </c>
      <c r="J55" s="15"/>
      <c r="K55" s="16">
        <f t="shared" si="4"/>
        <v>0</v>
      </c>
    </row>
    <row r="56" spans="1:11" ht="18" customHeight="1">
      <c r="A56" s="5" t="s">
        <v>95</v>
      </c>
      <c r="B56" s="530"/>
      <c r="C56" s="531"/>
      <c r="D56" s="532"/>
      <c r="F56" s="54" t="s">
        <v>740</v>
      </c>
      <c r="G56" s="54"/>
      <c r="H56" s="15"/>
      <c r="I56" s="55">
        <v>0</v>
      </c>
      <c r="J56" s="15"/>
      <c r="K56" s="16">
        <f t="shared" si="4"/>
        <v>0</v>
      </c>
    </row>
    <row r="57" spans="1:11" ht="18" customHeight="1">
      <c r="A57" s="5" t="s">
        <v>96</v>
      </c>
      <c r="B57" s="557" t="s">
        <v>433</v>
      </c>
      <c r="C57" s="531"/>
      <c r="D57" s="532"/>
      <c r="F57" s="54">
        <v>0</v>
      </c>
      <c r="G57" s="54">
        <v>0</v>
      </c>
      <c r="H57" s="15">
        <v>987882</v>
      </c>
      <c r="I57" s="55">
        <v>174783</v>
      </c>
      <c r="J57" s="15">
        <v>120044</v>
      </c>
      <c r="K57" s="16">
        <f t="shared" si="4"/>
        <v>1042621</v>
      </c>
    </row>
    <row r="58" spans="1:11" ht="18" customHeight="1">
      <c r="A58" s="5" t="s">
        <v>97</v>
      </c>
      <c r="B58" s="76"/>
      <c r="C58" s="77"/>
      <c r="D58" s="78"/>
      <c r="F58" s="54"/>
      <c r="G58" s="54"/>
      <c r="H58" s="15"/>
      <c r="I58" s="55">
        <v>0</v>
      </c>
      <c r="J58" s="15"/>
      <c r="K58" s="16">
        <f t="shared" si="4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v>0</v>
      </c>
      <c r="J59" s="15"/>
      <c r="K59" s="16">
        <f t="shared" si="4"/>
        <v>0</v>
      </c>
    </row>
    <row r="60" spans="1:11" ht="18" customHeight="1">
      <c r="A60" s="5" t="s">
        <v>99</v>
      </c>
      <c r="B60" s="76"/>
      <c r="C60" s="77"/>
      <c r="D60" s="78"/>
      <c r="F60" s="54"/>
      <c r="G60" s="54"/>
      <c r="H60" s="15"/>
      <c r="I60" s="55">
        <v>0</v>
      </c>
      <c r="J60" s="15"/>
      <c r="K60" s="16">
        <f t="shared" si="4"/>
        <v>0</v>
      </c>
    </row>
    <row r="61" spans="1:11" ht="18" customHeight="1">
      <c r="A61" s="5" t="s">
        <v>100</v>
      </c>
      <c r="B61" s="76"/>
      <c r="C61" s="77"/>
      <c r="D61" s="78"/>
      <c r="F61" s="54"/>
      <c r="G61" s="54"/>
      <c r="H61" s="15"/>
      <c r="I61" s="55">
        <v>0</v>
      </c>
      <c r="J61" s="15"/>
      <c r="K61" s="16">
        <f t="shared" si="4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4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5">SUM(F53:F62)</f>
        <v>9</v>
      </c>
      <c r="G64" s="18">
        <f t="shared" si="5"/>
        <v>0</v>
      </c>
      <c r="H64" s="16">
        <f t="shared" si="5"/>
        <v>3528735</v>
      </c>
      <c r="I64" s="16">
        <f t="shared" si="5"/>
        <v>174979</v>
      </c>
      <c r="J64" s="16">
        <f t="shared" si="5"/>
        <v>120044</v>
      </c>
      <c r="K64" s="16">
        <f t="shared" si="5"/>
        <v>3583670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/>
      <c r="G68" s="51"/>
      <c r="H68" s="51"/>
      <c r="I68" s="55">
        <v>0</v>
      </c>
      <c r="J68" s="51"/>
      <c r="K68" s="16">
        <f>(H68+I68)-J68</f>
        <v>0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76"/>
      <c r="C70" s="77"/>
      <c r="D70" s="78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76"/>
      <c r="C71" s="77"/>
      <c r="D71" s="78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79"/>
      <c r="C72" s="80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6">SUM(F68:F72)</f>
        <v>0</v>
      </c>
      <c r="G74" s="21">
        <f t="shared" si="6"/>
        <v>0</v>
      </c>
      <c r="H74" s="21">
        <f t="shared" si="6"/>
        <v>0</v>
      </c>
      <c r="I74" s="53">
        <f t="shared" si="6"/>
        <v>0</v>
      </c>
      <c r="J74" s="21">
        <f t="shared" si="6"/>
        <v>0</v>
      </c>
      <c r="K74" s="56">
        <f t="shared" si="6"/>
        <v>0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>
        <v>19</v>
      </c>
      <c r="G77" s="54">
        <v>0</v>
      </c>
      <c r="H77" s="15">
        <v>61026</v>
      </c>
      <c r="I77" s="55">
        <v>218</v>
      </c>
      <c r="J77" s="15">
        <v>0</v>
      </c>
      <c r="K77" s="16">
        <f>(H77+I77)-J77</f>
        <v>61244</v>
      </c>
    </row>
    <row r="78" spans="1:11" ht="18" customHeight="1">
      <c r="A78" s="5" t="s">
        <v>108</v>
      </c>
      <c r="B78" s="1" t="s">
        <v>55</v>
      </c>
      <c r="F78" s="54"/>
      <c r="G78" s="54"/>
      <c r="H78" s="15"/>
      <c r="I78" s="55"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>
        <v>446</v>
      </c>
      <c r="G79" s="54">
        <v>2100</v>
      </c>
      <c r="H79" s="15">
        <v>27733</v>
      </c>
      <c r="I79" s="55">
        <v>7038</v>
      </c>
      <c r="J79" s="15">
        <v>0</v>
      </c>
      <c r="K79" s="16">
        <f>(H79+I79)-J79</f>
        <v>34771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7">SUM(F77:F80)</f>
        <v>465</v>
      </c>
      <c r="G82" s="21">
        <f t="shared" si="7"/>
        <v>2100</v>
      </c>
      <c r="H82" s="56">
        <f t="shared" si="7"/>
        <v>88759</v>
      </c>
      <c r="I82" s="56">
        <f t="shared" si="7"/>
        <v>7256</v>
      </c>
      <c r="J82" s="56">
        <f t="shared" si="7"/>
        <v>0</v>
      </c>
      <c r="K82" s="56">
        <f t="shared" si="7"/>
        <v>96015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f>H86*F$114</f>
        <v>0</v>
      </c>
      <c r="J86" s="15"/>
      <c r="K86" s="16">
        <f t="shared" ref="K86:K96" si="8">(H86+I86)-J86</f>
        <v>0</v>
      </c>
    </row>
    <row r="87" spans="1:11" ht="18" customHeight="1">
      <c r="A87" s="5" t="s">
        <v>114</v>
      </c>
      <c r="B87" s="1" t="s">
        <v>14</v>
      </c>
      <c r="F87" s="54">
        <v>12</v>
      </c>
      <c r="G87" s="54">
        <v>0</v>
      </c>
      <c r="H87" s="15">
        <v>957</v>
      </c>
      <c r="I87" s="55">
        <v>72</v>
      </c>
      <c r="J87" s="15">
        <v>0</v>
      </c>
      <c r="K87" s="16">
        <f t="shared" si="8"/>
        <v>1029</v>
      </c>
    </row>
    <row r="88" spans="1:11" ht="18" customHeight="1">
      <c r="A88" s="5" t="s">
        <v>115</v>
      </c>
      <c r="B88" s="1" t="s">
        <v>116</v>
      </c>
      <c r="F88" s="54">
        <v>1185</v>
      </c>
      <c r="G88" s="54">
        <v>100</v>
      </c>
      <c r="H88" s="15">
        <v>79660</v>
      </c>
      <c r="I88" s="55">
        <v>45662</v>
      </c>
      <c r="J88" s="15">
        <v>0</v>
      </c>
      <c r="K88" s="16">
        <f t="shared" si="8"/>
        <v>125322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>H89*F$114</f>
        <v>0</v>
      </c>
      <c r="J89" s="15"/>
      <c r="K89" s="16">
        <f t="shared" si="8"/>
        <v>0</v>
      </c>
    </row>
    <row r="90" spans="1:11" ht="18" customHeight="1">
      <c r="A90" s="5" t="s">
        <v>118</v>
      </c>
      <c r="B90" s="550" t="s">
        <v>59</v>
      </c>
      <c r="C90" s="551"/>
      <c r="F90" s="54"/>
      <c r="G90" s="54"/>
      <c r="H90" s="15"/>
      <c r="I90" s="55">
        <f>H90*F$114</f>
        <v>0</v>
      </c>
      <c r="J90" s="15"/>
      <c r="K90" s="16">
        <f t="shared" si="8"/>
        <v>0</v>
      </c>
    </row>
    <row r="91" spans="1:11" ht="18" customHeight="1">
      <c r="A91" s="5" t="s">
        <v>119</v>
      </c>
      <c r="B91" s="1" t="s">
        <v>60</v>
      </c>
      <c r="F91" s="54">
        <v>12</v>
      </c>
      <c r="G91" s="54">
        <v>0</v>
      </c>
      <c r="H91" s="15">
        <v>1047</v>
      </c>
      <c r="I91" s="55">
        <v>69</v>
      </c>
      <c r="J91" s="15">
        <v>0</v>
      </c>
      <c r="K91" s="16">
        <f t="shared" si="8"/>
        <v>1116</v>
      </c>
    </row>
    <row r="92" spans="1:11" ht="18" customHeight="1">
      <c r="A92" s="5" t="s">
        <v>120</v>
      </c>
      <c r="B92" s="1" t="s">
        <v>121</v>
      </c>
      <c r="F92" s="38"/>
      <c r="G92" s="38"/>
      <c r="H92" s="39"/>
      <c r="I92" s="55">
        <f>H92*F$114</f>
        <v>0</v>
      </c>
      <c r="J92" s="39"/>
      <c r="K92" s="16">
        <f t="shared" si="8"/>
        <v>0</v>
      </c>
    </row>
    <row r="93" spans="1:11" ht="18" customHeight="1">
      <c r="A93" s="5" t="s">
        <v>122</v>
      </c>
      <c r="B93" s="1" t="s">
        <v>123</v>
      </c>
      <c r="F93" s="54">
        <v>2628</v>
      </c>
      <c r="G93" s="54">
        <v>0</v>
      </c>
      <c r="H93" s="15">
        <v>233439</v>
      </c>
      <c r="I93" s="55">
        <v>59053</v>
      </c>
      <c r="J93" s="15">
        <v>0</v>
      </c>
      <c r="K93" s="16">
        <f t="shared" si="8"/>
        <v>292492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f>H94*F$114</f>
        <v>0</v>
      </c>
      <c r="J94" s="15"/>
      <c r="K94" s="16">
        <f t="shared" si="8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>H95*F$114</f>
        <v>0</v>
      </c>
      <c r="J95" s="15"/>
      <c r="K95" s="16">
        <f t="shared" si="8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>H96*F$114</f>
        <v>0</v>
      </c>
      <c r="J96" s="15"/>
      <c r="K96" s="16">
        <f t="shared" si="8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9">SUM(F86:F96)</f>
        <v>3837</v>
      </c>
      <c r="G98" s="18">
        <f t="shared" si="9"/>
        <v>100</v>
      </c>
      <c r="H98" s="18">
        <f t="shared" si="9"/>
        <v>315103</v>
      </c>
      <c r="I98" s="18">
        <f t="shared" si="9"/>
        <v>104856</v>
      </c>
      <c r="J98" s="18">
        <f t="shared" si="9"/>
        <v>0</v>
      </c>
      <c r="K98" s="18">
        <f t="shared" si="9"/>
        <v>419959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>
        <v>3120</v>
      </c>
      <c r="G102" s="54">
        <v>0</v>
      </c>
      <c r="H102" s="15">
        <v>120305</v>
      </c>
      <c r="I102" s="55">
        <v>89627</v>
      </c>
      <c r="J102" s="15"/>
      <c r="K102" s="16">
        <f>(H102+I102)-J102</f>
        <v>209932</v>
      </c>
    </row>
    <row r="103" spans="1:11" ht="18" customHeight="1">
      <c r="A103" s="5" t="s">
        <v>132</v>
      </c>
      <c r="B103" s="550" t="s">
        <v>62</v>
      </c>
      <c r="C103" s="550"/>
      <c r="F103" s="54">
        <v>422</v>
      </c>
      <c r="G103" s="54">
        <v>0</v>
      </c>
      <c r="H103" s="15">
        <v>22387</v>
      </c>
      <c r="I103" s="55">
        <v>8593</v>
      </c>
      <c r="J103" s="15"/>
      <c r="K103" s="16">
        <f>(H103+I103)-J103</f>
        <v>30980</v>
      </c>
    </row>
    <row r="104" spans="1:11" ht="18" customHeight="1">
      <c r="A104" s="5" t="s">
        <v>128</v>
      </c>
      <c r="B104" s="557" t="s">
        <v>432</v>
      </c>
      <c r="C104" s="531"/>
      <c r="D104" s="532"/>
      <c r="F104" s="54">
        <v>59</v>
      </c>
      <c r="G104" s="54">
        <v>20</v>
      </c>
      <c r="H104" s="15">
        <v>27607</v>
      </c>
      <c r="I104" s="55">
        <v>9343</v>
      </c>
      <c r="J104" s="15"/>
      <c r="K104" s="16">
        <f>(H104+I104)-J104</f>
        <v>36950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/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0">SUM(F102:F106)</f>
        <v>3601</v>
      </c>
      <c r="G108" s="18">
        <f t="shared" si="10"/>
        <v>20</v>
      </c>
      <c r="H108" s="16">
        <f t="shared" si="10"/>
        <v>170299</v>
      </c>
      <c r="I108" s="16">
        <f t="shared" si="10"/>
        <v>107563</v>
      </c>
      <c r="J108" s="16">
        <f t="shared" si="10"/>
        <v>0</v>
      </c>
      <c r="K108" s="16">
        <f t="shared" si="10"/>
        <v>277862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1346317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0.74519999999999997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111209188</v>
      </c>
    </row>
    <row r="118" spans="1:6" ht="18" customHeight="1">
      <c r="A118" s="5" t="s">
        <v>173</v>
      </c>
      <c r="B118" t="s">
        <v>18</v>
      </c>
      <c r="F118" s="15">
        <v>707402</v>
      </c>
    </row>
    <row r="119" spans="1:6" ht="18" customHeight="1">
      <c r="A119" s="5" t="s">
        <v>174</v>
      </c>
      <c r="B119" s="2" t="s">
        <v>19</v>
      </c>
      <c r="F119" s="56">
        <f>SUM(F117:F118)</f>
        <v>111916590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103688628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v>8227962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-8884024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v>-656062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1">SUM(F131:F135)</f>
        <v>0</v>
      </c>
      <c r="G137" s="18">
        <f t="shared" si="11"/>
        <v>0</v>
      </c>
      <c r="H137" s="16">
        <f t="shared" si="11"/>
        <v>0</v>
      </c>
      <c r="I137" s="16">
        <f t="shared" si="11"/>
        <v>0</v>
      </c>
      <c r="J137" s="16">
        <f t="shared" si="11"/>
        <v>0</v>
      </c>
      <c r="K137" s="16">
        <f t="shared" si="11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2">F36</f>
        <v>817</v>
      </c>
      <c r="G141" s="41">
        <f t="shared" si="12"/>
        <v>163329</v>
      </c>
      <c r="H141" s="41">
        <f t="shared" si="12"/>
        <v>265746</v>
      </c>
      <c r="I141" s="41">
        <f t="shared" si="12"/>
        <v>178099</v>
      </c>
      <c r="J141" s="41">
        <f t="shared" si="12"/>
        <v>1275</v>
      </c>
      <c r="K141" s="41">
        <f t="shared" si="12"/>
        <v>442570</v>
      </c>
    </row>
    <row r="142" spans="1:11" ht="18" customHeight="1">
      <c r="A142" s="5" t="s">
        <v>142</v>
      </c>
      <c r="B142" s="2" t="s">
        <v>65</v>
      </c>
      <c r="F142" s="41">
        <f t="shared" ref="F142:K142" si="13">F49</f>
        <v>5878</v>
      </c>
      <c r="G142" s="41">
        <f t="shared" si="13"/>
        <v>43</v>
      </c>
      <c r="H142" s="41">
        <f t="shared" si="13"/>
        <v>157323</v>
      </c>
      <c r="I142" s="41">
        <f t="shared" si="13"/>
        <v>116370</v>
      </c>
      <c r="J142" s="41">
        <f t="shared" si="13"/>
        <v>0</v>
      </c>
      <c r="K142" s="41">
        <f t="shared" si="13"/>
        <v>273693</v>
      </c>
    </row>
    <row r="143" spans="1:11" ht="18" customHeight="1">
      <c r="A143" s="5" t="s">
        <v>144</v>
      </c>
      <c r="B143" s="2" t="s">
        <v>66</v>
      </c>
      <c r="F143" s="41">
        <f t="shared" ref="F143:K143" si="14">F64</f>
        <v>9</v>
      </c>
      <c r="G143" s="41">
        <f t="shared" si="14"/>
        <v>0</v>
      </c>
      <c r="H143" s="41">
        <f t="shared" si="14"/>
        <v>3528735</v>
      </c>
      <c r="I143" s="41">
        <f t="shared" si="14"/>
        <v>174979</v>
      </c>
      <c r="J143" s="41">
        <f t="shared" si="14"/>
        <v>120044</v>
      </c>
      <c r="K143" s="41">
        <f t="shared" si="14"/>
        <v>3583670</v>
      </c>
    </row>
    <row r="144" spans="1:11" ht="18" customHeight="1">
      <c r="A144" s="5" t="s">
        <v>146</v>
      </c>
      <c r="B144" s="2" t="s">
        <v>67</v>
      </c>
      <c r="F144" s="41">
        <f t="shared" ref="F144:K144" si="15">F74</f>
        <v>0</v>
      </c>
      <c r="G144" s="41">
        <f t="shared" si="15"/>
        <v>0</v>
      </c>
      <c r="H144" s="41">
        <f t="shared" si="15"/>
        <v>0</v>
      </c>
      <c r="I144" s="41">
        <f t="shared" si="15"/>
        <v>0</v>
      </c>
      <c r="J144" s="41">
        <f t="shared" si="15"/>
        <v>0</v>
      </c>
      <c r="K144" s="41">
        <f t="shared" si="15"/>
        <v>0</v>
      </c>
    </row>
    <row r="145" spans="1:11" ht="18" customHeight="1">
      <c r="A145" s="5" t="s">
        <v>148</v>
      </c>
      <c r="B145" s="2" t="s">
        <v>68</v>
      </c>
      <c r="F145" s="41">
        <f t="shared" ref="F145:K145" si="16">F82</f>
        <v>465</v>
      </c>
      <c r="G145" s="41">
        <f t="shared" si="16"/>
        <v>2100</v>
      </c>
      <c r="H145" s="41">
        <f t="shared" si="16"/>
        <v>88759</v>
      </c>
      <c r="I145" s="41">
        <f t="shared" si="16"/>
        <v>7256</v>
      </c>
      <c r="J145" s="41">
        <f t="shared" si="16"/>
        <v>0</v>
      </c>
      <c r="K145" s="41">
        <f t="shared" si="16"/>
        <v>96015</v>
      </c>
    </row>
    <row r="146" spans="1:11" ht="18" customHeight="1">
      <c r="A146" s="5" t="s">
        <v>150</v>
      </c>
      <c r="B146" s="2" t="s">
        <v>69</v>
      </c>
      <c r="F146" s="41">
        <f t="shared" ref="F146:K146" si="17">F98</f>
        <v>3837</v>
      </c>
      <c r="G146" s="41">
        <f t="shared" si="17"/>
        <v>100</v>
      </c>
      <c r="H146" s="41">
        <f t="shared" si="17"/>
        <v>315103</v>
      </c>
      <c r="I146" s="41">
        <f t="shared" si="17"/>
        <v>104856</v>
      </c>
      <c r="J146" s="41">
        <f t="shared" si="17"/>
        <v>0</v>
      </c>
      <c r="K146" s="41">
        <f t="shared" si="17"/>
        <v>419959</v>
      </c>
    </row>
    <row r="147" spans="1:11" ht="18" customHeight="1">
      <c r="A147" s="5" t="s">
        <v>153</v>
      </c>
      <c r="B147" s="2" t="s">
        <v>61</v>
      </c>
      <c r="F147" s="18">
        <f t="shared" ref="F147:K147" si="18">F108</f>
        <v>3601</v>
      </c>
      <c r="G147" s="18">
        <f t="shared" si="18"/>
        <v>20</v>
      </c>
      <c r="H147" s="18">
        <f t="shared" si="18"/>
        <v>170299</v>
      </c>
      <c r="I147" s="18">
        <f t="shared" si="18"/>
        <v>107563</v>
      </c>
      <c r="J147" s="18">
        <f t="shared" si="18"/>
        <v>0</v>
      </c>
      <c r="K147" s="18">
        <f t="shared" si="18"/>
        <v>277862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1346317</v>
      </c>
    </row>
    <row r="149" spans="1:11" ht="18" customHeight="1">
      <c r="A149" s="5" t="s">
        <v>163</v>
      </c>
      <c r="B149" s="2" t="s">
        <v>71</v>
      </c>
      <c r="F149" s="18">
        <f t="shared" ref="F149:K149" si="19">F137</f>
        <v>0</v>
      </c>
      <c r="G149" s="18">
        <f t="shared" si="19"/>
        <v>0</v>
      </c>
      <c r="H149" s="18">
        <f t="shared" si="19"/>
        <v>0</v>
      </c>
      <c r="I149" s="18">
        <f t="shared" si="19"/>
        <v>0</v>
      </c>
      <c r="J149" s="18">
        <f t="shared" si="19"/>
        <v>0</v>
      </c>
      <c r="K149" s="18">
        <f t="shared" si="19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3237751</v>
      </c>
      <c r="I150" s="18">
        <f>I18</f>
        <v>0</v>
      </c>
      <c r="J150" s="18">
        <f>J18</f>
        <v>2768682</v>
      </c>
      <c r="K150" s="18">
        <f>K18</f>
        <v>469069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0">SUM(F141:F150)</f>
        <v>14607</v>
      </c>
      <c r="G152" s="49">
        <f t="shared" si="20"/>
        <v>165592</v>
      </c>
      <c r="H152" s="49">
        <f t="shared" si="20"/>
        <v>7763716</v>
      </c>
      <c r="I152" s="49">
        <f t="shared" si="20"/>
        <v>689123</v>
      </c>
      <c r="J152" s="49">
        <f t="shared" si="20"/>
        <v>2890001</v>
      </c>
      <c r="K152" s="49">
        <f t="shared" si="20"/>
        <v>6909155</v>
      </c>
    </row>
    <row r="154" spans="1:11" ht="18" customHeight="1">
      <c r="A154" s="6" t="s">
        <v>168</v>
      </c>
      <c r="B154" s="2" t="s">
        <v>28</v>
      </c>
      <c r="F154" s="64">
        <f>K152/F121</f>
        <v>6.6633681371500067E-2</v>
      </c>
    </row>
    <row r="155" spans="1:11" ht="18" customHeight="1">
      <c r="A155" s="6" t="s">
        <v>169</v>
      </c>
      <c r="B155" s="2" t="s">
        <v>72</v>
      </c>
      <c r="F155" s="64">
        <f>K152/F127</f>
        <v>-10.531253143757755</v>
      </c>
      <c r="G155" s="2"/>
    </row>
    <row r="156" spans="1:11" ht="18" customHeight="1">
      <c r="G156" s="2"/>
    </row>
  </sheetData>
  <sheetProtection password="EF72" sheet="1" objects="1" scenarios="1"/>
  <mergeCells count="35">
    <mergeCell ref="D2:H2"/>
    <mergeCell ref="B45:D45"/>
    <mergeCell ref="B46:D46"/>
    <mergeCell ref="B47:D47"/>
    <mergeCell ref="B34:D34"/>
    <mergeCell ref="C11:G11"/>
    <mergeCell ref="B41:C41"/>
    <mergeCell ref="B44:D44"/>
    <mergeCell ref="B31:D31"/>
    <mergeCell ref="B13:H13"/>
    <mergeCell ref="C5:G5"/>
    <mergeCell ref="C6:G6"/>
    <mergeCell ref="C7:G7"/>
    <mergeCell ref="C9:G9"/>
    <mergeCell ref="C10:G10"/>
    <mergeCell ref="B30:D30"/>
    <mergeCell ref="B103:C103"/>
    <mergeCell ref="B94:D94"/>
    <mergeCell ref="B96:D96"/>
    <mergeCell ref="B95:D95"/>
    <mergeCell ref="B57:D57"/>
    <mergeCell ref="B54:D54"/>
    <mergeCell ref="B52:C52"/>
    <mergeCell ref="B90:C90"/>
    <mergeCell ref="B53:D53"/>
    <mergeCell ref="B55:D55"/>
    <mergeCell ref="B56:D56"/>
    <mergeCell ref="B59:D59"/>
    <mergeCell ref="B62:D62"/>
    <mergeCell ref="B134:D134"/>
    <mergeCell ref="B135:D135"/>
    <mergeCell ref="B133:D133"/>
    <mergeCell ref="B104:D104"/>
    <mergeCell ref="B105:D105"/>
    <mergeCell ref="B106:D106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70" zoomScaleNormal="80" zoomScaleSheetLayoutView="7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203</v>
      </c>
      <c r="D5" s="534"/>
      <c r="E5" s="534"/>
      <c r="F5" s="534"/>
      <c r="G5" s="535"/>
    </row>
    <row r="6" spans="1:11" ht="18" customHeight="1">
      <c r="B6" s="5" t="s">
        <v>3</v>
      </c>
      <c r="C6" s="533">
        <v>51</v>
      </c>
      <c r="D6" s="534"/>
      <c r="E6" s="534"/>
      <c r="F6" s="534"/>
      <c r="G6" s="535"/>
    </row>
    <row r="7" spans="1:11" ht="18" customHeight="1">
      <c r="B7" s="5" t="s">
        <v>4</v>
      </c>
      <c r="C7" s="533">
        <v>1497</v>
      </c>
      <c r="D7" s="534"/>
      <c r="E7" s="534"/>
      <c r="F7" s="534"/>
      <c r="G7" s="535"/>
    </row>
    <row r="9" spans="1:11" ht="18" customHeight="1">
      <c r="B9" s="5" t="s">
        <v>1</v>
      </c>
      <c r="C9" s="533" t="s">
        <v>202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201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200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6081983</v>
      </c>
      <c r="I18" s="55">
        <v>0</v>
      </c>
      <c r="J18" s="15">
        <v>5200856</v>
      </c>
      <c r="K18" s="16">
        <f>(H18+I18)-J18</f>
        <v>881127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1364</v>
      </c>
      <c r="G21" s="54">
        <v>2624</v>
      </c>
      <c r="H21" s="15">
        <v>152256.70000000001</v>
      </c>
      <c r="I21" s="55">
        <f t="shared" ref="I21:I34" si="0">H21*F$114</f>
        <v>94034.867342364785</v>
      </c>
      <c r="J21" s="15">
        <v>18550</v>
      </c>
      <c r="K21" s="16">
        <f t="shared" ref="K21:K34" si="1">(H21+I21)-J21</f>
        <v>227741.56734236481</v>
      </c>
    </row>
    <row r="22" spans="1:11" ht="18" customHeight="1">
      <c r="A22" s="5" t="s">
        <v>76</v>
      </c>
      <c r="B22" t="s">
        <v>6</v>
      </c>
      <c r="F22" s="54">
        <v>346</v>
      </c>
      <c r="G22" s="54">
        <v>2083</v>
      </c>
      <c r="H22" s="15">
        <v>51558</v>
      </c>
      <c r="I22" s="55">
        <f t="shared" si="0"/>
        <v>31842.603251204335</v>
      </c>
      <c r="J22" s="15"/>
      <c r="K22" s="16">
        <f t="shared" si="1"/>
        <v>83400.603251204331</v>
      </c>
    </row>
    <row r="23" spans="1:11" ht="18" customHeight="1">
      <c r="A23" s="5" t="s">
        <v>77</v>
      </c>
      <c r="B23" t="s">
        <v>43</v>
      </c>
      <c r="F23" s="54"/>
      <c r="G23" s="54"/>
      <c r="H23" s="15"/>
      <c r="I23" s="55">
        <f t="shared" si="0"/>
        <v>0</v>
      </c>
      <c r="J23" s="15"/>
      <c r="K23" s="16">
        <f t="shared" si="1"/>
        <v>0</v>
      </c>
    </row>
    <row r="24" spans="1:11" ht="18" customHeight="1">
      <c r="A24" s="5" t="s">
        <v>78</v>
      </c>
      <c r="B24" t="s">
        <v>44</v>
      </c>
      <c r="F24" s="54"/>
      <c r="G24" s="54"/>
      <c r="H24" s="15"/>
      <c r="I24" s="55">
        <f t="shared" si="0"/>
        <v>0</v>
      </c>
      <c r="J24" s="15"/>
      <c r="K24" s="16">
        <f t="shared" si="1"/>
        <v>0</v>
      </c>
    </row>
    <row r="25" spans="1:11" ht="18" customHeight="1">
      <c r="A25" s="5" t="s">
        <v>79</v>
      </c>
      <c r="B25" t="s">
        <v>5</v>
      </c>
      <c r="F25" s="54">
        <v>398</v>
      </c>
      <c r="G25" s="54">
        <v>1972</v>
      </c>
      <c r="H25" s="15">
        <v>26745</v>
      </c>
      <c r="I25" s="55">
        <f t="shared" si="0"/>
        <v>16517.910391277008</v>
      </c>
      <c r="J25" s="15"/>
      <c r="K25" s="16">
        <f t="shared" si="1"/>
        <v>43262.910391277008</v>
      </c>
    </row>
    <row r="26" spans="1:11" ht="18" customHeight="1">
      <c r="A26" s="5" t="s">
        <v>80</v>
      </c>
      <c r="B26" t="s">
        <v>45</v>
      </c>
      <c r="F26" s="54"/>
      <c r="G26" s="54"/>
      <c r="H26" s="15"/>
      <c r="I26" s="55">
        <f t="shared" si="0"/>
        <v>0</v>
      </c>
      <c r="J26" s="15"/>
      <c r="K26" s="16">
        <f t="shared" si="1"/>
        <v>0</v>
      </c>
    </row>
    <row r="27" spans="1:11" ht="18" customHeight="1">
      <c r="A27" s="5" t="s">
        <v>81</v>
      </c>
      <c r="B27" t="s">
        <v>46</v>
      </c>
      <c r="F27" s="54"/>
      <c r="G27" s="54"/>
      <c r="H27" s="15"/>
      <c r="I27" s="55">
        <f t="shared" si="0"/>
        <v>0</v>
      </c>
      <c r="J27" s="15"/>
      <c r="K27" s="16">
        <f t="shared" si="1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15"/>
      <c r="I28" s="55">
        <f t="shared" si="0"/>
        <v>0</v>
      </c>
      <c r="J28" s="15"/>
      <c r="K28" s="16">
        <f t="shared" si="1"/>
        <v>0</v>
      </c>
    </row>
    <row r="29" spans="1:11" ht="18" customHeight="1">
      <c r="A29" s="5" t="s">
        <v>83</v>
      </c>
      <c r="B29" t="s">
        <v>48</v>
      </c>
      <c r="F29" s="54"/>
      <c r="G29" s="54"/>
      <c r="H29" s="15"/>
      <c r="I29" s="55">
        <f t="shared" si="0"/>
        <v>0</v>
      </c>
      <c r="J29" s="15"/>
      <c r="K29" s="16">
        <f t="shared" si="1"/>
        <v>0</v>
      </c>
    </row>
    <row r="30" spans="1:11" ht="18" customHeight="1">
      <c r="A30" s="5" t="s">
        <v>84</v>
      </c>
      <c r="B30" s="547"/>
      <c r="C30" s="548"/>
      <c r="D30" s="549"/>
      <c r="F30" s="54"/>
      <c r="G30" s="54"/>
      <c r="H30" s="15"/>
      <c r="I30" s="55">
        <f t="shared" si="0"/>
        <v>0</v>
      </c>
      <c r="J30" s="15"/>
      <c r="K30" s="16">
        <f t="shared" si="1"/>
        <v>0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 t="shared" si="0"/>
        <v>0</v>
      </c>
      <c r="J31" s="15"/>
      <c r="K31" s="16">
        <f t="shared" si="1"/>
        <v>0</v>
      </c>
    </row>
    <row r="32" spans="1:11" ht="18" customHeight="1">
      <c r="A32" s="5" t="s">
        <v>134</v>
      </c>
      <c r="B32" s="68"/>
      <c r="C32" s="69"/>
      <c r="D32" s="70"/>
      <c r="F32" s="54"/>
      <c r="G32" s="52" t="s">
        <v>85</v>
      </c>
      <c r="H32" s="15"/>
      <c r="I32" s="55">
        <f t="shared" si="0"/>
        <v>0</v>
      </c>
      <c r="J32" s="15"/>
      <c r="K32" s="16">
        <f t="shared" si="1"/>
        <v>0</v>
      </c>
    </row>
    <row r="33" spans="1:11" ht="18" customHeight="1">
      <c r="A33" s="5" t="s">
        <v>135</v>
      </c>
      <c r="B33" s="68"/>
      <c r="C33" s="69"/>
      <c r="D33" s="70"/>
      <c r="F33" s="54"/>
      <c r="G33" s="52" t="s">
        <v>85</v>
      </c>
      <c r="H33" s="15"/>
      <c r="I33" s="55">
        <f t="shared" si="0"/>
        <v>0</v>
      </c>
      <c r="J33" s="15"/>
      <c r="K33" s="16">
        <f t="shared" si="1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 t="shared" si="0"/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2108</v>
      </c>
      <c r="G36" s="18">
        <f t="shared" si="2"/>
        <v>6679</v>
      </c>
      <c r="H36" s="18">
        <f t="shared" si="2"/>
        <v>230559.7</v>
      </c>
      <c r="I36" s="16">
        <f t="shared" si="2"/>
        <v>142395.38098484612</v>
      </c>
      <c r="J36" s="16">
        <f t="shared" si="2"/>
        <v>18550</v>
      </c>
      <c r="K36" s="16">
        <f t="shared" si="2"/>
        <v>354405.08098484616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/>
      <c r="G40" s="54"/>
      <c r="H40" s="15"/>
      <c r="I40" s="55">
        <v>0</v>
      </c>
      <c r="J40" s="15"/>
      <c r="K40" s="16">
        <f t="shared" ref="K40:K47" si="3">(H40+I40)-J40</f>
        <v>0</v>
      </c>
    </row>
    <row r="41" spans="1:11" ht="18" customHeight="1">
      <c r="A41" s="5" t="s">
        <v>88</v>
      </c>
      <c r="B41" s="550" t="s">
        <v>50</v>
      </c>
      <c r="C41" s="551"/>
      <c r="F41" s="54">
        <v>58991</v>
      </c>
      <c r="G41" s="54">
        <v>716</v>
      </c>
      <c r="H41" s="15">
        <v>2005694</v>
      </c>
      <c r="I41" s="55">
        <v>0</v>
      </c>
      <c r="J41" s="15"/>
      <c r="K41" s="16">
        <f t="shared" si="3"/>
        <v>2005694</v>
      </c>
    </row>
    <row r="42" spans="1:11" ht="18" customHeight="1">
      <c r="A42" s="5" t="s">
        <v>89</v>
      </c>
      <c r="B42" s="1" t="s">
        <v>11</v>
      </c>
      <c r="F42" s="54">
        <v>14989</v>
      </c>
      <c r="G42" s="54">
        <v>2288</v>
      </c>
      <c r="H42" s="15">
        <v>536711</v>
      </c>
      <c r="I42" s="55">
        <v>0</v>
      </c>
      <c r="J42" s="15"/>
      <c r="K42" s="16">
        <f t="shared" si="3"/>
        <v>536711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>
        <v>30000</v>
      </c>
      <c r="I43" s="55">
        <v>0</v>
      </c>
      <c r="J43" s="15"/>
      <c r="K43" s="16">
        <f t="shared" si="3"/>
        <v>30000</v>
      </c>
    </row>
    <row r="44" spans="1:11" ht="18" customHeight="1">
      <c r="A44" s="5" t="s">
        <v>91</v>
      </c>
      <c r="B44" s="547"/>
      <c r="C44" s="548"/>
      <c r="D44" s="549"/>
      <c r="F44" s="54"/>
      <c r="G44" s="54"/>
      <c r="H44" s="54"/>
      <c r="I44" s="55">
        <v>0</v>
      </c>
      <c r="J44" s="54"/>
      <c r="K44" s="56">
        <f t="shared" si="3"/>
        <v>0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3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3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3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73980</v>
      </c>
      <c r="G49" s="23">
        <f t="shared" si="4"/>
        <v>3004</v>
      </c>
      <c r="H49" s="16">
        <f t="shared" si="4"/>
        <v>2572405</v>
      </c>
      <c r="I49" s="16">
        <f t="shared" si="4"/>
        <v>0</v>
      </c>
      <c r="J49" s="16">
        <f t="shared" si="4"/>
        <v>0</v>
      </c>
      <c r="K49" s="16">
        <f t="shared" si="4"/>
        <v>2572405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 t="s">
        <v>199</v>
      </c>
      <c r="C53" s="559"/>
      <c r="D53" s="532"/>
      <c r="F53" s="54"/>
      <c r="G53" s="54"/>
      <c r="H53" s="15">
        <v>31315</v>
      </c>
      <c r="I53" s="55">
        <v>0</v>
      </c>
      <c r="J53" s="15"/>
      <c r="K53" s="16">
        <f t="shared" ref="K53:K62" si="5">(H53+I53)-J53</f>
        <v>31315</v>
      </c>
    </row>
    <row r="54" spans="1:11" ht="18" customHeight="1">
      <c r="A54" s="5" t="s">
        <v>93</v>
      </c>
      <c r="B54" s="65" t="s">
        <v>198</v>
      </c>
      <c r="C54" s="66"/>
      <c r="D54" s="67"/>
      <c r="F54" s="54"/>
      <c r="G54" s="54"/>
      <c r="H54" s="15">
        <v>62501.15</v>
      </c>
      <c r="I54" s="55">
        <v>0</v>
      </c>
      <c r="J54" s="15"/>
      <c r="K54" s="16">
        <f t="shared" si="5"/>
        <v>62501.15</v>
      </c>
    </row>
    <row r="55" spans="1:11" ht="18" customHeight="1">
      <c r="A55" s="5" t="s">
        <v>94</v>
      </c>
      <c r="B55" s="530" t="s">
        <v>197</v>
      </c>
      <c r="C55" s="531"/>
      <c r="D55" s="532"/>
      <c r="F55" s="54"/>
      <c r="G55" s="54"/>
      <c r="H55" s="15">
        <v>134000</v>
      </c>
      <c r="I55" s="55">
        <v>0</v>
      </c>
      <c r="J55" s="15"/>
      <c r="K55" s="16">
        <f t="shared" si="5"/>
        <v>134000</v>
      </c>
    </row>
    <row r="56" spans="1:11" ht="18" customHeight="1">
      <c r="A56" s="5" t="s">
        <v>95</v>
      </c>
      <c r="B56" s="530"/>
      <c r="C56" s="531"/>
      <c r="D56" s="532"/>
      <c r="F56" s="54" t="s">
        <v>740</v>
      </c>
      <c r="G56" s="54"/>
      <c r="H56" s="15"/>
      <c r="I56" s="55">
        <v>0</v>
      </c>
      <c r="J56" s="15"/>
      <c r="K56" s="16">
        <f t="shared" si="5"/>
        <v>0</v>
      </c>
    </row>
    <row r="57" spans="1:11" ht="18" customHeight="1">
      <c r="A57" s="5" t="s">
        <v>96</v>
      </c>
      <c r="B57" s="530"/>
      <c r="C57" s="531"/>
      <c r="D57" s="532"/>
      <c r="F57" s="54"/>
      <c r="G57" s="54"/>
      <c r="H57" s="15"/>
      <c r="I57" s="55">
        <v>0</v>
      </c>
      <c r="J57" s="15"/>
      <c r="K57" s="16">
        <f t="shared" si="5"/>
        <v>0</v>
      </c>
    </row>
    <row r="58" spans="1:11" ht="18" customHeight="1">
      <c r="A58" s="5" t="s">
        <v>97</v>
      </c>
      <c r="B58" s="65"/>
      <c r="C58" s="66"/>
      <c r="D58" s="67"/>
      <c r="F58" s="54"/>
      <c r="G58" s="54"/>
      <c r="H58" s="15"/>
      <c r="I58" s="55">
        <v>0</v>
      </c>
      <c r="J58" s="15"/>
      <c r="K58" s="16">
        <f t="shared" si="5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v>0</v>
      </c>
      <c r="J59" s="15"/>
      <c r="K59" s="16">
        <f t="shared" si="5"/>
        <v>0</v>
      </c>
    </row>
    <row r="60" spans="1:11" ht="18" customHeight="1">
      <c r="A60" s="5" t="s">
        <v>99</v>
      </c>
      <c r="B60" s="65"/>
      <c r="C60" s="66"/>
      <c r="D60" s="67"/>
      <c r="F60" s="54"/>
      <c r="G60" s="54"/>
      <c r="H60" s="15"/>
      <c r="I60" s="55">
        <v>0</v>
      </c>
      <c r="J60" s="15"/>
      <c r="K60" s="16">
        <f t="shared" si="5"/>
        <v>0</v>
      </c>
    </row>
    <row r="61" spans="1:11" ht="18" customHeight="1">
      <c r="A61" s="5" t="s">
        <v>100</v>
      </c>
      <c r="B61" s="65"/>
      <c r="C61" s="66"/>
      <c r="D61" s="67"/>
      <c r="F61" s="54"/>
      <c r="G61" s="54"/>
      <c r="H61" s="15"/>
      <c r="I61" s="55">
        <v>0</v>
      </c>
      <c r="J61" s="15"/>
      <c r="K61" s="16">
        <f t="shared" si="5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5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6">SUM(F53:F62)</f>
        <v>0</v>
      </c>
      <c r="G64" s="18">
        <f t="shared" si="6"/>
        <v>0</v>
      </c>
      <c r="H64" s="16">
        <f t="shared" si="6"/>
        <v>227816.15</v>
      </c>
      <c r="I64" s="16">
        <f t="shared" si="6"/>
        <v>0</v>
      </c>
      <c r="J64" s="16">
        <f t="shared" si="6"/>
        <v>0</v>
      </c>
      <c r="K64" s="16">
        <f t="shared" si="6"/>
        <v>227816.15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/>
      <c r="G68" s="51"/>
      <c r="H68" s="51"/>
      <c r="I68" s="55">
        <v>0</v>
      </c>
      <c r="J68" s="51"/>
      <c r="K68" s="16">
        <f>(H68+I68)-J68</f>
        <v>0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65"/>
      <c r="C70" s="66"/>
      <c r="D70" s="67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65"/>
      <c r="C71" s="66"/>
      <c r="D71" s="67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71"/>
      <c r="C72" s="72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7">SUM(F68:F72)</f>
        <v>0</v>
      </c>
      <c r="G74" s="21">
        <f t="shared" si="7"/>
        <v>0</v>
      </c>
      <c r="H74" s="21">
        <f t="shared" si="7"/>
        <v>0</v>
      </c>
      <c r="I74" s="53">
        <f t="shared" si="7"/>
        <v>0</v>
      </c>
      <c r="J74" s="21">
        <f t="shared" si="7"/>
        <v>0</v>
      </c>
      <c r="K74" s="56">
        <f t="shared" si="7"/>
        <v>0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/>
      <c r="G77" s="54"/>
      <c r="H77" s="15">
        <v>24138</v>
      </c>
      <c r="I77" s="55">
        <v>0</v>
      </c>
      <c r="J77" s="15"/>
      <c r="K77" s="16">
        <f>(H77+I77)-J77</f>
        <v>24138</v>
      </c>
    </row>
    <row r="78" spans="1:11" ht="18" customHeight="1">
      <c r="A78" s="5" t="s">
        <v>108</v>
      </c>
      <c r="B78" s="1" t="s">
        <v>55</v>
      </c>
      <c r="F78" s="54"/>
      <c r="G78" s="54"/>
      <c r="H78" s="15"/>
      <c r="I78" s="55"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>
        <v>1738</v>
      </c>
      <c r="G79" s="54">
        <v>9810</v>
      </c>
      <c r="H79" s="15">
        <v>242783</v>
      </c>
      <c r="I79" s="55">
        <v>0</v>
      </c>
      <c r="J79" s="15"/>
      <c r="K79" s="16">
        <f>(H79+I79)-J79</f>
        <v>242783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8">SUM(F77:F80)</f>
        <v>1738</v>
      </c>
      <c r="G82" s="21">
        <f t="shared" si="8"/>
        <v>9810</v>
      </c>
      <c r="H82" s="56">
        <f t="shared" si="8"/>
        <v>266921</v>
      </c>
      <c r="I82" s="56">
        <f t="shared" si="8"/>
        <v>0</v>
      </c>
      <c r="J82" s="56">
        <f t="shared" si="8"/>
        <v>0</v>
      </c>
      <c r="K82" s="56">
        <f t="shared" si="8"/>
        <v>266921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f t="shared" ref="I86:I96" si="9">H86*F$114</f>
        <v>0</v>
      </c>
      <c r="J86" s="15"/>
      <c r="K86" s="16">
        <f t="shared" ref="K86:K96" si="10">(H86+I86)-J86</f>
        <v>0</v>
      </c>
    </row>
    <row r="87" spans="1:11" ht="18" customHeight="1">
      <c r="A87" s="5" t="s">
        <v>114</v>
      </c>
      <c r="B87" s="1" t="s">
        <v>14</v>
      </c>
      <c r="F87" s="54">
        <v>46</v>
      </c>
      <c r="G87" s="54">
        <v>869</v>
      </c>
      <c r="H87" s="15">
        <v>40750</v>
      </c>
      <c r="I87" s="55">
        <f t="shared" si="9"/>
        <v>25167.502278726417</v>
      </c>
      <c r="J87" s="15"/>
      <c r="K87" s="16">
        <f t="shared" si="10"/>
        <v>65917.502278726417</v>
      </c>
    </row>
    <row r="88" spans="1:11" ht="18" customHeight="1">
      <c r="A88" s="5" t="s">
        <v>115</v>
      </c>
      <c r="B88" s="1" t="s">
        <v>116</v>
      </c>
      <c r="F88" s="54">
        <v>12100</v>
      </c>
      <c r="G88" s="54">
        <v>3161</v>
      </c>
      <c r="H88" s="15">
        <v>385000</v>
      </c>
      <c r="I88" s="55">
        <f t="shared" si="9"/>
        <v>237778.85588489991</v>
      </c>
      <c r="J88" s="15"/>
      <c r="K88" s="16">
        <f t="shared" si="10"/>
        <v>622778.85588489985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 t="shared" si="9"/>
        <v>0</v>
      </c>
      <c r="J89" s="15"/>
      <c r="K89" s="16">
        <f t="shared" si="10"/>
        <v>0</v>
      </c>
    </row>
    <row r="90" spans="1:11" ht="18" customHeight="1">
      <c r="A90" s="5" t="s">
        <v>118</v>
      </c>
      <c r="B90" s="550" t="s">
        <v>59</v>
      </c>
      <c r="C90" s="551"/>
      <c r="F90" s="54"/>
      <c r="G90" s="54"/>
      <c r="H90" s="15"/>
      <c r="I90" s="55">
        <f t="shared" si="9"/>
        <v>0</v>
      </c>
      <c r="J90" s="15"/>
      <c r="K90" s="16">
        <f t="shared" si="10"/>
        <v>0</v>
      </c>
    </row>
    <row r="91" spans="1:11" ht="18" customHeight="1">
      <c r="A91" s="5" t="s">
        <v>119</v>
      </c>
      <c r="B91" s="1" t="s">
        <v>60</v>
      </c>
      <c r="F91" s="54">
        <v>40</v>
      </c>
      <c r="G91" s="54"/>
      <c r="H91" s="15">
        <v>12000</v>
      </c>
      <c r="I91" s="55">
        <f t="shared" si="9"/>
        <v>7411.2890145942829</v>
      </c>
      <c r="J91" s="15"/>
      <c r="K91" s="16">
        <f t="shared" si="10"/>
        <v>19411.289014594284</v>
      </c>
    </row>
    <row r="92" spans="1:11" ht="18" customHeight="1">
      <c r="A92" s="5" t="s">
        <v>120</v>
      </c>
      <c r="B92" s="1" t="s">
        <v>121</v>
      </c>
      <c r="F92" s="38"/>
      <c r="G92" s="38"/>
      <c r="H92" s="39"/>
      <c r="I92" s="55">
        <f t="shared" si="9"/>
        <v>0</v>
      </c>
      <c r="J92" s="39"/>
      <c r="K92" s="16">
        <f t="shared" si="10"/>
        <v>0</v>
      </c>
    </row>
    <row r="93" spans="1:11" ht="18" customHeight="1">
      <c r="A93" s="5" t="s">
        <v>122</v>
      </c>
      <c r="B93" s="1" t="s">
        <v>123</v>
      </c>
      <c r="F93" s="54">
        <v>26</v>
      </c>
      <c r="G93" s="54">
        <v>550</v>
      </c>
      <c r="H93" s="15">
        <v>1069</v>
      </c>
      <c r="I93" s="55">
        <f t="shared" si="9"/>
        <v>660.22232971677397</v>
      </c>
      <c r="J93" s="15"/>
      <c r="K93" s="16">
        <f t="shared" si="10"/>
        <v>1729.2223297167739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f t="shared" si="9"/>
        <v>0</v>
      </c>
      <c r="J94" s="15"/>
      <c r="K94" s="16">
        <f t="shared" si="10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9"/>
        <v>0</v>
      </c>
      <c r="J95" s="15"/>
      <c r="K95" s="16">
        <f t="shared" si="10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9"/>
        <v>0</v>
      </c>
      <c r="J96" s="15"/>
      <c r="K96" s="16">
        <f t="shared" si="10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1">SUM(F86:F96)</f>
        <v>12212</v>
      </c>
      <c r="G98" s="18">
        <f t="shared" si="11"/>
        <v>4580</v>
      </c>
      <c r="H98" s="18">
        <f t="shared" si="11"/>
        <v>438819</v>
      </c>
      <c r="I98" s="18">
        <f t="shared" si="11"/>
        <v>271017.8695079374</v>
      </c>
      <c r="J98" s="18">
        <f t="shared" si="11"/>
        <v>0</v>
      </c>
      <c r="K98" s="18">
        <f t="shared" si="11"/>
        <v>709836.86950793734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>
        <v>700</v>
      </c>
      <c r="G102" s="54"/>
      <c r="H102" s="15">
        <v>27300</v>
      </c>
      <c r="I102" s="55">
        <f>H102*F$114</f>
        <v>16860.682508201993</v>
      </c>
      <c r="J102" s="15"/>
      <c r="K102" s="16">
        <f>(H102+I102)-J102</f>
        <v>44160.682508201993</v>
      </c>
    </row>
    <row r="103" spans="1:11" ht="18" customHeight="1">
      <c r="A103" s="5" t="s">
        <v>132</v>
      </c>
      <c r="B103" s="550" t="s">
        <v>62</v>
      </c>
      <c r="C103" s="550"/>
      <c r="F103" s="54"/>
      <c r="G103" s="54"/>
      <c r="H103" s="15"/>
      <c r="I103" s="55">
        <f>H103*F$114</f>
        <v>0</v>
      </c>
      <c r="J103" s="15"/>
      <c r="K103" s="16">
        <f>(H103+I103)-J103</f>
        <v>0</v>
      </c>
    </row>
    <row r="104" spans="1:11" ht="18" customHeight="1">
      <c r="A104" s="5" t="s">
        <v>128</v>
      </c>
      <c r="B104" s="530"/>
      <c r="C104" s="531"/>
      <c r="D104" s="532"/>
      <c r="F104" s="54"/>
      <c r="G104" s="54"/>
      <c r="H104" s="15"/>
      <c r="I104" s="55">
        <f>H104*F$114</f>
        <v>0</v>
      </c>
      <c r="J104" s="15"/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2">SUM(F102:F106)</f>
        <v>700</v>
      </c>
      <c r="G108" s="18">
        <f t="shared" si="12"/>
        <v>0</v>
      </c>
      <c r="H108" s="16">
        <f t="shared" si="12"/>
        <v>27300</v>
      </c>
      <c r="I108" s="16">
        <f t="shared" si="12"/>
        <v>16860.682508201993</v>
      </c>
      <c r="J108" s="16">
        <f t="shared" si="12"/>
        <v>0</v>
      </c>
      <c r="K108" s="16">
        <f t="shared" si="12"/>
        <v>44160.682508201993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2949975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f>(19757+26361.4+16848.2+2148.8)/(104789.1+642.6)</f>
        <v>0.61760741788285689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186290140</v>
      </c>
    </row>
    <row r="118" spans="1:6" ht="18" customHeight="1">
      <c r="A118" s="5" t="s">
        <v>173</v>
      </c>
      <c r="B118" t="s">
        <v>18</v>
      </c>
      <c r="F118" s="15">
        <v>4488880</v>
      </c>
    </row>
    <row r="119" spans="1:6" ht="18" customHeight="1">
      <c r="A119" s="5" t="s">
        <v>174</v>
      </c>
      <c r="B119" s="2" t="s">
        <v>19</v>
      </c>
      <c r="F119" s="56">
        <f>SUM(F117:F118)</f>
        <v>190779020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191007547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f>+F119-F121</f>
        <v>-228527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f>100161+46615+2560039</f>
        <v>2706815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f>+F123+F125</f>
        <v>2478288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3">SUM(F131:F135)</f>
        <v>0</v>
      </c>
      <c r="G137" s="18">
        <f t="shared" si="13"/>
        <v>0</v>
      </c>
      <c r="H137" s="16">
        <f t="shared" si="13"/>
        <v>0</v>
      </c>
      <c r="I137" s="16">
        <f t="shared" si="13"/>
        <v>0</v>
      </c>
      <c r="J137" s="16">
        <f t="shared" si="13"/>
        <v>0</v>
      </c>
      <c r="K137" s="16">
        <f t="shared" si="13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4">F36</f>
        <v>2108</v>
      </c>
      <c r="G141" s="41">
        <f t="shared" si="14"/>
        <v>6679</v>
      </c>
      <c r="H141" s="41">
        <f t="shared" si="14"/>
        <v>230559.7</v>
      </c>
      <c r="I141" s="41">
        <f t="shared" si="14"/>
        <v>142395.38098484612</v>
      </c>
      <c r="J141" s="41">
        <f t="shared" si="14"/>
        <v>18550</v>
      </c>
      <c r="K141" s="41">
        <f t="shared" si="14"/>
        <v>354405.08098484616</v>
      </c>
    </row>
    <row r="142" spans="1:11" ht="18" customHeight="1">
      <c r="A142" s="5" t="s">
        <v>142</v>
      </c>
      <c r="B142" s="2" t="s">
        <v>65</v>
      </c>
      <c r="F142" s="41">
        <f t="shared" ref="F142:K142" si="15">F49</f>
        <v>73980</v>
      </c>
      <c r="G142" s="41">
        <f t="shared" si="15"/>
        <v>3004</v>
      </c>
      <c r="H142" s="41">
        <f t="shared" si="15"/>
        <v>2572405</v>
      </c>
      <c r="I142" s="41">
        <f t="shared" si="15"/>
        <v>0</v>
      </c>
      <c r="J142" s="41">
        <f t="shared" si="15"/>
        <v>0</v>
      </c>
      <c r="K142" s="41">
        <f t="shared" si="15"/>
        <v>2572405</v>
      </c>
    </row>
    <row r="143" spans="1:11" ht="18" customHeight="1">
      <c r="A143" s="5" t="s">
        <v>144</v>
      </c>
      <c r="B143" s="2" t="s">
        <v>66</v>
      </c>
      <c r="F143" s="41">
        <f t="shared" ref="F143:K143" si="16">F64</f>
        <v>0</v>
      </c>
      <c r="G143" s="41">
        <f t="shared" si="16"/>
        <v>0</v>
      </c>
      <c r="H143" s="41">
        <f t="shared" si="16"/>
        <v>227816.15</v>
      </c>
      <c r="I143" s="41">
        <f t="shared" si="16"/>
        <v>0</v>
      </c>
      <c r="J143" s="41">
        <f t="shared" si="16"/>
        <v>0</v>
      </c>
      <c r="K143" s="41">
        <f t="shared" si="16"/>
        <v>227816.15</v>
      </c>
    </row>
    <row r="144" spans="1:11" ht="18" customHeight="1">
      <c r="A144" s="5" t="s">
        <v>146</v>
      </c>
      <c r="B144" s="2" t="s">
        <v>67</v>
      </c>
      <c r="F144" s="41">
        <f t="shared" ref="F144:K144" si="17">F74</f>
        <v>0</v>
      </c>
      <c r="G144" s="41">
        <f t="shared" si="17"/>
        <v>0</v>
      </c>
      <c r="H144" s="41">
        <f t="shared" si="17"/>
        <v>0</v>
      </c>
      <c r="I144" s="41">
        <f t="shared" si="17"/>
        <v>0</v>
      </c>
      <c r="J144" s="41">
        <f t="shared" si="17"/>
        <v>0</v>
      </c>
      <c r="K144" s="41">
        <f t="shared" si="17"/>
        <v>0</v>
      </c>
    </row>
    <row r="145" spans="1:11" ht="18" customHeight="1">
      <c r="A145" s="5" t="s">
        <v>148</v>
      </c>
      <c r="B145" s="2" t="s">
        <v>68</v>
      </c>
      <c r="F145" s="41">
        <f t="shared" ref="F145:K145" si="18">F82</f>
        <v>1738</v>
      </c>
      <c r="G145" s="41">
        <f t="shared" si="18"/>
        <v>9810</v>
      </c>
      <c r="H145" s="41">
        <f t="shared" si="18"/>
        <v>266921</v>
      </c>
      <c r="I145" s="41">
        <f t="shared" si="18"/>
        <v>0</v>
      </c>
      <c r="J145" s="41">
        <f t="shared" si="18"/>
        <v>0</v>
      </c>
      <c r="K145" s="41">
        <f t="shared" si="18"/>
        <v>266921</v>
      </c>
    </row>
    <row r="146" spans="1:11" ht="18" customHeight="1">
      <c r="A146" s="5" t="s">
        <v>150</v>
      </c>
      <c r="B146" s="2" t="s">
        <v>69</v>
      </c>
      <c r="F146" s="41">
        <f t="shared" ref="F146:K146" si="19">F98</f>
        <v>12212</v>
      </c>
      <c r="G146" s="41">
        <f t="shared" si="19"/>
        <v>4580</v>
      </c>
      <c r="H146" s="41">
        <f t="shared" si="19"/>
        <v>438819</v>
      </c>
      <c r="I146" s="41">
        <f t="shared" si="19"/>
        <v>271017.8695079374</v>
      </c>
      <c r="J146" s="41">
        <f t="shared" si="19"/>
        <v>0</v>
      </c>
      <c r="K146" s="41">
        <f t="shared" si="19"/>
        <v>709836.86950793734</v>
      </c>
    </row>
    <row r="147" spans="1:11" ht="18" customHeight="1">
      <c r="A147" s="5" t="s">
        <v>153</v>
      </c>
      <c r="B147" s="2" t="s">
        <v>61</v>
      </c>
      <c r="F147" s="18">
        <f t="shared" ref="F147:K147" si="20">F108</f>
        <v>700</v>
      </c>
      <c r="G147" s="18">
        <f t="shared" si="20"/>
        <v>0</v>
      </c>
      <c r="H147" s="18">
        <f t="shared" si="20"/>
        <v>27300</v>
      </c>
      <c r="I147" s="18">
        <f t="shared" si="20"/>
        <v>16860.682508201993</v>
      </c>
      <c r="J147" s="18">
        <f t="shared" si="20"/>
        <v>0</v>
      </c>
      <c r="K147" s="18">
        <f t="shared" si="20"/>
        <v>44160.682508201993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2949975</v>
      </c>
    </row>
    <row r="149" spans="1:11" ht="18" customHeight="1">
      <c r="A149" s="5" t="s">
        <v>163</v>
      </c>
      <c r="B149" s="2" t="s">
        <v>71</v>
      </c>
      <c r="F149" s="18">
        <f t="shared" ref="F149:K149" si="21">F137</f>
        <v>0</v>
      </c>
      <c r="G149" s="18">
        <f t="shared" si="21"/>
        <v>0</v>
      </c>
      <c r="H149" s="18">
        <f t="shared" si="21"/>
        <v>0</v>
      </c>
      <c r="I149" s="18">
        <f t="shared" si="21"/>
        <v>0</v>
      </c>
      <c r="J149" s="18">
        <f t="shared" si="21"/>
        <v>0</v>
      </c>
      <c r="K149" s="18">
        <f t="shared" si="21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6081983</v>
      </c>
      <c r="I150" s="18">
        <f>I18</f>
        <v>0</v>
      </c>
      <c r="J150" s="18">
        <f>J18</f>
        <v>5200856</v>
      </c>
      <c r="K150" s="18">
        <f>K18</f>
        <v>881127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2">SUM(F141:F150)</f>
        <v>90738</v>
      </c>
      <c r="G152" s="49">
        <f t="shared" si="22"/>
        <v>24073</v>
      </c>
      <c r="H152" s="49">
        <f t="shared" si="22"/>
        <v>9845803.8499999996</v>
      </c>
      <c r="I152" s="49">
        <f t="shared" si="22"/>
        <v>430273.93300098547</v>
      </c>
      <c r="J152" s="49">
        <f t="shared" si="22"/>
        <v>5219406</v>
      </c>
      <c r="K152" s="49">
        <f t="shared" si="22"/>
        <v>8006646.7830009852</v>
      </c>
    </row>
    <row r="154" spans="1:11" ht="18" customHeight="1">
      <c r="A154" s="6" t="s">
        <v>168</v>
      </c>
      <c r="B154" s="2" t="s">
        <v>28</v>
      </c>
      <c r="F154" s="64">
        <f>K152/F121</f>
        <v>4.1917960356828127E-2</v>
      </c>
    </row>
    <row r="155" spans="1:11" ht="18" customHeight="1">
      <c r="A155" s="6" t="s">
        <v>169</v>
      </c>
      <c r="B155" s="2" t="s">
        <v>72</v>
      </c>
      <c r="F155" s="64">
        <f>K152/F127</f>
        <v>3.2307168428370656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D2:H2"/>
    <mergeCell ref="B45:D45"/>
    <mergeCell ref="C5:G5"/>
    <mergeCell ref="C6:G6"/>
    <mergeCell ref="C7:G7"/>
    <mergeCell ref="C9:G9"/>
    <mergeCell ref="C11:G11"/>
    <mergeCell ref="B41:C41"/>
    <mergeCell ref="B44:D44"/>
    <mergeCell ref="B13:H13"/>
    <mergeCell ref="C10:G10"/>
    <mergeCell ref="B30:D30"/>
    <mergeCell ref="B31:D31"/>
    <mergeCell ref="B57:D57"/>
    <mergeCell ref="B52:C52"/>
    <mergeCell ref="B46:D46"/>
    <mergeCell ref="B47:D47"/>
    <mergeCell ref="B34:D34"/>
    <mergeCell ref="B90:C90"/>
    <mergeCell ref="B53:D53"/>
    <mergeCell ref="B55:D55"/>
    <mergeCell ref="B134:D134"/>
    <mergeCell ref="B135:D135"/>
    <mergeCell ref="B133:D133"/>
    <mergeCell ref="B104:D104"/>
    <mergeCell ref="B56:D56"/>
    <mergeCell ref="B59:D59"/>
    <mergeCell ref="B62:D62"/>
    <mergeCell ref="B105:D105"/>
    <mergeCell ref="B106:D106"/>
    <mergeCell ref="B94:D94"/>
    <mergeCell ref="B96:D96"/>
    <mergeCell ref="B95:D95"/>
    <mergeCell ref="B103:C103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view="pageBreakPreview" zoomScale="80" zoomScaleNormal="75" zoomScaleSheetLayoutView="80" workbookViewId="0"/>
  </sheetViews>
  <sheetFormatPr defaultRowHeight="18" customHeight="1"/>
  <cols>
    <col min="1" max="1" width="8.28515625" style="395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style="373" customWidth="1"/>
    <col min="9" max="9" width="21.140625" style="373" customWidth="1"/>
    <col min="10" max="10" width="19.85546875" style="373" customWidth="1"/>
    <col min="11" max="11" width="17.5703125" style="373" customWidth="1"/>
  </cols>
  <sheetData>
    <row r="1" spans="1:11" ht="18" customHeight="1">
      <c r="C1" s="4"/>
      <c r="D1" s="3"/>
      <c r="E1" s="4"/>
      <c r="F1" s="4"/>
      <c r="G1" s="4"/>
      <c r="H1" s="394"/>
      <c r="I1" s="394"/>
      <c r="J1" s="394"/>
      <c r="K1" s="39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653</v>
      </c>
      <c r="D5" s="534"/>
      <c r="E5" s="534"/>
      <c r="F5" s="534"/>
      <c r="G5" s="535"/>
    </row>
    <row r="6" spans="1:11" ht="18" customHeight="1">
      <c r="B6" s="5" t="s">
        <v>3</v>
      </c>
      <c r="C6" s="536" t="s">
        <v>652</v>
      </c>
      <c r="D6" s="537"/>
      <c r="E6" s="537"/>
      <c r="F6" s="537"/>
      <c r="G6" s="538"/>
    </row>
    <row r="7" spans="1:11" ht="18" customHeight="1">
      <c r="B7" s="5" t="s">
        <v>4</v>
      </c>
      <c r="C7" s="499">
        <v>678</v>
      </c>
      <c r="D7" s="671"/>
      <c r="E7" s="671"/>
      <c r="F7" s="671"/>
      <c r="G7" s="672"/>
    </row>
    <row r="9" spans="1:11" ht="18" customHeight="1">
      <c r="B9" s="5" t="s">
        <v>1</v>
      </c>
      <c r="C9" s="533" t="s">
        <v>647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646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645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394"/>
    </row>
    <row r="14" spans="1:11" ht="18" customHeight="1">
      <c r="B14" s="7"/>
    </row>
    <row r="15" spans="1:11" ht="18" customHeight="1">
      <c r="B15" s="7"/>
    </row>
    <row r="16" spans="1:11" ht="45" customHeight="1">
      <c r="A16" s="403" t="s">
        <v>181</v>
      </c>
      <c r="B16" s="4"/>
      <c r="C16" s="4"/>
      <c r="D16" s="4"/>
      <c r="E16" s="4"/>
      <c r="F16" s="9" t="s">
        <v>9</v>
      </c>
      <c r="G16" s="9" t="s">
        <v>37</v>
      </c>
      <c r="H16" s="379" t="s">
        <v>29</v>
      </c>
      <c r="I16" s="379" t="s">
        <v>30</v>
      </c>
      <c r="J16" s="379" t="s">
        <v>33</v>
      </c>
      <c r="K16" s="379" t="s">
        <v>34</v>
      </c>
    </row>
    <row r="17" spans="1:11" ht="18" customHeight="1">
      <c r="A17" s="396" t="s">
        <v>184</v>
      </c>
      <c r="B17" s="2" t="s">
        <v>182</v>
      </c>
    </row>
    <row r="18" spans="1:11" ht="18" customHeight="1">
      <c r="A18" s="397" t="s">
        <v>185</v>
      </c>
      <c r="B18" s="1" t="s">
        <v>183</v>
      </c>
      <c r="F18" s="54" t="s">
        <v>73</v>
      </c>
      <c r="G18" s="54" t="s">
        <v>73</v>
      </c>
      <c r="H18" s="94">
        <v>1563115</v>
      </c>
      <c r="I18" s="380">
        <v>0</v>
      </c>
      <c r="J18" s="94">
        <v>1336659</v>
      </c>
      <c r="K18" s="376">
        <f>(H18+I18)-J18</f>
        <v>226456</v>
      </c>
    </row>
    <row r="19" spans="1:11" ht="45" customHeight="1">
      <c r="A19" s="403" t="s">
        <v>8</v>
      </c>
      <c r="B19" s="4"/>
      <c r="C19" s="4"/>
      <c r="D19" s="4"/>
      <c r="E19" s="4"/>
      <c r="F19" s="9" t="s">
        <v>9</v>
      </c>
      <c r="G19" s="9" t="s">
        <v>37</v>
      </c>
      <c r="H19" s="379" t="s">
        <v>29</v>
      </c>
      <c r="I19" s="379" t="s">
        <v>30</v>
      </c>
      <c r="J19" s="379" t="s">
        <v>33</v>
      </c>
      <c r="K19" s="379" t="s">
        <v>34</v>
      </c>
    </row>
    <row r="20" spans="1:11" ht="18" customHeight="1">
      <c r="A20" s="396" t="s">
        <v>74</v>
      </c>
      <c r="B20" s="2" t="s">
        <v>41</v>
      </c>
    </row>
    <row r="21" spans="1:11" ht="18" customHeight="1">
      <c r="A21" s="397" t="s">
        <v>75</v>
      </c>
      <c r="B21" s="1" t="s">
        <v>42</v>
      </c>
      <c r="F21" s="54">
        <v>133</v>
      </c>
      <c r="G21" s="54">
        <v>818</v>
      </c>
      <c r="H21" s="94">
        <v>7630.7677031417843</v>
      </c>
      <c r="I21" s="94">
        <v>4235.3438987575082</v>
      </c>
      <c r="J21" s="94">
        <v>0</v>
      </c>
      <c r="K21" s="376">
        <v>11866.111601899293</v>
      </c>
    </row>
    <row r="22" spans="1:11" ht="18" customHeight="1">
      <c r="A22" s="397" t="s">
        <v>76</v>
      </c>
      <c r="B22" t="s">
        <v>6</v>
      </c>
      <c r="F22" s="54"/>
      <c r="G22" s="54"/>
      <c r="H22" s="94"/>
      <c r="I22" s="380">
        <v>0</v>
      </c>
      <c r="J22" s="94"/>
      <c r="K22" s="376">
        <v>0</v>
      </c>
    </row>
    <row r="23" spans="1:11" ht="18" customHeight="1">
      <c r="A23" s="397" t="s">
        <v>77</v>
      </c>
      <c r="B23" t="s">
        <v>43</v>
      </c>
      <c r="F23" s="54"/>
      <c r="G23" s="54"/>
      <c r="H23" s="94"/>
      <c r="I23" s="380">
        <v>0</v>
      </c>
      <c r="J23" s="94"/>
      <c r="K23" s="376">
        <v>0</v>
      </c>
    </row>
    <row r="24" spans="1:11" ht="18" customHeight="1">
      <c r="A24" s="397" t="s">
        <v>78</v>
      </c>
      <c r="B24" t="s">
        <v>44</v>
      </c>
      <c r="F24" s="54"/>
      <c r="G24" s="54"/>
      <c r="H24" s="94"/>
      <c r="I24" s="380">
        <v>0</v>
      </c>
      <c r="J24" s="94"/>
      <c r="K24" s="376">
        <v>0</v>
      </c>
    </row>
    <row r="25" spans="1:11" ht="18" customHeight="1">
      <c r="A25" s="397" t="s">
        <v>79</v>
      </c>
      <c r="B25" t="s">
        <v>5</v>
      </c>
      <c r="F25" s="54">
        <v>2</v>
      </c>
      <c r="G25" s="54">
        <v>8</v>
      </c>
      <c r="H25" s="94">
        <v>75.984311122597617</v>
      </c>
      <c r="I25" s="94">
        <v>42.173959558732818</v>
      </c>
      <c r="J25" s="94">
        <v>0</v>
      </c>
      <c r="K25" s="376">
        <v>118.15827068133044</v>
      </c>
    </row>
    <row r="26" spans="1:11" ht="18" customHeight="1">
      <c r="A26" s="397" t="s">
        <v>80</v>
      </c>
      <c r="B26" t="s">
        <v>45</v>
      </c>
      <c r="F26" s="54"/>
      <c r="G26" s="54"/>
      <c r="H26" s="94"/>
      <c r="I26" s="380">
        <v>0</v>
      </c>
      <c r="J26" s="94"/>
      <c r="K26" s="376">
        <v>0</v>
      </c>
    </row>
    <row r="27" spans="1:11" ht="18" customHeight="1">
      <c r="A27" s="397" t="s">
        <v>81</v>
      </c>
      <c r="B27" t="s">
        <v>46</v>
      </c>
      <c r="F27" s="54"/>
      <c r="G27" s="54"/>
      <c r="H27" s="94"/>
      <c r="I27" s="380">
        <v>0</v>
      </c>
      <c r="J27" s="94"/>
      <c r="K27" s="376">
        <v>0</v>
      </c>
    </row>
    <row r="28" spans="1:11" ht="18" customHeight="1">
      <c r="A28" s="397" t="s">
        <v>82</v>
      </c>
      <c r="B28" t="s">
        <v>47</v>
      </c>
      <c r="F28" s="54"/>
      <c r="G28" s="54"/>
      <c r="H28" s="94"/>
      <c r="I28" s="380">
        <v>0</v>
      </c>
      <c r="J28" s="94"/>
      <c r="K28" s="376">
        <v>0</v>
      </c>
    </row>
    <row r="29" spans="1:11" ht="18" customHeight="1">
      <c r="A29" s="397" t="s">
        <v>83</v>
      </c>
      <c r="B29" t="s">
        <v>48</v>
      </c>
      <c r="F29" s="54"/>
      <c r="G29" s="54"/>
      <c r="H29" s="94"/>
      <c r="I29" s="380">
        <v>0</v>
      </c>
      <c r="J29" s="94"/>
      <c r="K29" s="376">
        <v>0</v>
      </c>
    </row>
    <row r="30" spans="1:11" ht="18" customHeight="1">
      <c r="A30" s="397" t="s">
        <v>84</v>
      </c>
      <c r="B30" s="547"/>
      <c r="C30" s="548"/>
      <c r="D30" s="549"/>
      <c r="F30" s="54"/>
      <c r="G30" s="54"/>
      <c r="H30" s="94"/>
      <c r="I30" s="380">
        <v>0</v>
      </c>
      <c r="J30" s="94"/>
      <c r="K30" s="376">
        <v>0</v>
      </c>
    </row>
    <row r="31" spans="1:11" ht="18" customHeight="1">
      <c r="A31" s="397" t="s">
        <v>133</v>
      </c>
      <c r="B31" s="547"/>
      <c r="C31" s="548"/>
      <c r="D31" s="549"/>
      <c r="F31" s="54"/>
      <c r="G31" s="54"/>
      <c r="H31" s="94"/>
      <c r="I31" s="380">
        <v>0</v>
      </c>
      <c r="J31" s="94"/>
      <c r="K31" s="376">
        <v>0</v>
      </c>
    </row>
    <row r="32" spans="1:11" ht="18" customHeight="1">
      <c r="A32" s="397" t="s">
        <v>134</v>
      </c>
      <c r="B32" s="284"/>
      <c r="C32" s="285"/>
      <c r="D32" s="286"/>
      <c r="F32" s="54"/>
      <c r="G32" s="52" t="s">
        <v>85</v>
      </c>
      <c r="H32" s="94"/>
      <c r="I32" s="380">
        <v>0</v>
      </c>
      <c r="J32" s="94"/>
      <c r="K32" s="376">
        <v>0</v>
      </c>
    </row>
    <row r="33" spans="1:11" ht="18" customHeight="1">
      <c r="A33" s="397" t="s">
        <v>135</v>
      </c>
      <c r="B33" s="284"/>
      <c r="C33" s="285"/>
      <c r="D33" s="286"/>
      <c r="F33" s="54"/>
      <c r="G33" s="52" t="s">
        <v>85</v>
      </c>
      <c r="H33" s="94"/>
      <c r="I33" s="380">
        <v>0</v>
      </c>
      <c r="J33" s="94"/>
      <c r="K33" s="376">
        <v>0</v>
      </c>
    </row>
    <row r="34" spans="1:11" ht="18" customHeight="1">
      <c r="A34" s="397" t="s">
        <v>136</v>
      </c>
      <c r="B34" s="547"/>
      <c r="C34" s="548"/>
      <c r="D34" s="549"/>
      <c r="F34" s="54"/>
      <c r="G34" s="52" t="s">
        <v>85</v>
      </c>
      <c r="H34" s="94"/>
      <c r="I34" s="380">
        <v>0</v>
      </c>
      <c r="J34" s="94"/>
      <c r="K34" s="376">
        <v>0</v>
      </c>
    </row>
    <row r="35" spans="1:11" ht="18" customHeight="1">
      <c r="K35" s="402"/>
    </row>
    <row r="36" spans="1:11" ht="18" customHeight="1">
      <c r="A36" s="396" t="s">
        <v>137</v>
      </c>
      <c r="B36" s="2" t="s">
        <v>138</v>
      </c>
      <c r="E36" s="2" t="s">
        <v>7</v>
      </c>
      <c r="F36" s="18">
        <f t="shared" ref="F36:K36" si="0">SUM(F21:F34)</f>
        <v>135</v>
      </c>
      <c r="G36" s="18">
        <f t="shared" si="0"/>
        <v>826</v>
      </c>
      <c r="H36" s="376">
        <f t="shared" si="0"/>
        <v>7706.7520142643816</v>
      </c>
      <c r="I36" s="376">
        <f t="shared" si="0"/>
        <v>4277.5178583162415</v>
      </c>
      <c r="J36" s="376">
        <f t="shared" si="0"/>
        <v>0</v>
      </c>
      <c r="K36" s="376">
        <f t="shared" si="0"/>
        <v>11984.269872580622</v>
      </c>
    </row>
    <row r="37" spans="1:11" ht="18" customHeight="1" thickBot="1">
      <c r="B37" s="2"/>
      <c r="F37" s="19"/>
      <c r="G37" s="19"/>
      <c r="H37" s="393"/>
      <c r="I37" s="393"/>
      <c r="J37" s="393"/>
      <c r="K37" s="401"/>
    </row>
    <row r="38" spans="1:11" ht="42.75" customHeight="1">
      <c r="F38" s="9" t="s">
        <v>9</v>
      </c>
      <c r="G38" s="9" t="s">
        <v>37</v>
      </c>
      <c r="H38" s="379" t="s">
        <v>29</v>
      </c>
      <c r="I38" s="379" t="s">
        <v>30</v>
      </c>
      <c r="J38" s="379" t="s">
        <v>33</v>
      </c>
      <c r="K38" s="379" t="s">
        <v>34</v>
      </c>
    </row>
    <row r="39" spans="1:11" ht="18.75" customHeight="1">
      <c r="A39" s="396" t="s">
        <v>86</v>
      </c>
      <c r="B39" s="2" t="s">
        <v>49</v>
      </c>
    </row>
    <row r="40" spans="1:11" ht="18" customHeight="1">
      <c r="A40" s="397" t="s">
        <v>87</v>
      </c>
      <c r="B40" t="s">
        <v>31</v>
      </c>
      <c r="F40" s="54"/>
      <c r="G40" s="54"/>
      <c r="H40" s="94"/>
      <c r="I40" s="380">
        <v>0</v>
      </c>
      <c r="J40" s="94"/>
      <c r="K40" s="376">
        <v>0</v>
      </c>
    </row>
    <row r="41" spans="1:11" ht="18" customHeight="1">
      <c r="A41" s="397" t="s">
        <v>88</v>
      </c>
      <c r="B41" s="550" t="s">
        <v>50</v>
      </c>
      <c r="C41" s="551"/>
      <c r="F41" s="54">
        <v>5200</v>
      </c>
      <c r="G41" s="54">
        <v>17</v>
      </c>
      <c r="H41" s="94">
        <v>158873</v>
      </c>
      <c r="I41" s="380">
        <v>51799.999999999985</v>
      </c>
      <c r="J41" s="94">
        <v>0</v>
      </c>
      <c r="K41" s="376">
        <v>210673</v>
      </c>
    </row>
    <row r="42" spans="1:11" ht="18" customHeight="1">
      <c r="A42" s="397" t="s">
        <v>89</v>
      </c>
      <c r="B42" s="1" t="s">
        <v>11</v>
      </c>
      <c r="F42" s="54"/>
      <c r="G42" s="54"/>
      <c r="H42" s="94"/>
      <c r="I42" s="380">
        <v>0</v>
      </c>
      <c r="J42" s="94"/>
      <c r="K42" s="376">
        <v>0</v>
      </c>
    </row>
    <row r="43" spans="1:11" ht="18" customHeight="1">
      <c r="A43" s="397" t="s">
        <v>90</v>
      </c>
      <c r="B43" s="47" t="s">
        <v>10</v>
      </c>
      <c r="C43" s="10"/>
      <c r="D43" s="10"/>
      <c r="F43" s="54"/>
      <c r="G43" s="54"/>
      <c r="H43" s="94"/>
      <c r="I43" s="380">
        <v>0</v>
      </c>
      <c r="J43" s="94"/>
      <c r="K43" s="376">
        <v>0</v>
      </c>
    </row>
    <row r="44" spans="1:11" ht="18" customHeight="1">
      <c r="A44" s="397" t="s">
        <v>91</v>
      </c>
      <c r="B44" s="547"/>
      <c r="C44" s="548"/>
      <c r="D44" s="549"/>
      <c r="F44" s="54"/>
      <c r="G44" s="54"/>
      <c r="H44" s="94"/>
      <c r="I44" s="380">
        <v>0</v>
      </c>
      <c r="J44" s="94"/>
      <c r="K44" s="385">
        <v>0</v>
      </c>
    </row>
    <row r="45" spans="1:11" ht="18" customHeight="1">
      <c r="A45" s="397" t="s">
        <v>139</v>
      </c>
      <c r="B45" s="547"/>
      <c r="C45" s="548"/>
      <c r="D45" s="549"/>
      <c r="F45" s="54"/>
      <c r="G45" s="54"/>
      <c r="H45" s="94"/>
      <c r="I45" s="380">
        <v>0</v>
      </c>
      <c r="J45" s="94"/>
      <c r="K45" s="376">
        <v>0</v>
      </c>
    </row>
    <row r="46" spans="1:11" ht="18" customHeight="1">
      <c r="A46" s="397" t="s">
        <v>140</v>
      </c>
      <c r="B46" s="547"/>
      <c r="C46" s="548"/>
      <c r="D46" s="549"/>
      <c r="F46" s="54"/>
      <c r="G46" s="54"/>
      <c r="H46" s="94"/>
      <c r="I46" s="380">
        <v>0</v>
      </c>
      <c r="J46" s="94"/>
      <c r="K46" s="376">
        <v>0</v>
      </c>
    </row>
    <row r="47" spans="1:11" ht="18" customHeight="1">
      <c r="A47" s="397" t="s">
        <v>141</v>
      </c>
      <c r="B47" s="547"/>
      <c r="C47" s="548"/>
      <c r="D47" s="549"/>
      <c r="F47" s="54"/>
      <c r="G47" s="54"/>
      <c r="H47" s="94"/>
      <c r="I47" s="380">
        <v>0</v>
      </c>
      <c r="J47" s="94"/>
      <c r="K47" s="376">
        <v>0</v>
      </c>
    </row>
    <row r="49" spans="1:11" ht="18" customHeight="1">
      <c r="A49" s="396" t="s">
        <v>142</v>
      </c>
      <c r="B49" s="2" t="s">
        <v>143</v>
      </c>
      <c r="E49" s="2" t="s">
        <v>7</v>
      </c>
      <c r="F49" s="23">
        <f t="shared" ref="F49:K49" si="1">SUM(F40:F47)</f>
        <v>5200</v>
      </c>
      <c r="G49" s="23">
        <f t="shared" si="1"/>
        <v>17</v>
      </c>
      <c r="H49" s="376">
        <f t="shared" si="1"/>
        <v>158873</v>
      </c>
      <c r="I49" s="376">
        <f t="shared" si="1"/>
        <v>51799.999999999985</v>
      </c>
      <c r="J49" s="376">
        <f t="shared" si="1"/>
        <v>0</v>
      </c>
      <c r="K49" s="376">
        <f t="shared" si="1"/>
        <v>210673</v>
      </c>
    </row>
    <row r="50" spans="1:11" ht="18" customHeight="1" thickBot="1">
      <c r="G50" s="24"/>
      <c r="H50" s="383"/>
      <c r="I50" s="383"/>
      <c r="J50" s="383"/>
      <c r="K50" s="383"/>
    </row>
    <row r="51" spans="1:11" ht="42.75" customHeight="1">
      <c r="F51" s="9" t="s">
        <v>9</v>
      </c>
      <c r="G51" s="9" t="s">
        <v>37</v>
      </c>
      <c r="H51" s="379" t="s">
        <v>29</v>
      </c>
      <c r="I51" s="379" t="s">
        <v>30</v>
      </c>
      <c r="J51" s="379" t="s">
        <v>33</v>
      </c>
      <c r="K51" s="379" t="s">
        <v>34</v>
      </c>
    </row>
    <row r="52" spans="1:11" ht="18" customHeight="1">
      <c r="A52" s="396" t="s">
        <v>92</v>
      </c>
      <c r="B52" s="555" t="s">
        <v>38</v>
      </c>
      <c r="C52" s="556"/>
    </row>
    <row r="53" spans="1:11" ht="18" customHeight="1">
      <c r="A53" s="397" t="s">
        <v>51</v>
      </c>
      <c r="B53" s="558" t="s">
        <v>651</v>
      </c>
      <c r="C53" s="559"/>
      <c r="D53" s="532"/>
      <c r="F53" s="54">
        <v>539.25495867768598</v>
      </c>
      <c r="G53" s="54">
        <v>719.00661157024797</v>
      </c>
      <c r="H53" s="94">
        <v>434999</v>
      </c>
      <c r="I53" s="380">
        <v>0</v>
      </c>
      <c r="J53" s="94">
        <v>0</v>
      </c>
      <c r="K53" s="376">
        <v>434999</v>
      </c>
    </row>
    <row r="54" spans="1:11" ht="18" customHeight="1">
      <c r="A54" s="397" t="s">
        <v>93</v>
      </c>
      <c r="B54" s="530" t="s">
        <v>650</v>
      </c>
      <c r="C54" s="531"/>
      <c r="D54" s="532"/>
      <c r="F54" s="54">
        <v>10950</v>
      </c>
      <c r="G54" s="54">
        <v>20422</v>
      </c>
      <c r="H54" s="94">
        <v>858683</v>
      </c>
      <c r="I54" s="380">
        <v>0</v>
      </c>
      <c r="J54" s="94">
        <v>0</v>
      </c>
      <c r="K54" s="376">
        <v>858683</v>
      </c>
    </row>
    <row r="55" spans="1:11" ht="18" customHeight="1">
      <c r="A55" s="397" t="s">
        <v>94</v>
      </c>
      <c r="B55" s="530" t="s">
        <v>649</v>
      </c>
      <c r="C55" s="531"/>
      <c r="D55" s="532"/>
      <c r="F55" s="54"/>
      <c r="G55" s="54"/>
      <c r="H55" s="94">
        <v>2534.5</v>
      </c>
      <c r="I55" s="380">
        <v>1406.7364554920525</v>
      </c>
      <c r="J55" s="94"/>
      <c r="K55" s="376">
        <v>3941.2364554920523</v>
      </c>
    </row>
    <row r="56" spans="1:11" ht="18" customHeight="1">
      <c r="A56" s="397" t="s">
        <v>95</v>
      </c>
      <c r="B56" s="530"/>
      <c r="C56" s="531"/>
      <c r="D56" s="532"/>
      <c r="F56" s="54" t="s">
        <v>740</v>
      </c>
      <c r="G56" s="54"/>
      <c r="H56" s="94"/>
      <c r="I56" s="380">
        <v>0</v>
      </c>
      <c r="J56" s="94"/>
      <c r="K56" s="376">
        <v>0</v>
      </c>
    </row>
    <row r="57" spans="1:11" ht="18" customHeight="1">
      <c r="A57" s="397" t="s">
        <v>96</v>
      </c>
      <c r="B57" s="530"/>
      <c r="C57" s="531"/>
      <c r="D57" s="532"/>
      <c r="F57" s="54"/>
      <c r="G57" s="54"/>
      <c r="H57" s="94"/>
      <c r="I57" s="380">
        <v>0</v>
      </c>
      <c r="J57" s="94"/>
      <c r="K57" s="376">
        <v>0</v>
      </c>
    </row>
    <row r="58" spans="1:11" ht="18" customHeight="1">
      <c r="A58" s="397" t="s">
        <v>97</v>
      </c>
      <c r="B58" s="281"/>
      <c r="C58" s="282"/>
      <c r="D58" s="283"/>
      <c r="F58" s="54"/>
      <c r="G58" s="54"/>
      <c r="H58" s="94"/>
      <c r="I58" s="380">
        <v>0</v>
      </c>
      <c r="J58" s="94"/>
      <c r="K58" s="376">
        <v>0</v>
      </c>
    </row>
    <row r="59" spans="1:11" ht="18" customHeight="1">
      <c r="A59" s="397" t="s">
        <v>98</v>
      </c>
      <c r="B59" s="530"/>
      <c r="C59" s="531"/>
      <c r="D59" s="532"/>
      <c r="F59" s="54"/>
      <c r="G59" s="54"/>
      <c r="H59" s="94"/>
      <c r="I59" s="380">
        <v>0</v>
      </c>
      <c r="J59" s="94"/>
      <c r="K59" s="376">
        <v>0</v>
      </c>
    </row>
    <row r="60" spans="1:11" ht="18" customHeight="1">
      <c r="A60" s="397" t="s">
        <v>99</v>
      </c>
      <c r="B60" s="281"/>
      <c r="C60" s="282"/>
      <c r="D60" s="283"/>
      <c r="F60" s="54"/>
      <c r="G60" s="54"/>
      <c r="H60" s="94"/>
      <c r="I60" s="380">
        <v>0</v>
      </c>
      <c r="J60" s="94"/>
      <c r="K60" s="376">
        <v>0</v>
      </c>
    </row>
    <row r="61" spans="1:11" ht="18" customHeight="1">
      <c r="A61" s="397" t="s">
        <v>100</v>
      </c>
      <c r="B61" s="281"/>
      <c r="C61" s="282"/>
      <c r="D61" s="283"/>
      <c r="F61" s="54"/>
      <c r="G61" s="54"/>
      <c r="H61" s="94"/>
      <c r="I61" s="380">
        <v>0</v>
      </c>
      <c r="J61" s="94"/>
      <c r="K61" s="376">
        <v>0</v>
      </c>
    </row>
    <row r="62" spans="1:11" ht="18" customHeight="1">
      <c r="A62" s="397" t="s">
        <v>101</v>
      </c>
      <c r="B62" s="530"/>
      <c r="C62" s="531"/>
      <c r="D62" s="532"/>
      <c r="F62" s="54"/>
      <c r="G62" s="54"/>
      <c r="H62" s="94"/>
      <c r="I62" s="380">
        <v>0</v>
      </c>
      <c r="J62" s="94"/>
      <c r="K62" s="376">
        <v>0</v>
      </c>
    </row>
    <row r="63" spans="1:11" ht="18" customHeight="1">
      <c r="A63" s="397"/>
      <c r="I63" s="392"/>
    </row>
    <row r="64" spans="1:11" ht="18" customHeight="1">
      <c r="A64" s="397" t="s">
        <v>144</v>
      </c>
      <c r="B64" s="2" t="s">
        <v>145</v>
      </c>
      <c r="E64" s="2" t="s">
        <v>7</v>
      </c>
      <c r="F64" s="18">
        <f t="shared" ref="F64:K64" si="2">SUM(F53:F62)</f>
        <v>11489.254958677686</v>
      </c>
      <c r="G64" s="18">
        <f t="shared" si="2"/>
        <v>21141.006611570247</v>
      </c>
      <c r="H64" s="376">
        <f t="shared" si="2"/>
        <v>1296216.5</v>
      </c>
      <c r="I64" s="376">
        <f t="shared" si="2"/>
        <v>1406.7364554920525</v>
      </c>
      <c r="J64" s="376">
        <f t="shared" si="2"/>
        <v>0</v>
      </c>
      <c r="K64" s="376">
        <f t="shared" si="2"/>
        <v>1297623.236455492</v>
      </c>
    </row>
    <row r="65" spans="1:11" ht="18" customHeight="1">
      <c r="F65" s="48"/>
      <c r="G65" s="48"/>
      <c r="H65" s="375"/>
      <c r="I65" s="375"/>
      <c r="J65" s="375"/>
      <c r="K65" s="375"/>
    </row>
    <row r="66" spans="1:11" ht="42.75" customHeight="1">
      <c r="F66" s="57" t="s">
        <v>9</v>
      </c>
      <c r="G66" s="57" t="s">
        <v>37</v>
      </c>
      <c r="H66" s="391" t="s">
        <v>29</v>
      </c>
      <c r="I66" s="391" t="s">
        <v>30</v>
      </c>
      <c r="J66" s="391" t="s">
        <v>33</v>
      </c>
      <c r="K66" s="391" t="s">
        <v>34</v>
      </c>
    </row>
    <row r="67" spans="1:11" ht="18" customHeight="1">
      <c r="A67" s="396" t="s">
        <v>102</v>
      </c>
      <c r="B67" s="2" t="s">
        <v>12</v>
      </c>
      <c r="F67" s="58"/>
      <c r="G67" s="58"/>
      <c r="H67" s="390"/>
      <c r="I67" s="388"/>
      <c r="J67" s="390"/>
      <c r="K67" s="390"/>
    </row>
    <row r="68" spans="1:11" ht="18" customHeight="1">
      <c r="A68" s="397" t="s">
        <v>103</v>
      </c>
      <c r="B68" t="s">
        <v>52</v>
      </c>
      <c r="F68" s="51"/>
      <c r="G68" s="51"/>
      <c r="H68" s="94"/>
      <c r="I68" s="380">
        <v>0</v>
      </c>
      <c r="J68" s="94"/>
      <c r="K68" s="376">
        <f>(H68+I68)-J68</f>
        <v>0</v>
      </c>
    </row>
    <row r="69" spans="1:11" ht="18" customHeight="1">
      <c r="A69" s="397" t="s">
        <v>104</v>
      </c>
      <c r="B69" s="1" t="s">
        <v>53</v>
      </c>
      <c r="F69" s="51"/>
      <c r="G69" s="51"/>
      <c r="H69" s="94"/>
      <c r="I69" s="380">
        <v>0</v>
      </c>
      <c r="J69" s="94"/>
      <c r="K69" s="376">
        <f>(H69+I69)-J69</f>
        <v>0</v>
      </c>
    </row>
    <row r="70" spans="1:11" ht="18" customHeight="1">
      <c r="A70" s="397" t="s">
        <v>178</v>
      </c>
      <c r="B70" s="281"/>
      <c r="C70" s="282"/>
      <c r="D70" s="283"/>
      <c r="E70" s="2"/>
      <c r="F70" s="35"/>
      <c r="G70" s="35"/>
      <c r="H70" s="389"/>
      <c r="I70" s="380">
        <v>0</v>
      </c>
      <c r="J70" s="389"/>
      <c r="K70" s="376">
        <f>(H70+I70)-J70</f>
        <v>0</v>
      </c>
    </row>
    <row r="71" spans="1:11" ht="18" customHeight="1">
      <c r="A71" s="397" t="s">
        <v>179</v>
      </c>
      <c r="B71" s="281"/>
      <c r="C71" s="282"/>
      <c r="D71" s="283"/>
      <c r="E71" s="2"/>
      <c r="F71" s="35"/>
      <c r="G71" s="35"/>
      <c r="H71" s="389"/>
      <c r="I71" s="380">
        <v>0</v>
      </c>
      <c r="J71" s="389"/>
      <c r="K71" s="376">
        <f>(H71+I71)-J71</f>
        <v>0</v>
      </c>
    </row>
    <row r="72" spans="1:11" ht="18" customHeight="1">
      <c r="A72" s="397" t="s">
        <v>180</v>
      </c>
      <c r="B72" s="287"/>
      <c r="C72" s="288"/>
      <c r="D72" s="34"/>
      <c r="E72" s="2"/>
      <c r="F72" s="54"/>
      <c r="G72" s="54"/>
      <c r="H72" s="94"/>
      <c r="I72" s="380">
        <v>0</v>
      </c>
      <c r="J72" s="94"/>
      <c r="K72" s="376">
        <f>(H72+I72)-J72</f>
        <v>0</v>
      </c>
    </row>
    <row r="73" spans="1:11" ht="18" customHeight="1">
      <c r="A73" s="397"/>
      <c r="B73" s="1"/>
      <c r="E73" s="2"/>
      <c r="F73" s="61"/>
      <c r="G73" s="61"/>
      <c r="H73" s="387"/>
      <c r="I73" s="388"/>
      <c r="J73" s="387"/>
      <c r="K73" s="390"/>
    </row>
    <row r="74" spans="1:11" ht="18" customHeight="1">
      <c r="A74" s="396" t="s">
        <v>146</v>
      </c>
      <c r="B74" s="2" t="s">
        <v>147</v>
      </c>
      <c r="E74" s="2" t="s">
        <v>7</v>
      </c>
      <c r="F74" s="21">
        <f t="shared" ref="F74:K74" si="3">SUM(F68:F72)</f>
        <v>0</v>
      </c>
      <c r="G74" s="21">
        <f t="shared" si="3"/>
        <v>0</v>
      </c>
      <c r="H74" s="385">
        <f t="shared" si="3"/>
        <v>0</v>
      </c>
      <c r="I74" s="386">
        <f t="shared" si="3"/>
        <v>0</v>
      </c>
      <c r="J74" s="385">
        <f t="shared" si="3"/>
        <v>0</v>
      </c>
      <c r="K74" s="385">
        <f t="shared" si="3"/>
        <v>0</v>
      </c>
    </row>
    <row r="75" spans="1:11" ht="42.75" customHeight="1">
      <c r="F75" s="9" t="s">
        <v>9</v>
      </c>
      <c r="G75" s="9" t="s">
        <v>37</v>
      </c>
      <c r="H75" s="379" t="s">
        <v>29</v>
      </c>
      <c r="I75" s="379" t="s">
        <v>30</v>
      </c>
      <c r="J75" s="379" t="s">
        <v>33</v>
      </c>
      <c r="K75" s="379" t="s">
        <v>34</v>
      </c>
    </row>
    <row r="76" spans="1:11" ht="18" customHeight="1">
      <c r="A76" s="396" t="s">
        <v>105</v>
      </c>
      <c r="B76" s="2" t="s">
        <v>106</v>
      </c>
    </row>
    <row r="77" spans="1:11" ht="18" customHeight="1">
      <c r="A77" s="397" t="s">
        <v>107</v>
      </c>
      <c r="B77" s="1" t="s">
        <v>54</v>
      </c>
      <c r="F77" s="54"/>
      <c r="G77" s="54"/>
      <c r="H77" s="94"/>
      <c r="I77" s="380">
        <v>0</v>
      </c>
      <c r="J77" s="94"/>
      <c r="K77" s="376">
        <f>(H77+I77)-J77</f>
        <v>0</v>
      </c>
    </row>
    <row r="78" spans="1:11" ht="18" customHeight="1">
      <c r="A78" s="397" t="s">
        <v>108</v>
      </c>
      <c r="B78" s="1" t="s">
        <v>55</v>
      </c>
      <c r="F78" s="54"/>
      <c r="G78" s="54"/>
      <c r="H78" s="94"/>
      <c r="I78" s="380">
        <v>0</v>
      </c>
      <c r="J78" s="94"/>
      <c r="K78" s="376">
        <f>(H78+I78)-J78</f>
        <v>0</v>
      </c>
    </row>
    <row r="79" spans="1:11" ht="18" customHeight="1">
      <c r="A79" s="397" t="s">
        <v>109</v>
      </c>
      <c r="B79" s="1" t="s">
        <v>13</v>
      </c>
      <c r="F79" s="54"/>
      <c r="G79" s="54"/>
      <c r="H79" s="94"/>
      <c r="I79" s="380">
        <v>0</v>
      </c>
      <c r="J79" s="94"/>
      <c r="K79" s="376">
        <f>(H79+I79)-J79</f>
        <v>0</v>
      </c>
    </row>
    <row r="80" spans="1:11" ht="18" customHeight="1">
      <c r="A80" s="397" t="s">
        <v>110</v>
      </c>
      <c r="B80" s="1" t="s">
        <v>56</v>
      </c>
      <c r="F80" s="54"/>
      <c r="G80" s="54"/>
      <c r="H80" s="94"/>
      <c r="I80" s="380">
        <v>0</v>
      </c>
      <c r="J80" s="94"/>
      <c r="K80" s="376">
        <f>(H80+I80)-J80</f>
        <v>0</v>
      </c>
    </row>
    <row r="81" spans="1:11" ht="18" customHeight="1">
      <c r="A81" s="397"/>
      <c r="K81" s="400"/>
    </row>
    <row r="82" spans="1:11" ht="18" customHeight="1">
      <c r="A82" s="397" t="s">
        <v>148</v>
      </c>
      <c r="B82" s="2" t="s">
        <v>149</v>
      </c>
      <c r="E82" s="2" t="s">
        <v>7</v>
      </c>
      <c r="F82" s="21">
        <f t="shared" ref="F82:K82" si="4">SUM(F77:F80)</f>
        <v>0</v>
      </c>
      <c r="G82" s="21">
        <f t="shared" si="4"/>
        <v>0</v>
      </c>
      <c r="H82" s="385">
        <f t="shared" si="4"/>
        <v>0</v>
      </c>
      <c r="I82" s="385">
        <f t="shared" si="4"/>
        <v>0</v>
      </c>
      <c r="J82" s="385">
        <f t="shared" si="4"/>
        <v>0</v>
      </c>
      <c r="K82" s="385">
        <f t="shared" si="4"/>
        <v>0</v>
      </c>
    </row>
    <row r="83" spans="1:11" ht="18" customHeight="1" thickBot="1">
      <c r="A83" s="397"/>
      <c r="F83" s="24"/>
      <c r="G83" s="24"/>
      <c r="H83" s="383"/>
      <c r="I83" s="383"/>
      <c r="J83" s="383"/>
      <c r="K83" s="383"/>
    </row>
    <row r="84" spans="1:11" ht="42.75" customHeight="1">
      <c r="F84" s="9" t="s">
        <v>9</v>
      </c>
      <c r="G84" s="9" t="s">
        <v>37</v>
      </c>
      <c r="H84" s="379" t="s">
        <v>29</v>
      </c>
      <c r="I84" s="379" t="s">
        <v>30</v>
      </c>
      <c r="J84" s="379" t="s">
        <v>33</v>
      </c>
      <c r="K84" s="379" t="s">
        <v>34</v>
      </c>
    </row>
    <row r="85" spans="1:11" ht="18" customHeight="1">
      <c r="A85" s="396" t="s">
        <v>111</v>
      </c>
      <c r="B85" s="2" t="s">
        <v>57</v>
      </c>
    </row>
    <row r="86" spans="1:11" ht="18" customHeight="1">
      <c r="A86" s="397" t="s">
        <v>112</v>
      </c>
      <c r="B86" s="1" t="s">
        <v>113</v>
      </c>
      <c r="F86" s="54"/>
      <c r="G86" s="54"/>
      <c r="H86" s="94"/>
      <c r="I86" s="380">
        <v>0</v>
      </c>
      <c r="J86" s="94"/>
      <c r="K86" s="376">
        <v>0</v>
      </c>
    </row>
    <row r="87" spans="1:11" ht="18" customHeight="1">
      <c r="A87" s="397" t="s">
        <v>114</v>
      </c>
      <c r="B87" s="1" t="s">
        <v>14</v>
      </c>
      <c r="F87" s="54"/>
      <c r="G87" s="54"/>
      <c r="H87" s="94"/>
      <c r="I87" s="380">
        <v>0</v>
      </c>
      <c r="J87" s="94"/>
      <c r="K87" s="376">
        <v>0</v>
      </c>
    </row>
    <row r="88" spans="1:11" ht="18" customHeight="1">
      <c r="A88" s="397" t="s">
        <v>115</v>
      </c>
      <c r="B88" s="1" t="s">
        <v>116</v>
      </c>
      <c r="F88" s="54"/>
      <c r="G88" s="54"/>
      <c r="H88" s="94"/>
      <c r="I88" s="380">
        <v>0</v>
      </c>
      <c r="J88" s="94"/>
      <c r="K88" s="376">
        <v>0</v>
      </c>
    </row>
    <row r="89" spans="1:11" ht="18" customHeight="1">
      <c r="A89" s="397" t="s">
        <v>117</v>
      </c>
      <c r="B89" s="1" t="s">
        <v>58</v>
      </c>
      <c r="F89" s="54"/>
      <c r="G89" s="54"/>
      <c r="H89" s="94"/>
      <c r="I89" s="380">
        <v>0</v>
      </c>
      <c r="J89" s="94"/>
      <c r="K89" s="376">
        <v>0</v>
      </c>
    </row>
    <row r="90" spans="1:11" ht="18" customHeight="1">
      <c r="A90" s="397" t="s">
        <v>118</v>
      </c>
      <c r="B90" s="550" t="s">
        <v>59</v>
      </c>
      <c r="C90" s="551"/>
      <c r="F90" s="54"/>
      <c r="G90" s="54"/>
      <c r="H90" s="94"/>
      <c r="I90" s="380">
        <v>0</v>
      </c>
      <c r="J90" s="94"/>
      <c r="K90" s="376">
        <v>0</v>
      </c>
    </row>
    <row r="91" spans="1:11" ht="18" customHeight="1">
      <c r="A91" s="397" t="s">
        <v>119</v>
      </c>
      <c r="B91" s="1" t="s">
        <v>60</v>
      </c>
      <c r="F91" s="54"/>
      <c r="G91" s="54"/>
      <c r="H91" s="94"/>
      <c r="I91" s="380">
        <v>0</v>
      </c>
      <c r="J91" s="94"/>
      <c r="K91" s="376">
        <v>0</v>
      </c>
    </row>
    <row r="92" spans="1:11" ht="18" customHeight="1">
      <c r="A92" s="397" t="s">
        <v>120</v>
      </c>
      <c r="B92" s="1" t="s">
        <v>121</v>
      </c>
      <c r="F92" s="38"/>
      <c r="G92" s="38"/>
      <c r="H92" s="384"/>
      <c r="I92" s="380">
        <v>0</v>
      </c>
      <c r="J92" s="384"/>
      <c r="K92" s="376">
        <v>0</v>
      </c>
    </row>
    <row r="93" spans="1:11" ht="18" customHeight="1">
      <c r="A93" s="397" t="s">
        <v>122</v>
      </c>
      <c r="B93" s="1" t="s">
        <v>123</v>
      </c>
      <c r="F93" s="54">
        <v>200</v>
      </c>
      <c r="G93" s="54">
        <v>442</v>
      </c>
      <c r="H93" s="94">
        <v>18556.634915260278</v>
      </c>
      <c r="I93" s="380">
        <v>10299.583675893988</v>
      </c>
      <c r="J93" s="94">
        <v>0</v>
      </c>
      <c r="K93" s="376">
        <v>28856.218591154266</v>
      </c>
    </row>
    <row r="94" spans="1:11" ht="18" customHeight="1">
      <c r="A94" s="397" t="s">
        <v>124</v>
      </c>
      <c r="B94" s="530"/>
      <c r="C94" s="531"/>
      <c r="D94" s="532"/>
      <c r="F94" s="54"/>
      <c r="G94" s="54"/>
      <c r="H94" s="94"/>
      <c r="I94" s="380">
        <v>0</v>
      </c>
      <c r="J94" s="94"/>
      <c r="K94" s="376">
        <v>0</v>
      </c>
    </row>
    <row r="95" spans="1:11" ht="18" customHeight="1">
      <c r="A95" s="397" t="s">
        <v>125</v>
      </c>
      <c r="B95" s="530"/>
      <c r="C95" s="531"/>
      <c r="D95" s="532"/>
      <c r="F95" s="54"/>
      <c r="G95" s="54"/>
      <c r="H95" s="94"/>
      <c r="I95" s="380">
        <v>0</v>
      </c>
      <c r="J95" s="94"/>
      <c r="K95" s="376">
        <v>0</v>
      </c>
    </row>
    <row r="96" spans="1:11" ht="18" customHeight="1">
      <c r="A96" s="397" t="s">
        <v>126</v>
      </c>
      <c r="B96" s="530"/>
      <c r="C96" s="531"/>
      <c r="D96" s="532"/>
      <c r="F96" s="54"/>
      <c r="G96" s="54"/>
      <c r="H96" s="94"/>
      <c r="I96" s="380">
        <v>0</v>
      </c>
      <c r="J96" s="94"/>
      <c r="K96" s="376">
        <v>0</v>
      </c>
    </row>
    <row r="97" spans="1:11" ht="18" customHeight="1">
      <c r="A97" s="397"/>
      <c r="B97" s="1"/>
    </row>
    <row r="98" spans="1:11" ht="18" customHeight="1">
      <c r="A98" s="396" t="s">
        <v>150</v>
      </c>
      <c r="B98" s="2" t="s">
        <v>151</v>
      </c>
      <c r="E98" s="2" t="s">
        <v>7</v>
      </c>
      <c r="F98" s="18">
        <f t="shared" ref="F98:K98" si="5">SUM(F86:F96)</f>
        <v>200</v>
      </c>
      <c r="G98" s="18">
        <f t="shared" si="5"/>
        <v>442</v>
      </c>
      <c r="H98" s="376">
        <f t="shared" si="5"/>
        <v>18556.634915260278</v>
      </c>
      <c r="I98" s="376">
        <f t="shared" si="5"/>
        <v>10299.583675893988</v>
      </c>
      <c r="J98" s="376">
        <f t="shared" si="5"/>
        <v>0</v>
      </c>
      <c r="K98" s="376">
        <f t="shared" si="5"/>
        <v>28856.218591154266</v>
      </c>
    </row>
    <row r="99" spans="1:11" ht="18" customHeight="1" thickBot="1">
      <c r="B99" s="2"/>
      <c r="F99" s="24"/>
      <c r="G99" s="24"/>
      <c r="H99" s="383"/>
      <c r="I99" s="383"/>
      <c r="J99" s="383"/>
      <c r="K99" s="383"/>
    </row>
    <row r="100" spans="1:11" ht="42.75" customHeight="1">
      <c r="F100" s="9" t="s">
        <v>9</v>
      </c>
      <c r="G100" s="9" t="s">
        <v>37</v>
      </c>
      <c r="H100" s="379" t="s">
        <v>29</v>
      </c>
      <c r="I100" s="379" t="s">
        <v>30</v>
      </c>
      <c r="J100" s="379" t="s">
        <v>33</v>
      </c>
      <c r="K100" s="379" t="s">
        <v>34</v>
      </c>
    </row>
    <row r="101" spans="1:11" ht="18" customHeight="1">
      <c r="A101" s="396" t="s">
        <v>130</v>
      </c>
      <c r="B101" s="2" t="s">
        <v>63</v>
      </c>
    </row>
    <row r="102" spans="1:11" ht="18" customHeight="1">
      <c r="A102" s="397" t="s">
        <v>131</v>
      </c>
      <c r="B102" s="1" t="s">
        <v>152</v>
      </c>
      <c r="F102" s="54"/>
      <c r="G102" s="54"/>
      <c r="H102" s="94"/>
      <c r="I102" s="380">
        <f>H102*F$114</f>
        <v>0</v>
      </c>
      <c r="J102" s="94"/>
      <c r="K102" s="376">
        <f>(H102+I102)-J102</f>
        <v>0</v>
      </c>
    </row>
    <row r="103" spans="1:11" ht="18" customHeight="1">
      <c r="A103" s="397" t="s">
        <v>132</v>
      </c>
      <c r="B103" s="550" t="s">
        <v>62</v>
      </c>
      <c r="C103" s="550"/>
      <c r="F103" s="54"/>
      <c r="G103" s="54"/>
      <c r="H103" s="94"/>
      <c r="I103" s="380">
        <f>H103*F$114</f>
        <v>0</v>
      </c>
      <c r="J103" s="94"/>
      <c r="K103" s="376">
        <f>(H103+I103)-J103</f>
        <v>0</v>
      </c>
    </row>
    <row r="104" spans="1:11" ht="18" customHeight="1">
      <c r="A104" s="397" t="s">
        <v>128</v>
      </c>
      <c r="B104" s="530"/>
      <c r="C104" s="531"/>
      <c r="D104" s="532"/>
      <c r="F104" s="54"/>
      <c r="G104" s="54"/>
      <c r="H104" s="94"/>
      <c r="I104" s="380">
        <f>H104*F$114</f>
        <v>0</v>
      </c>
      <c r="J104" s="94"/>
      <c r="K104" s="376">
        <f>(H104+I104)-J104</f>
        <v>0</v>
      </c>
    </row>
    <row r="105" spans="1:11" ht="18" customHeight="1">
      <c r="A105" s="397" t="s">
        <v>127</v>
      </c>
      <c r="B105" s="530"/>
      <c r="C105" s="531"/>
      <c r="D105" s="532"/>
      <c r="F105" s="54"/>
      <c r="G105" s="54"/>
      <c r="H105" s="94"/>
      <c r="I105" s="380">
        <f>H105*F$114</f>
        <v>0</v>
      </c>
      <c r="J105" s="94"/>
      <c r="K105" s="376">
        <f>(H105+I105)-J105</f>
        <v>0</v>
      </c>
    </row>
    <row r="106" spans="1:11" ht="18" customHeight="1">
      <c r="A106" s="397" t="s">
        <v>129</v>
      </c>
      <c r="B106" s="530"/>
      <c r="C106" s="531"/>
      <c r="D106" s="532"/>
      <c r="F106" s="54"/>
      <c r="G106" s="54"/>
      <c r="H106" s="94"/>
      <c r="I106" s="380">
        <f>H106*F$114</f>
        <v>0</v>
      </c>
      <c r="J106" s="94"/>
      <c r="K106" s="376">
        <f>(H106+I106)-J106</f>
        <v>0</v>
      </c>
    </row>
    <row r="107" spans="1:11" ht="18" customHeight="1">
      <c r="B107" s="2"/>
    </row>
    <row r="108" spans="1:11" s="10" customFormat="1" ht="18" customHeight="1">
      <c r="A108" s="396" t="s">
        <v>153</v>
      </c>
      <c r="B108" s="63" t="s">
        <v>154</v>
      </c>
      <c r="C108"/>
      <c r="D108"/>
      <c r="E108" s="2" t="s">
        <v>7</v>
      </c>
      <c r="F108" s="18">
        <f t="shared" ref="F108:K108" si="6">SUM(F102:F106)</f>
        <v>0</v>
      </c>
      <c r="G108" s="18">
        <f t="shared" si="6"/>
        <v>0</v>
      </c>
      <c r="H108" s="376">
        <f t="shared" si="6"/>
        <v>0</v>
      </c>
      <c r="I108" s="376">
        <f t="shared" si="6"/>
        <v>0</v>
      </c>
      <c r="J108" s="376">
        <f t="shared" si="6"/>
        <v>0</v>
      </c>
      <c r="K108" s="376">
        <f t="shared" si="6"/>
        <v>0</v>
      </c>
    </row>
    <row r="109" spans="1:11" s="10" customFormat="1" ht="18" customHeight="1" thickBot="1">
      <c r="A109" s="399"/>
      <c r="B109" s="12"/>
      <c r="C109" s="13"/>
      <c r="D109" s="13"/>
      <c r="E109" s="13"/>
      <c r="F109" s="24"/>
      <c r="G109" s="24"/>
      <c r="H109" s="383"/>
      <c r="I109" s="383"/>
      <c r="J109" s="383"/>
      <c r="K109" s="383"/>
    </row>
    <row r="110" spans="1:11" s="10" customFormat="1" ht="18" customHeight="1">
      <c r="A110" s="396" t="s">
        <v>156</v>
      </c>
      <c r="B110" s="2" t="s">
        <v>39</v>
      </c>
      <c r="C110"/>
      <c r="D110"/>
      <c r="E110"/>
      <c r="F110"/>
      <c r="G110"/>
      <c r="H110" s="373"/>
      <c r="I110" s="373"/>
      <c r="J110" s="373"/>
      <c r="K110" s="373"/>
    </row>
    <row r="111" spans="1:11" ht="18" customHeight="1">
      <c r="A111" s="396" t="s">
        <v>155</v>
      </c>
      <c r="B111" s="2" t="s">
        <v>164</v>
      </c>
      <c r="E111" s="2" t="s">
        <v>7</v>
      </c>
      <c r="F111" s="92">
        <v>3579500</v>
      </c>
    </row>
    <row r="112" spans="1:11" ht="18" customHeight="1">
      <c r="B112" s="2"/>
      <c r="E112" s="2"/>
      <c r="F112" s="22"/>
    </row>
    <row r="113" spans="1:6" customFormat="1" ht="18" customHeight="1">
      <c r="A113" s="396"/>
      <c r="B113" s="2" t="s">
        <v>15</v>
      </c>
    </row>
    <row r="114" spans="1:6" customFormat="1" ht="18" customHeight="1">
      <c r="A114" s="397" t="s">
        <v>171</v>
      </c>
      <c r="B114" s="1" t="s">
        <v>35</v>
      </c>
      <c r="F114" s="25">
        <v>0.55503509784653882</v>
      </c>
    </row>
    <row r="115" spans="1:6" customFormat="1" ht="18" customHeight="1">
      <c r="A115" s="397"/>
      <c r="B115" s="2"/>
    </row>
    <row r="116" spans="1:6" customFormat="1" ht="18" customHeight="1">
      <c r="A116" s="397" t="s">
        <v>170</v>
      </c>
      <c r="B116" s="2" t="s">
        <v>16</v>
      </c>
    </row>
    <row r="117" spans="1:6" customFormat="1" ht="18" customHeight="1">
      <c r="A117" s="397" t="s">
        <v>172</v>
      </c>
      <c r="B117" s="1" t="s">
        <v>17</v>
      </c>
      <c r="F117" s="92">
        <v>48527000</v>
      </c>
    </row>
    <row r="118" spans="1:6" customFormat="1" ht="18" customHeight="1">
      <c r="A118" s="397" t="s">
        <v>173</v>
      </c>
      <c r="B118" t="s">
        <v>18</v>
      </c>
      <c r="F118" s="92">
        <v>485000</v>
      </c>
    </row>
    <row r="119" spans="1:6" customFormat="1" ht="18" customHeight="1">
      <c r="A119" s="397" t="s">
        <v>174</v>
      </c>
      <c r="B119" s="2" t="s">
        <v>19</v>
      </c>
      <c r="F119" s="382">
        <f>SUM(F117:F118)</f>
        <v>49012000</v>
      </c>
    </row>
    <row r="120" spans="1:6" customFormat="1" ht="18" customHeight="1">
      <c r="A120" s="397"/>
      <c r="B120" s="2"/>
      <c r="F120" s="381"/>
    </row>
    <row r="121" spans="1:6" customFormat="1" ht="18" customHeight="1">
      <c r="A121" s="397" t="s">
        <v>167</v>
      </c>
      <c r="B121" s="2" t="s">
        <v>36</v>
      </c>
      <c r="F121" s="92">
        <v>43326000</v>
      </c>
    </row>
    <row r="122" spans="1:6" customFormat="1" ht="18" customHeight="1">
      <c r="A122" s="397"/>
      <c r="F122" s="381"/>
    </row>
    <row r="123" spans="1:6" customFormat="1" ht="18" customHeight="1">
      <c r="A123" s="397" t="s">
        <v>175</v>
      </c>
      <c r="B123" s="2" t="s">
        <v>20</v>
      </c>
      <c r="F123" s="92">
        <f>F119-F121</f>
        <v>5686000</v>
      </c>
    </row>
    <row r="124" spans="1:6" customFormat="1" ht="18" customHeight="1">
      <c r="A124" s="397"/>
      <c r="F124" s="381"/>
    </row>
    <row r="125" spans="1:6" customFormat="1" ht="18" customHeight="1">
      <c r="A125" s="397" t="s">
        <v>176</v>
      </c>
      <c r="B125" s="2" t="s">
        <v>21</v>
      </c>
      <c r="F125" s="92">
        <v>-112000</v>
      </c>
    </row>
    <row r="126" spans="1:6" customFormat="1" ht="18" customHeight="1">
      <c r="A126" s="397"/>
      <c r="F126" s="381"/>
    </row>
    <row r="127" spans="1:6" customFormat="1" ht="18" customHeight="1">
      <c r="A127" s="397" t="s">
        <v>177</v>
      </c>
      <c r="B127" s="2" t="s">
        <v>22</v>
      </c>
      <c r="F127" s="92">
        <f>+F123+F125</f>
        <v>5574000</v>
      </c>
    </row>
    <row r="128" spans="1:6" customFormat="1" ht="18" customHeight="1">
      <c r="A128" s="397"/>
    </row>
    <row r="129" spans="1:11" ht="42.75" customHeight="1">
      <c r="F129" s="9" t="s">
        <v>9</v>
      </c>
      <c r="G129" s="9" t="s">
        <v>37</v>
      </c>
      <c r="H129" s="379" t="s">
        <v>29</v>
      </c>
      <c r="I129" s="379" t="s">
        <v>30</v>
      </c>
      <c r="J129" s="379" t="s">
        <v>33</v>
      </c>
      <c r="K129" s="379" t="s">
        <v>34</v>
      </c>
    </row>
    <row r="130" spans="1:11" ht="18" customHeight="1">
      <c r="A130" s="396" t="s">
        <v>157</v>
      </c>
      <c r="B130" s="2" t="s">
        <v>23</v>
      </c>
    </row>
    <row r="131" spans="1:11" ht="18" customHeight="1">
      <c r="A131" s="397" t="s">
        <v>158</v>
      </c>
      <c r="B131" t="s">
        <v>24</v>
      </c>
      <c r="F131" s="54"/>
      <c r="G131" s="54"/>
      <c r="H131" s="94"/>
      <c r="I131" s="380">
        <v>0</v>
      </c>
      <c r="J131" s="94"/>
      <c r="K131" s="376">
        <f>(H131+I131)-J131</f>
        <v>0</v>
      </c>
    </row>
    <row r="132" spans="1:11" ht="18" customHeight="1">
      <c r="A132" s="397" t="s">
        <v>159</v>
      </c>
      <c r="B132" t="s">
        <v>25</v>
      </c>
      <c r="F132" s="54"/>
      <c r="G132" s="54"/>
      <c r="H132" s="94"/>
      <c r="I132" s="380">
        <v>0</v>
      </c>
      <c r="J132" s="94"/>
      <c r="K132" s="376">
        <f>(H132+I132)-J132</f>
        <v>0</v>
      </c>
    </row>
    <row r="133" spans="1:11" ht="18" customHeight="1">
      <c r="A133" s="397" t="s">
        <v>160</v>
      </c>
      <c r="B133" s="547"/>
      <c r="C133" s="548"/>
      <c r="D133" s="549"/>
      <c r="F133" s="54"/>
      <c r="G133" s="54"/>
      <c r="H133" s="94"/>
      <c r="I133" s="380">
        <v>0</v>
      </c>
      <c r="J133" s="94"/>
      <c r="K133" s="376">
        <f>(H133+I133)-J133</f>
        <v>0</v>
      </c>
    </row>
    <row r="134" spans="1:11" ht="18" customHeight="1">
      <c r="A134" s="397" t="s">
        <v>161</v>
      </c>
      <c r="B134" s="547"/>
      <c r="C134" s="548"/>
      <c r="D134" s="549"/>
      <c r="F134" s="54"/>
      <c r="G134" s="54"/>
      <c r="H134" s="94"/>
      <c r="I134" s="380">
        <v>0</v>
      </c>
      <c r="J134" s="94"/>
      <c r="K134" s="376">
        <f>(H134+I134)-J134</f>
        <v>0</v>
      </c>
    </row>
    <row r="135" spans="1:11" ht="18" customHeight="1">
      <c r="A135" s="397" t="s">
        <v>162</v>
      </c>
      <c r="B135" s="547"/>
      <c r="C135" s="548"/>
      <c r="D135" s="549"/>
      <c r="F135" s="54"/>
      <c r="G135" s="54"/>
      <c r="H135" s="94"/>
      <c r="I135" s="380">
        <v>0</v>
      </c>
      <c r="J135" s="94"/>
      <c r="K135" s="376">
        <f>(H135+I135)-J135</f>
        <v>0</v>
      </c>
    </row>
    <row r="136" spans="1:11" ht="18" customHeight="1">
      <c r="A136" s="396"/>
    </row>
    <row r="137" spans="1:11" ht="18" customHeight="1">
      <c r="A137" s="396" t="s">
        <v>163</v>
      </c>
      <c r="B137" s="2" t="s">
        <v>27</v>
      </c>
      <c r="F137" s="18">
        <f t="shared" ref="F137:K137" si="7">SUM(F131:F135)</f>
        <v>0</v>
      </c>
      <c r="G137" s="18">
        <f t="shared" si="7"/>
        <v>0</v>
      </c>
      <c r="H137" s="376">
        <f t="shared" si="7"/>
        <v>0</v>
      </c>
      <c r="I137" s="376">
        <f t="shared" si="7"/>
        <v>0</v>
      </c>
      <c r="J137" s="376">
        <f t="shared" si="7"/>
        <v>0</v>
      </c>
      <c r="K137" s="376">
        <f t="shared" si="7"/>
        <v>0</v>
      </c>
    </row>
    <row r="138" spans="1:11" ht="18" customHeight="1">
      <c r="A138" s="398"/>
    </row>
    <row r="139" spans="1:11" ht="42.75" customHeight="1">
      <c r="F139" s="9" t="s">
        <v>9</v>
      </c>
      <c r="G139" s="9" t="s">
        <v>37</v>
      </c>
      <c r="H139" s="379" t="s">
        <v>29</v>
      </c>
      <c r="I139" s="379" t="s">
        <v>30</v>
      </c>
      <c r="J139" s="379" t="s">
        <v>33</v>
      </c>
      <c r="K139" s="379" t="s">
        <v>34</v>
      </c>
    </row>
    <row r="140" spans="1:11" ht="18" customHeight="1">
      <c r="A140" s="396" t="s">
        <v>166</v>
      </c>
      <c r="B140" s="2" t="s">
        <v>26</v>
      </c>
    </row>
    <row r="141" spans="1:11" ht="18" customHeight="1">
      <c r="A141" s="397" t="s">
        <v>137</v>
      </c>
      <c r="B141" s="2" t="s">
        <v>64</v>
      </c>
      <c r="F141" s="41">
        <f t="shared" ref="F141:K141" si="8">F36</f>
        <v>135</v>
      </c>
      <c r="G141" s="41">
        <f t="shared" si="8"/>
        <v>826</v>
      </c>
      <c r="H141" s="378">
        <f t="shared" si="8"/>
        <v>7706.7520142643816</v>
      </c>
      <c r="I141" s="378">
        <f t="shared" si="8"/>
        <v>4277.5178583162415</v>
      </c>
      <c r="J141" s="378">
        <f t="shared" si="8"/>
        <v>0</v>
      </c>
      <c r="K141" s="378">
        <f t="shared" si="8"/>
        <v>11984.269872580622</v>
      </c>
    </row>
    <row r="142" spans="1:11" ht="18" customHeight="1">
      <c r="A142" s="397" t="s">
        <v>142</v>
      </c>
      <c r="B142" s="2" t="s">
        <v>65</v>
      </c>
      <c r="F142" s="41">
        <f t="shared" ref="F142:K142" si="9">F49</f>
        <v>5200</v>
      </c>
      <c r="G142" s="41">
        <f t="shared" si="9"/>
        <v>17</v>
      </c>
      <c r="H142" s="378">
        <f t="shared" si="9"/>
        <v>158873</v>
      </c>
      <c r="I142" s="378">
        <f t="shared" si="9"/>
        <v>51799.999999999985</v>
      </c>
      <c r="J142" s="378">
        <f t="shared" si="9"/>
        <v>0</v>
      </c>
      <c r="K142" s="378">
        <f t="shared" si="9"/>
        <v>210673</v>
      </c>
    </row>
    <row r="143" spans="1:11" ht="18" customHeight="1">
      <c r="A143" s="397" t="s">
        <v>144</v>
      </c>
      <c r="B143" s="2" t="s">
        <v>66</v>
      </c>
      <c r="F143" s="41">
        <f t="shared" ref="F143:K143" si="10">F64</f>
        <v>11489.254958677686</v>
      </c>
      <c r="G143" s="41">
        <f t="shared" si="10"/>
        <v>21141.006611570247</v>
      </c>
      <c r="H143" s="378">
        <f t="shared" si="10"/>
        <v>1296216.5</v>
      </c>
      <c r="I143" s="378">
        <f t="shared" si="10"/>
        <v>1406.7364554920525</v>
      </c>
      <c r="J143" s="378">
        <f t="shared" si="10"/>
        <v>0</v>
      </c>
      <c r="K143" s="378">
        <f t="shared" si="10"/>
        <v>1297623.236455492</v>
      </c>
    </row>
    <row r="144" spans="1:11" ht="18" customHeight="1">
      <c r="A144" s="397" t="s">
        <v>146</v>
      </c>
      <c r="B144" s="2" t="s">
        <v>67</v>
      </c>
      <c r="F144" s="41">
        <f t="shared" ref="F144:K144" si="11">F74</f>
        <v>0</v>
      </c>
      <c r="G144" s="41">
        <f t="shared" si="11"/>
        <v>0</v>
      </c>
      <c r="H144" s="378">
        <f t="shared" si="11"/>
        <v>0</v>
      </c>
      <c r="I144" s="378">
        <f t="shared" si="11"/>
        <v>0</v>
      </c>
      <c r="J144" s="378">
        <f t="shared" si="11"/>
        <v>0</v>
      </c>
      <c r="K144" s="378">
        <f t="shared" si="11"/>
        <v>0</v>
      </c>
    </row>
    <row r="145" spans="1:11" ht="18" customHeight="1">
      <c r="A145" s="397" t="s">
        <v>148</v>
      </c>
      <c r="B145" s="2" t="s">
        <v>68</v>
      </c>
      <c r="F145" s="41">
        <f t="shared" ref="F145:K145" si="12">F82</f>
        <v>0</v>
      </c>
      <c r="G145" s="41">
        <f t="shared" si="12"/>
        <v>0</v>
      </c>
      <c r="H145" s="378">
        <f t="shared" si="12"/>
        <v>0</v>
      </c>
      <c r="I145" s="378">
        <f t="shared" si="12"/>
        <v>0</v>
      </c>
      <c r="J145" s="378">
        <f t="shared" si="12"/>
        <v>0</v>
      </c>
      <c r="K145" s="378">
        <f t="shared" si="12"/>
        <v>0</v>
      </c>
    </row>
    <row r="146" spans="1:11" ht="18" customHeight="1">
      <c r="A146" s="397" t="s">
        <v>150</v>
      </c>
      <c r="B146" s="2" t="s">
        <v>69</v>
      </c>
      <c r="F146" s="41">
        <f t="shared" ref="F146:K146" si="13">F98</f>
        <v>200</v>
      </c>
      <c r="G146" s="41">
        <f t="shared" si="13"/>
        <v>442</v>
      </c>
      <c r="H146" s="378">
        <f t="shared" si="13"/>
        <v>18556.634915260278</v>
      </c>
      <c r="I146" s="378">
        <f t="shared" si="13"/>
        <v>10299.583675893988</v>
      </c>
      <c r="J146" s="378">
        <f t="shared" si="13"/>
        <v>0</v>
      </c>
      <c r="K146" s="378">
        <f t="shared" si="13"/>
        <v>28856.218591154266</v>
      </c>
    </row>
    <row r="147" spans="1:11" ht="18" customHeight="1">
      <c r="A147" s="397" t="s">
        <v>153</v>
      </c>
      <c r="B147" s="2" t="s">
        <v>61</v>
      </c>
      <c r="F147" s="18">
        <f t="shared" ref="F147:K147" si="14">F108</f>
        <v>0</v>
      </c>
      <c r="G147" s="18">
        <f t="shared" si="14"/>
        <v>0</v>
      </c>
      <c r="H147" s="376">
        <f t="shared" si="14"/>
        <v>0</v>
      </c>
      <c r="I147" s="376">
        <f t="shared" si="14"/>
        <v>0</v>
      </c>
      <c r="J147" s="376">
        <f t="shared" si="14"/>
        <v>0</v>
      </c>
      <c r="K147" s="376">
        <f t="shared" si="14"/>
        <v>0</v>
      </c>
    </row>
    <row r="148" spans="1:11" ht="18" customHeight="1">
      <c r="A148" s="397" t="s">
        <v>155</v>
      </c>
      <c r="B148" s="2" t="s">
        <v>70</v>
      </c>
      <c r="F148" s="42" t="s">
        <v>73</v>
      </c>
      <c r="G148" s="42" t="s">
        <v>73</v>
      </c>
      <c r="H148" s="377" t="s">
        <v>73</v>
      </c>
      <c r="I148" s="377" t="s">
        <v>73</v>
      </c>
      <c r="J148" s="377" t="s">
        <v>73</v>
      </c>
      <c r="K148" s="378">
        <f>F111</f>
        <v>3579500</v>
      </c>
    </row>
    <row r="149" spans="1:11" ht="18" customHeight="1">
      <c r="A149" s="397" t="s">
        <v>163</v>
      </c>
      <c r="B149" s="2" t="s">
        <v>71</v>
      </c>
      <c r="F149" s="18">
        <f t="shared" ref="F149:K149" si="15">F137</f>
        <v>0</v>
      </c>
      <c r="G149" s="18">
        <f t="shared" si="15"/>
        <v>0</v>
      </c>
      <c r="H149" s="376">
        <f t="shared" si="15"/>
        <v>0</v>
      </c>
      <c r="I149" s="376">
        <f t="shared" si="15"/>
        <v>0</v>
      </c>
      <c r="J149" s="376">
        <f t="shared" si="15"/>
        <v>0</v>
      </c>
      <c r="K149" s="376">
        <f t="shared" si="15"/>
        <v>0</v>
      </c>
    </row>
    <row r="150" spans="1:11" ht="18" customHeight="1">
      <c r="A150" s="397" t="s">
        <v>185</v>
      </c>
      <c r="B150" s="2" t="s">
        <v>186</v>
      </c>
      <c r="F150" s="42" t="s">
        <v>73</v>
      </c>
      <c r="G150" s="42" t="s">
        <v>73</v>
      </c>
      <c r="H150" s="376">
        <f>H18</f>
        <v>1563115</v>
      </c>
      <c r="I150" s="376">
        <f>I18</f>
        <v>0</v>
      </c>
      <c r="J150" s="376">
        <f>J18</f>
        <v>1336659</v>
      </c>
      <c r="K150" s="376">
        <f>K18</f>
        <v>226456</v>
      </c>
    </row>
    <row r="151" spans="1:11" ht="18" customHeight="1">
      <c r="B151" s="2"/>
      <c r="F151" s="48"/>
      <c r="G151" s="48"/>
      <c r="H151" s="375"/>
      <c r="I151" s="375"/>
      <c r="J151" s="375"/>
      <c r="K151" s="375"/>
    </row>
    <row r="152" spans="1:11" ht="18" customHeight="1">
      <c r="A152" s="396" t="s">
        <v>165</v>
      </c>
      <c r="B152" s="2" t="s">
        <v>26</v>
      </c>
      <c r="F152" s="49">
        <f t="shared" ref="F152:K152" si="16">SUM(F141:F150)</f>
        <v>17024.254958677688</v>
      </c>
      <c r="G152" s="49">
        <f t="shared" si="16"/>
        <v>22426.006611570247</v>
      </c>
      <c r="H152" s="374">
        <f t="shared" si="16"/>
        <v>3044467.8869295251</v>
      </c>
      <c r="I152" s="374">
        <f t="shared" si="16"/>
        <v>67783.837989702268</v>
      </c>
      <c r="J152" s="374">
        <f t="shared" si="16"/>
        <v>1336659</v>
      </c>
      <c r="K152" s="374">
        <f t="shared" si="16"/>
        <v>5355092.724919227</v>
      </c>
    </row>
    <row r="154" spans="1:11" ht="18" customHeight="1">
      <c r="A154" s="396" t="s">
        <v>168</v>
      </c>
      <c r="B154" s="2" t="s">
        <v>28</v>
      </c>
      <c r="F154" s="91">
        <f>K152/F121</f>
        <v>0.12359997980241026</v>
      </c>
    </row>
    <row r="155" spans="1:11" ht="18" customHeight="1">
      <c r="A155" s="396" t="s">
        <v>169</v>
      </c>
      <c r="B155" s="2" t="s">
        <v>72</v>
      </c>
      <c r="F155" s="91">
        <f>K152/F127</f>
        <v>0.96072707659117818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C9:G9"/>
    <mergeCell ref="C10:G10"/>
    <mergeCell ref="C11:G11"/>
    <mergeCell ref="B13:H13"/>
    <mergeCell ref="D2:H2"/>
    <mergeCell ref="C5:G5"/>
    <mergeCell ref="C6:G6"/>
    <mergeCell ref="B44:D44"/>
    <mergeCell ref="B45:D45"/>
    <mergeCell ref="B46:D46"/>
    <mergeCell ref="B47:D47"/>
    <mergeCell ref="B30:D30"/>
    <mergeCell ref="B31:D31"/>
    <mergeCell ref="B34:D34"/>
    <mergeCell ref="B41:C41"/>
    <mergeCell ref="B52:C52"/>
    <mergeCell ref="B53:D53"/>
    <mergeCell ref="B55:D55"/>
    <mergeCell ref="B56:D56"/>
    <mergeCell ref="B134:D134"/>
    <mergeCell ref="B103:C103"/>
    <mergeCell ref="B57:D57"/>
    <mergeCell ref="B59:D59"/>
    <mergeCell ref="B62:D62"/>
    <mergeCell ref="B90:C90"/>
    <mergeCell ref="B135:D135"/>
    <mergeCell ref="B54:D54"/>
    <mergeCell ref="B104:D104"/>
    <mergeCell ref="B105:D105"/>
    <mergeCell ref="B106:D106"/>
    <mergeCell ref="B133:D133"/>
    <mergeCell ref="B94:D94"/>
    <mergeCell ref="B95:D95"/>
    <mergeCell ref="B96:D96"/>
  </mergeCells>
  <pageMargins left="0.75" right="0.75" top="1" bottom="1" header="0.5" footer="0.5"/>
  <pageSetup scale="42" orientation="landscape" r:id="rId1"/>
  <headerFooter alignWithMargins="0"/>
  <rowBreaks count="3" manualBreakCount="3">
    <brk id="37" max="16383" man="1"/>
    <brk id="74" max="16383" man="1"/>
    <brk id="10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70" zoomScaleNormal="50" zoomScaleSheetLayoutView="7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487</v>
      </c>
      <c r="D5" s="534"/>
      <c r="E5" s="534"/>
      <c r="F5" s="534"/>
      <c r="G5" s="535"/>
    </row>
    <row r="6" spans="1:11" ht="18" customHeight="1">
      <c r="B6" s="5" t="s">
        <v>3</v>
      </c>
      <c r="C6" s="536" t="s">
        <v>486</v>
      </c>
      <c r="D6" s="537"/>
      <c r="E6" s="537"/>
      <c r="F6" s="537"/>
      <c r="G6" s="538"/>
    </row>
    <row r="7" spans="1:11" ht="18" customHeight="1">
      <c r="B7" s="5" t="s">
        <v>4</v>
      </c>
      <c r="C7" s="587" t="s">
        <v>485</v>
      </c>
      <c r="D7" s="539"/>
      <c r="E7" s="539"/>
      <c r="F7" s="539"/>
      <c r="G7" s="540"/>
    </row>
    <row r="9" spans="1:11" ht="18" customHeight="1">
      <c r="B9" s="5" t="s">
        <v>1</v>
      </c>
      <c r="C9" s="533" t="s">
        <v>484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483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482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1341106</v>
      </c>
      <c r="I18" s="55">
        <v>0</v>
      </c>
      <c r="J18" s="15">
        <v>1146814</v>
      </c>
      <c r="K18" s="16">
        <f>(H18+I18)-J18</f>
        <v>194292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21</v>
      </c>
      <c r="G21" s="54">
        <v>65</v>
      </c>
      <c r="H21" s="54">
        <v>2913.53</v>
      </c>
      <c r="I21" s="55">
        <f t="shared" ref="I21:I34" si="0">H21*F$114</f>
        <v>1864.6592000000001</v>
      </c>
      <c r="J21" s="15"/>
      <c r="K21" s="16">
        <f t="shared" ref="K21:K34" si="1">(H21+I21)-J21</f>
        <v>4778.1892000000007</v>
      </c>
    </row>
    <row r="22" spans="1:11" ht="18" customHeight="1">
      <c r="A22" s="5" t="s">
        <v>76</v>
      </c>
      <c r="B22" t="s">
        <v>6</v>
      </c>
      <c r="F22" s="54"/>
      <c r="G22" s="54"/>
      <c r="H22" s="15"/>
      <c r="I22" s="55">
        <f t="shared" si="0"/>
        <v>0</v>
      </c>
      <c r="J22" s="15"/>
      <c r="K22" s="16">
        <f t="shared" si="1"/>
        <v>0</v>
      </c>
    </row>
    <row r="23" spans="1:11" ht="18" customHeight="1">
      <c r="A23" s="5" t="s">
        <v>77</v>
      </c>
      <c r="B23" t="s">
        <v>43</v>
      </c>
      <c r="F23" s="54"/>
      <c r="G23" s="54"/>
      <c r="H23" s="15"/>
      <c r="I23" s="55">
        <f t="shared" si="0"/>
        <v>0</v>
      </c>
      <c r="J23" s="15"/>
      <c r="K23" s="16">
        <f t="shared" si="1"/>
        <v>0</v>
      </c>
    </row>
    <row r="24" spans="1:11" ht="18" customHeight="1">
      <c r="A24" s="5" t="s">
        <v>78</v>
      </c>
      <c r="B24" t="s">
        <v>44</v>
      </c>
      <c r="F24" s="54"/>
      <c r="G24" s="54"/>
      <c r="H24" s="15"/>
      <c r="I24" s="55">
        <f t="shared" si="0"/>
        <v>0</v>
      </c>
      <c r="J24" s="15"/>
      <c r="K24" s="16">
        <f t="shared" si="1"/>
        <v>0</v>
      </c>
    </row>
    <row r="25" spans="1:11" ht="18" customHeight="1">
      <c r="A25" s="5" t="s">
        <v>79</v>
      </c>
      <c r="B25" t="s">
        <v>5</v>
      </c>
      <c r="F25" s="54">
        <f>86+17</f>
        <v>103</v>
      </c>
      <c r="G25" s="54">
        <f>4095+204</f>
        <v>4299</v>
      </c>
      <c r="H25" s="15">
        <f>8847.5+869.04</f>
        <v>9716.5400000000009</v>
      </c>
      <c r="I25" s="55">
        <f t="shared" si="0"/>
        <v>6218.5856000000003</v>
      </c>
      <c r="J25" s="15"/>
      <c r="K25" s="16">
        <f t="shared" si="1"/>
        <v>15935.125600000001</v>
      </c>
    </row>
    <row r="26" spans="1:11" ht="18" customHeight="1">
      <c r="A26" s="5" t="s">
        <v>80</v>
      </c>
      <c r="B26" t="s">
        <v>45</v>
      </c>
      <c r="F26" s="54"/>
      <c r="G26" s="54"/>
      <c r="H26" s="15"/>
      <c r="I26" s="55">
        <f t="shared" si="0"/>
        <v>0</v>
      </c>
      <c r="J26" s="15"/>
      <c r="K26" s="16">
        <f t="shared" si="1"/>
        <v>0</v>
      </c>
    </row>
    <row r="27" spans="1:11" ht="18" customHeight="1">
      <c r="A27" s="5" t="s">
        <v>81</v>
      </c>
      <c r="B27" t="s">
        <v>46</v>
      </c>
      <c r="F27" s="54"/>
      <c r="G27" s="54"/>
      <c r="H27" s="15"/>
      <c r="I27" s="55">
        <f t="shared" si="0"/>
        <v>0</v>
      </c>
      <c r="J27" s="15"/>
      <c r="K27" s="16">
        <f t="shared" si="1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15"/>
      <c r="I28" s="55">
        <f t="shared" si="0"/>
        <v>0</v>
      </c>
      <c r="J28" s="15"/>
      <c r="K28" s="16">
        <f t="shared" si="1"/>
        <v>0</v>
      </c>
    </row>
    <row r="29" spans="1:11" ht="18" customHeight="1">
      <c r="A29" s="5" t="s">
        <v>83</v>
      </c>
      <c r="B29" t="s">
        <v>48</v>
      </c>
      <c r="F29" s="54"/>
      <c r="G29" s="54"/>
      <c r="H29" s="15"/>
      <c r="I29" s="55">
        <f t="shared" si="0"/>
        <v>0</v>
      </c>
      <c r="J29" s="15"/>
      <c r="K29" s="16">
        <f t="shared" si="1"/>
        <v>0</v>
      </c>
    </row>
    <row r="30" spans="1:11" ht="18" customHeight="1">
      <c r="A30" s="5" t="s">
        <v>84</v>
      </c>
      <c r="B30" s="547"/>
      <c r="C30" s="548"/>
      <c r="D30" s="549"/>
      <c r="F30" s="54"/>
      <c r="G30" s="54"/>
      <c r="H30" s="15"/>
      <c r="I30" s="55">
        <f t="shared" si="0"/>
        <v>0</v>
      </c>
      <c r="J30" s="15"/>
      <c r="K30" s="16">
        <f t="shared" si="1"/>
        <v>0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 t="shared" si="0"/>
        <v>0</v>
      </c>
      <c r="J31" s="15"/>
      <c r="K31" s="16">
        <f t="shared" si="1"/>
        <v>0</v>
      </c>
    </row>
    <row r="32" spans="1:11" ht="18" customHeight="1">
      <c r="A32" s="5" t="s">
        <v>134</v>
      </c>
      <c r="B32" s="547"/>
      <c r="C32" s="548"/>
      <c r="D32" s="549"/>
      <c r="F32" s="54"/>
      <c r="G32" s="52" t="s">
        <v>85</v>
      </c>
      <c r="H32" s="15"/>
      <c r="I32" s="55">
        <f t="shared" si="0"/>
        <v>0</v>
      </c>
      <c r="J32" s="15"/>
      <c r="K32" s="16">
        <f t="shared" si="1"/>
        <v>0</v>
      </c>
    </row>
    <row r="33" spans="1:11" ht="18" customHeight="1">
      <c r="A33" s="5" t="s">
        <v>135</v>
      </c>
      <c r="B33" s="191"/>
      <c r="C33" s="192"/>
      <c r="D33" s="193"/>
      <c r="F33" s="54"/>
      <c r="G33" s="52" t="s">
        <v>85</v>
      </c>
      <c r="H33" s="15"/>
      <c r="I33" s="55">
        <f t="shared" si="0"/>
        <v>0</v>
      </c>
      <c r="J33" s="15"/>
      <c r="K33" s="16">
        <f t="shared" si="1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 t="shared" si="0"/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124</v>
      </c>
      <c r="G36" s="18">
        <f t="shared" si="2"/>
        <v>4364</v>
      </c>
      <c r="H36" s="18">
        <f t="shared" si="2"/>
        <v>12630.070000000002</v>
      </c>
      <c r="I36" s="16">
        <f t="shared" si="2"/>
        <v>8083.2448000000004</v>
      </c>
      <c r="J36" s="16">
        <f t="shared" si="2"/>
        <v>0</v>
      </c>
      <c r="K36" s="16">
        <f t="shared" si="2"/>
        <v>20713.3148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/>
      <c r="G40" s="54"/>
      <c r="H40" s="15"/>
      <c r="I40" s="55">
        <f t="shared" ref="I40:I47" si="3">H40*0.31</f>
        <v>0</v>
      </c>
      <c r="J40" s="15"/>
      <c r="K40" s="16">
        <f t="shared" ref="K40:K47" si="4">(H40+I40)-J40</f>
        <v>0</v>
      </c>
    </row>
    <row r="41" spans="1:11" ht="18" customHeight="1">
      <c r="A41" s="5" t="s">
        <v>88</v>
      </c>
      <c r="B41" s="550" t="s">
        <v>50</v>
      </c>
      <c r="C41" s="551"/>
      <c r="F41" s="54">
        <f>4200+14</f>
        <v>4214</v>
      </c>
      <c r="G41" s="54">
        <v>35</v>
      </c>
      <c r="H41" s="15">
        <f>38.3*F41*1.19</f>
        <v>192061.47799999997</v>
      </c>
      <c r="I41" s="55">
        <f t="shared" si="3"/>
        <v>59539.058179999993</v>
      </c>
      <c r="J41" s="15"/>
      <c r="K41" s="16">
        <f t="shared" si="4"/>
        <v>251600.53617999997</v>
      </c>
    </row>
    <row r="42" spans="1:11" ht="18" customHeight="1">
      <c r="A42" s="5" t="s">
        <v>89</v>
      </c>
      <c r="B42" s="1" t="s">
        <v>11</v>
      </c>
      <c r="F42" s="54">
        <v>502</v>
      </c>
      <c r="G42" s="54">
        <v>1</v>
      </c>
      <c r="H42" s="54">
        <f>50.16*F42*1.19</f>
        <v>29964.5808</v>
      </c>
      <c r="I42" s="55">
        <f t="shared" si="3"/>
        <v>9289.0200480000003</v>
      </c>
      <c r="J42" s="15"/>
      <c r="K42" s="16">
        <f t="shared" si="4"/>
        <v>39253.600848000002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/>
      <c r="I43" s="55">
        <f t="shared" si="3"/>
        <v>0</v>
      </c>
      <c r="J43" s="15"/>
      <c r="K43" s="16">
        <f t="shared" si="4"/>
        <v>0</v>
      </c>
    </row>
    <row r="44" spans="1:11" ht="18" customHeight="1">
      <c r="A44" s="5" t="s">
        <v>91</v>
      </c>
      <c r="B44" s="547" t="s">
        <v>481</v>
      </c>
      <c r="C44" s="548"/>
      <c r="D44" s="549"/>
      <c r="F44" s="54">
        <v>544</v>
      </c>
      <c r="G44" s="54">
        <v>7</v>
      </c>
      <c r="H44" s="54">
        <f>41.16*F44*1.19</f>
        <v>26645.337599999995</v>
      </c>
      <c r="I44" s="55">
        <f t="shared" si="3"/>
        <v>8260.0546559999984</v>
      </c>
      <c r="J44" s="54"/>
      <c r="K44" s="56">
        <f t="shared" si="4"/>
        <v>34905.392255999992</v>
      </c>
    </row>
    <row r="45" spans="1:11" ht="18" customHeight="1">
      <c r="A45" s="5" t="s">
        <v>139</v>
      </c>
      <c r="B45" s="547" t="s">
        <v>480</v>
      </c>
      <c r="C45" s="548"/>
      <c r="D45" s="549"/>
      <c r="F45" s="54">
        <v>50</v>
      </c>
      <c r="G45" s="54">
        <v>1</v>
      </c>
      <c r="H45" s="54">
        <f>35.5*F45*1.19</f>
        <v>2112.25</v>
      </c>
      <c r="I45" s="55">
        <f t="shared" si="3"/>
        <v>654.79750000000001</v>
      </c>
      <c r="J45" s="15"/>
      <c r="K45" s="16">
        <f t="shared" si="4"/>
        <v>2767.0475000000001</v>
      </c>
    </row>
    <row r="46" spans="1:11" ht="18" customHeight="1">
      <c r="A46" s="5" t="s">
        <v>140</v>
      </c>
      <c r="B46" s="547" t="s">
        <v>479</v>
      </c>
      <c r="C46" s="548"/>
      <c r="D46" s="549"/>
      <c r="F46" s="54"/>
      <c r="G46" s="54"/>
      <c r="H46" s="15">
        <f>8191.72+7250.23</f>
        <v>15441.95</v>
      </c>
      <c r="I46" s="55">
        <f t="shared" si="3"/>
        <v>4787.0045</v>
      </c>
      <c r="J46" s="15">
        <f>7749.77+7250.23</f>
        <v>15000</v>
      </c>
      <c r="K46" s="16">
        <f t="shared" si="4"/>
        <v>5228.9544999999998</v>
      </c>
    </row>
    <row r="47" spans="1:11" ht="18" customHeight="1">
      <c r="A47" s="5" t="s">
        <v>141</v>
      </c>
      <c r="B47" s="530" t="s">
        <v>478</v>
      </c>
      <c r="C47" s="531"/>
      <c r="D47" s="532"/>
      <c r="F47" s="54"/>
      <c r="G47" s="54"/>
      <c r="H47" s="15">
        <f>44.5*96*1.19</f>
        <v>5083.6799999999994</v>
      </c>
      <c r="I47" s="55">
        <f t="shared" si="3"/>
        <v>1575.9407999999999</v>
      </c>
      <c r="J47" s="15"/>
      <c r="K47" s="16">
        <f t="shared" si="4"/>
        <v>6659.6207999999988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5">SUM(F40:F47)</f>
        <v>5310</v>
      </c>
      <c r="G49" s="23">
        <f t="shared" si="5"/>
        <v>44</v>
      </c>
      <c r="H49" s="16">
        <f t="shared" si="5"/>
        <v>271309.27639999997</v>
      </c>
      <c r="I49" s="16">
        <f t="shared" si="5"/>
        <v>84105.875683999984</v>
      </c>
      <c r="J49" s="16">
        <f t="shared" si="5"/>
        <v>15000</v>
      </c>
      <c r="K49" s="16">
        <f t="shared" si="5"/>
        <v>340415.15208399988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85" t="s">
        <v>477</v>
      </c>
      <c r="C53" s="559"/>
      <c r="D53" s="532"/>
      <c r="F53" s="54"/>
      <c r="G53" s="54">
        <v>11</v>
      </c>
      <c r="H53" s="15">
        <f>31.99*33*60</f>
        <v>63340.19999999999</v>
      </c>
      <c r="I53" s="55">
        <f>H53*0.31</f>
        <v>19635.461999999996</v>
      </c>
      <c r="J53" s="15"/>
      <c r="K53" s="16">
        <f t="shared" ref="K53:K62" si="6">(H53+I53)-J53</f>
        <v>82975.661999999982</v>
      </c>
    </row>
    <row r="54" spans="1:11" ht="18" customHeight="1">
      <c r="A54" s="5" t="s">
        <v>93</v>
      </c>
      <c r="B54" s="194" t="s">
        <v>476</v>
      </c>
      <c r="C54" s="190"/>
      <c r="D54" s="188"/>
      <c r="F54" s="54"/>
      <c r="G54" s="54"/>
      <c r="H54" s="15"/>
      <c r="I54" s="55">
        <f t="shared" ref="I54:I62" si="7">H54*F$114</f>
        <v>0</v>
      </c>
      <c r="J54" s="15"/>
      <c r="K54" s="16">
        <f t="shared" si="6"/>
        <v>0</v>
      </c>
    </row>
    <row r="55" spans="1:11" ht="18" customHeight="1">
      <c r="A55" s="5" t="s">
        <v>94</v>
      </c>
      <c r="B55" s="530"/>
      <c r="C55" s="531"/>
      <c r="D55" s="532"/>
      <c r="F55" s="54"/>
      <c r="G55" s="54"/>
      <c r="H55" s="15"/>
      <c r="I55" s="55">
        <f t="shared" si="7"/>
        <v>0</v>
      </c>
      <c r="J55" s="15"/>
      <c r="K55" s="16">
        <f t="shared" si="6"/>
        <v>0</v>
      </c>
    </row>
    <row r="56" spans="1:11" ht="18" customHeight="1">
      <c r="A56" s="5" t="s">
        <v>95</v>
      </c>
      <c r="B56" s="530"/>
      <c r="C56" s="531"/>
      <c r="D56" s="532"/>
      <c r="F56" s="54" t="s">
        <v>740</v>
      </c>
      <c r="G56" s="54"/>
      <c r="H56" s="15"/>
      <c r="I56" s="55">
        <f t="shared" si="7"/>
        <v>0</v>
      </c>
      <c r="J56" s="15"/>
      <c r="K56" s="16">
        <f t="shared" si="6"/>
        <v>0</v>
      </c>
    </row>
    <row r="57" spans="1:11" ht="18" customHeight="1">
      <c r="A57" s="5" t="s">
        <v>96</v>
      </c>
      <c r="B57" s="530"/>
      <c r="C57" s="531"/>
      <c r="D57" s="532"/>
      <c r="F57" s="54"/>
      <c r="G57" s="54"/>
      <c r="H57" s="15"/>
      <c r="I57" s="55">
        <f t="shared" si="7"/>
        <v>0</v>
      </c>
      <c r="J57" s="15"/>
      <c r="K57" s="16">
        <f t="shared" si="6"/>
        <v>0</v>
      </c>
    </row>
    <row r="58" spans="1:11" ht="18" customHeight="1">
      <c r="A58" s="5" t="s">
        <v>97</v>
      </c>
      <c r="B58" s="189"/>
      <c r="C58" s="190"/>
      <c r="D58" s="188"/>
      <c r="F58" s="54"/>
      <c r="G58" s="54"/>
      <c r="H58" s="15"/>
      <c r="I58" s="55">
        <f t="shared" si="7"/>
        <v>0</v>
      </c>
      <c r="J58" s="15"/>
      <c r="K58" s="16">
        <f t="shared" si="6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f t="shared" si="7"/>
        <v>0</v>
      </c>
      <c r="J59" s="15"/>
      <c r="K59" s="16">
        <f t="shared" si="6"/>
        <v>0</v>
      </c>
    </row>
    <row r="60" spans="1:11" ht="18" customHeight="1">
      <c r="A60" s="5" t="s">
        <v>99</v>
      </c>
      <c r="B60" s="189"/>
      <c r="C60" s="190"/>
      <c r="D60" s="188"/>
      <c r="F60" s="54"/>
      <c r="G60" s="54"/>
      <c r="H60" s="15"/>
      <c r="I60" s="55">
        <f t="shared" si="7"/>
        <v>0</v>
      </c>
      <c r="J60" s="15"/>
      <c r="K60" s="16">
        <f t="shared" si="6"/>
        <v>0</v>
      </c>
    </row>
    <row r="61" spans="1:11" ht="18" customHeight="1">
      <c r="A61" s="5" t="s">
        <v>100</v>
      </c>
      <c r="B61" s="189"/>
      <c r="C61" s="190"/>
      <c r="D61" s="188"/>
      <c r="F61" s="54"/>
      <c r="G61" s="54"/>
      <c r="H61" s="15"/>
      <c r="I61" s="55">
        <f t="shared" si="7"/>
        <v>0</v>
      </c>
      <c r="J61" s="15"/>
      <c r="K61" s="16">
        <f t="shared" si="6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f t="shared" si="7"/>
        <v>0</v>
      </c>
      <c r="J62" s="15"/>
      <c r="K62" s="16">
        <f t="shared" si="6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8">SUM(F53:F62)</f>
        <v>0</v>
      </c>
      <c r="G64" s="18">
        <f t="shared" si="8"/>
        <v>11</v>
      </c>
      <c r="H64" s="16">
        <f t="shared" si="8"/>
        <v>63340.19999999999</v>
      </c>
      <c r="I64" s="16">
        <f t="shared" si="8"/>
        <v>19635.461999999996</v>
      </c>
      <c r="J64" s="16">
        <f t="shared" si="8"/>
        <v>0</v>
      </c>
      <c r="K64" s="16">
        <f t="shared" si="8"/>
        <v>82975.661999999982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/>
      <c r="G68" s="51"/>
      <c r="H68" s="51"/>
      <c r="I68" s="55">
        <f>H68*F$114</f>
        <v>0</v>
      </c>
      <c r="J68" s="51"/>
      <c r="K68" s="16">
        <f>(H68+I68)-J68</f>
        <v>0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f>H69*F$114</f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189"/>
      <c r="C70" s="190"/>
      <c r="D70" s="188"/>
      <c r="E70" s="2"/>
      <c r="F70" s="35"/>
      <c r="G70" s="35"/>
      <c r="H70" s="36"/>
      <c r="I70" s="55">
        <f>H70*F$114</f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189"/>
      <c r="C71" s="190"/>
      <c r="D71" s="188"/>
      <c r="E71" s="2"/>
      <c r="F71" s="35"/>
      <c r="G71" s="35"/>
      <c r="H71" s="36"/>
      <c r="I71" s="55">
        <f>H71*F$114</f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186"/>
      <c r="C72" s="187"/>
      <c r="D72" s="34"/>
      <c r="E72" s="2"/>
      <c r="F72" s="54"/>
      <c r="G72" s="54"/>
      <c r="H72" s="15"/>
      <c r="I72" s="55">
        <f>H72*F$114</f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9">SUM(F68:F72)</f>
        <v>0</v>
      </c>
      <c r="G74" s="21">
        <f t="shared" si="9"/>
        <v>0</v>
      </c>
      <c r="H74" s="21">
        <f t="shared" si="9"/>
        <v>0</v>
      </c>
      <c r="I74" s="53">
        <f t="shared" si="9"/>
        <v>0</v>
      </c>
      <c r="J74" s="21">
        <f t="shared" si="9"/>
        <v>0</v>
      </c>
      <c r="K74" s="56">
        <f t="shared" si="9"/>
        <v>0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/>
      <c r="G77" s="54"/>
      <c r="H77" s="15"/>
      <c r="I77" s="55">
        <f>H77*F$114</f>
        <v>0</v>
      </c>
      <c r="J77" s="15"/>
      <c r="K77" s="16">
        <f>(H77+I77)-J77</f>
        <v>0</v>
      </c>
    </row>
    <row r="78" spans="1:11" ht="18" customHeight="1">
      <c r="A78" s="5" t="s">
        <v>108</v>
      </c>
      <c r="B78" s="1" t="s">
        <v>55</v>
      </c>
      <c r="F78" s="54"/>
      <c r="G78" s="54"/>
      <c r="H78" s="15"/>
      <c r="I78" s="55">
        <f>H78*F$114</f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/>
      <c r="G79" s="54"/>
      <c r="H79" s="15"/>
      <c r="I79" s="55">
        <f>H79*F$114</f>
        <v>0</v>
      </c>
      <c r="J79" s="15"/>
      <c r="K79" s="16">
        <f>(H79+I79)-J79</f>
        <v>0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f>H80*F$114</f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10">SUM(F77:F80)</f>
        <v>0</v>
      </c>
      <c r="G82" s="21">
        <f t="shared" si="10"/>
        <v>0</v>
      </c>
      <c r="H82" s="56">
        <f t="shared" si="10"/>
        <v>0</v>
      </c>
      <c r="I82" s="56">
        <f t="shared" si="10"/>
        <v>0</v>
      </c>
      <c r="J82" s="56">
        <f t="shared" si="10"/>
        <v>0</v>
      </c>
      <c r="K82" s="56">
        <f t="shared" si="10"/>
        <v>0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f t="shared" ref="I86:I96" si="11">H86*F$114</f>
        <v>0</v>
      </c>
      <c r="J86" s="15"/>
      <c r="K86" s="16">
        <f t="shared" ref="K86:K96" si="12">(H86+I86)-J86</f>
        <v>0</v>
      </c>
    </row>
    <row r="87" spans="1:11" ht="18" customHeight="1">
      <c r="A87" s="5" t="s">
        <v>114</v>
      </c>
      <c r="B87" s="1" t="s">
        <v>14</v>
      </c>
      <c r="F87" s="54"/>
      <c r="G87" s="54"/>
      <c r="H87" s="15"/>
      <c r="I87" s="55">
        <f t="shared" si="11"/>
        <v>0</v>
      </c>
      <c r="J87" s="15"/>
      <c r="K87" s="16">
        <f t="shared" si="12"/>
        <v>0</v>
      </c>
    </row>
    <row r="88" spans="1:11" ht="18" customHeight="1">
      <c r="A88" s="5" t="s">
        <v>115</v>
      </c>
      <c r="B88" s="1" t="s">
        <v>116</v>
      </c>
      <c r="F88" s="54"/>
      <c r="G88" s="54"/>
      <c r="H88" s="15"/>
      <c r="I88" s="55">
        <f t="shared" si="11"/>
        <v>0</v>
      </c>
      <c r="J88" s="15"/>
      <c r="K88" s="16">
        <f t="shared" si="12"/>
        <v>0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 t="shared" si="11"/>
        <v>0</v>
      </c>
      <c r="J89" s="15"/>
      <c r="K89" s="16">
        <f t="shared" si="12"/>
        <v>0</v>
      </c>
    </row>
    <row r="90" spans="1:11" ht="18" customHeight="1">
      <c r="A90" s="5" t="s">
        <v>118</v>
      </c>
      <c r="B90" s="550" t="s">
        <v>59</v>
      </c>
      <c r="C90" s="551"/>
      <c r="F90" s="54"/>
      <c r="G90" s="54"/>
      <c r="H90" s="15"/>
      <c r="I90" s="55">
        <f t="shared" si="11"/>
        <v>0</v>
      </c>
      <c r="J90" s="15"/>
      <c r="K90" s="16">
        <f t="shared" si="12"/>
        <v>0</v>
      </c>
    </row>
    <row r="91" spans="1:11" ht="18" customHeight="1">
      <c r="A91" s="5" t="s">
        <v>119</v>
      </c>
      <c r="B91" s="1" t="s">
        <v>60</v>
      </c>
      <c r="F91" s="54"/>
      <c r="G91" s="54"/>
      <c r="H91" s="15"/>
      <c r="I91" s="55">
        <f t="shared" si="11"/>
        <v>0</v>
      </c>
      <c r="J91" s="15"/>
      <c r="K91" s="16">
        <f t="shared" si="12"/>
        <v>0</v>
      </c>
    </row>
    <row r="92" spans="1:11" ht="18" customHeight="1">
      <c r="A92" s="5" t="s">
        <v>120</v>
      </c>
      <c r="B92" s="1" t="s">
        <v>121</v>
      </c>
      <c r="F92" s="38"/>
      <c r="G92" s="38"/>
      <c r="H92" s="39"/>
      <c r="I92" s="55">
        <f t="shared" si="11"/>
        <v>0</v>
      </c>
      <c r="J92" s="39"/>
      <c r="K92" s="16">
        <f t="shared" si="12"/>
        <v>0</v>
      </c>
    </row>
    <row r="93" spans="1:11" ht="18" customHeight="1">
      <c r="A93" s="5" t="s">
        <v>122</v>
      </c>
      <c r="B93" s="1" t="s">
        <v>123</v>
      </c>
      <c r="F93" s="54"/>
      <c r="G93" s="54"/>
      <c r="H93" s="15"/>
      <c r="I93" s="55">
        <f t="shared" si="11"/>
        <v>0</v>
      </c>
      <c r="J93" s="15"/>
      <c r="K93" s="16">
        <f t="shared" si="12"/>
        <v>0</v>
      </c>
    </row>
    <row r="94" spans="1:11" ht="18" customHeight="1">
      <c r="A94" s="5" t="s">
        <v>124</v>
      </c>
      <c r="B94" s="557" t="s">
        <v>475</v>
      </c>
      <c r="C94" s="531"/>
      <c r="D94" s="532"/>
      <c r="F94" s="54"/>
      <c r="G94" s="54"/>
      <c r="H94" s="15">
        <v>14302.78</v>
      </c>
      <c r="I94" s="55">
        <f t="shared" si="11"/>
        <v>9153.7792000000009</v>
      </c>
      <c r="J94" s="15"/>
      <c r="K94" s="16">
        <f t="shared" si="12"/>
        <v>23456.559200000003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11"/>
        <v>0</v>
      </c>
      <c r="J95" s="15"/>
      <c r="K95" s="16">
        <f t="shared" si="12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11"/>
        <v>0</v>
      </c>
      <c r="J96" s="15"/>
      <c r="K96" s="16">
        <f t="shared" si="12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3">SUM(F86:F96)</f>
        <v>0</v>
      </c>
      <c r="G98" s="18">
        <f t="shared" si="13"/>
        <v>0</v>
      </c>
      <c r="H98" s="18">
        <f t="shared" si="13"/>
        <v>14302.78</v>
      </c>
      <c r="I98" s="18">
        <f t="shared" si="13"/>
        <v>9153.7792000000009</v>
      </c>
      <c r="J98" s="18">
        <f t="shared" si="13"/>
        <v>0</v>
      </c>
      <c r="K98" s="18">
        <f t="shared" si="13"/>
        <v>23456.559200000003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/>
      <c r="G102" s="54"/>
      <c r="H102" s="15"/>
      <c r="I102" s="55">
        <f>H102*F$114</f>
        <v>0</v>
      </c>
      <c r="J102" s="15"/>
      <c r="K102" s="16">
        <f>(H102+I102)-J102</f>
        <v>0</v>
      </c>
    </row>
    <row r="103" spans="1:11" ht="18" customHeight="1">
      <c r="A103" s="5" t="s">
        <v>132</v>
      </c>
      <c r="B103" s="550" t="s">
        <v>62</v>
      </c>
      <c r="C103" s="550"/>
      <c r="F103" s="54"/>
      <c r="G103" s="54"/>
      <c r="H103" s="15"/>
      <c r="I103" s="55">
        <f>H103*F$114</f>
        <v>0</v>
      </c>
      <c r="J103" s="15"/>
      <c r="K103" s="16">
        <f>(H103+I103)-J103</f>
        <v>0</v>
      </c>
    </row>
    <row r="104" spans="1:11" ht="18" customHeight="1">
      <c r="A104" s="5" t="s">
        <v>128</v>
      </c>
      <c r="B104" s="530"/>
      <c r="C104" s="531"/>
      <c r="D104" s="532"/>
      <c r="F104" s="54"/>
      <c r="G104" s="54"/>
      <c r="H104" s="15"/>
      <c r="I104" s="55">
        <f>H104*F$114</f>
        <v>0</v>
      </c>
      <c r="J104" s="15"/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4">SUM(F102:F106)</f>
        <v>0</v>
      </c>
      <c r="G108" s="18">
        <f t="shared" si="14"/>
        <v>0</v>
      </c>
      <c r="H108" s="16">
        <f t="shared" si="14"/>
        <v>0</v>
      </c>
      <c r="I108" s="16">
        <f t="shared" si="14"/>
        <v>0</v>
      </c>
      <c r="J108" s="16">
        <f t="shared" si="14"/>
        <v>0</v>
      </c>
      <c r="K108" s="16">
        <f t="shared" si="14"/>
        <v>0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687534.35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0.64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42555868</v>
      </c>
    </row>
    <row r="118" spans="1:6" ht="18" customHeight="1">
      <c r="A118" s="5" t="s">
        <v>173</v>
      </c>
      <c r="B118" t="s">
        <v>18</v>
      </c>
      <c r="F118" s="15">
        <v>569470</v>
      </c>
    </row>
    <row r="119" spans="1:6" ht="18" customHeight="1">
      <c r="A119" s="5" t="s">
        <v>174</v>
      </c>
      <c r="B119" s="2" t="s">
        <v>19</v>
      </c>
      <c r="F119" s="56">
        <f>SUM(F117:F118)</f>
        <v>43125338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42060748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f>+F119-F121</f>
        <v>1064590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-89587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v>975003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5">SUM(F131:F135)</f>
        <v>0</v>
      </c>
      <c r="G137" s="18">
        <f t="shared" si="15"/>
        <v>0</v>
      </c>
      <c r="H137" s="16">
        <f t="shared" si="15"/>
        <v>0</v>
      </c>
      <c r="I137" s="16">
        <f t="shared" si="15"/>
        <v>0</v>
      </c>
      <c r="J137" s="16">
        <f t="shared" si="15"/>
        <v>0</v>
      </c>
      <c r="K137" s="16">
        <f t="shared" si="15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6">F36</f>
        <v>124</v>
      </c>
      <c r="G141" s="41">
        <f t="shared" si="16"/>
        <v>4364</v>
      </c>
      <c r="H141" s="41">
        <f t="shared" si="16"/>
        <v>12630.070000000002</v>
      </c>
      <c r="I141" s="41">
        <f t="shared" si="16"/>
        <v>8083.2448000000004</v>
      </c>
      <c r="J141" s="41">
        <f t="shared" si="16"/>
        <v>0</v>
      </c>
      <c r="K141" s="41">
        <f t="shared" si="16"/>
        <v>20713.3148</v>
      </c>
    </row>
    <row r="142" spans="1:11" ht="18" customHeight="1">
      <c r="A142" s="5" t="s">
        <v>142</v>
      </c>
      <c r="B142" s="2" t="s">
        <v>65</v>
      </c>
      <c r="F142" s="41">
        <f t="shared" ref="F142:K142" si="17">F49</f>
        <v>5310</v>
      </c>
      <c r="G142" s="41">
        <f t="shared" si="17"/>
        <v>44</v>
      </c>
      <c r="H142" s="41">
        <f t="shared" si="17"/>
        <v>271309.27639999997</v>
      </c>
      <c r="I142" s="41">
        <f t="shared" si="17"/>
        <v>84105.875683999984</v>
      </c>
      <c r="J142" s="41">
        <f t="shared" si="17"/>
        <v>15000</v>
      </c>
      <c r="K142" s="41">
        <f t="shared" si="17"/>
        <v>340415.15208399988</v>
      </c>
    </row>
    <row r="143" spans="1:11" ht="18" customHeight="1">
      <c r="A143" s="5" t="s">
        <v>144</v>
      </c>
      <c r="B143" s="2" t="s">
        <v>66</v>
      </c>
      <c r="F143" s="41">
        <f t="shared" ref="F143:K143" si="18">F64</f>
        <v>0</v>
      </c>
      <c r="G143" s="41">
        <f t="shared" si="18"/>
        <v>11</v>
      </c>
      <c r="H143" s="41">
        <f t="shared" si="18"/>
        <v>63340.19999999999</v>
      </c>
      <c r="I143" s="41">
        <f t="shared" si="18"/>
        <v>19635.461999999996</v>
      </c>
      <c r="J143" s="41">
        <f t="shared" si="18"/>
        <v>0</v>
      </c>
      <c r="K143" s="41">
        <f t="shared" si="18"/>
        <v>82975.661999999982</v>
      </c>
    </row>
    <row r="144" spans="1:11" ht="18" customHeight="1">
      <c r="A144" s="5" t="s">
        <v>146</v>
      </c>
      <c r="B144" s="2" t="s">
        <v>67</v>
      </c>
      <c r="F144" s="41">
        <f t="shared" ref="F144:K144" si="19">F74</f>
        <v>0</v>
      </c>
      <c r="G144" s="41">
        <f t="shared" si="19"/>
        <v>0</v>
      </c>
      <c r="H144" s="41">
        <f t="shared" si="19"/>
        <v>0</v>
      </c>
      <c r="I144" s="41">
        <f t="shared" si="19"/>
        <v>0</v>
      </c>
      <c r="J144" s="41">
        <f t="shared" si="19"/>
        <v>0</v>
      </c>
      <c r="K144" s="41">
        <f t="shared" si="19"/>
        <v>0</v>
      </c>
    </row>
    <row r="145" spans="1:11" ht="18" customHeight="1">
      <c r="A145" s="5" t="s">
        <v>148</v>
      </c>
      <c r="B145" s="2" t="s">
        <v>68</v>
      </c>
      <c r="F145" s="41">
        <f t="shared" ref="F145:K145" si="20">F82</f>
        <v>0</v>
      </c>
      <c r="G145" s="41">
        <f t="shared" si="20"/>
        <v>0</v>
      </c>
      <c r="H145" s="41">
        <f t="shared" si="20"/>
        <v>0</v>
      </c>
      <c r="I145" s="41">
        <f t="shared" si="20"/>
        <v>0</v>
      </c>
      <c r="J145" s="41">
        <f t="shared" si="20"/>
        <v>0</v>
      </c>
      <c r="K145" s="41">
        <f t="shared" si="20"/>
        <v>0</v>
      </c>
    </row>
    <row r="146" spans="1:11" ht="18" customHeight="1">
      <c r="A146" s="5" t="s">
        <v>150</v>
      </c>
      <c r="B146" s="2" t="s">
        <v>69</v>
      </c>
      <c r="F146" s="41">
        <f t="shared" ref="F146:K146" si="21">F98</f>
        <v>0</v>
      </c>
      <c r="G146" s="41">
        <f t="shared" si="21"/>
        <v>0</v>
      </c>
      <c r="H146" s="41">
        <f t="shared" si="21"/>
        <v>14302.78</v>
      </c>
      <c r="I146" s="41">
        <f t="shared" si="21"/>
        <v>9153.7792000000009</v>
      </c>
      <c r="J146" s="41">
        <f t="shared" si="21"/>
        <v>0</v>
      </c>
      <c r="K146" s="41">
        <f t="shared" si="21"/>
        <v>23456.559200000003</v>
      </c>
    </row>
    <row r="147" spans="1:11" ht="18" customHeight="1">
      <c r="A147" s="5" t="s">
        <v>153</v>
      </c>
      <c r="B147" s="2" t="s">
        <v>61</v>
      </c>
      <c r="F147" s="18">
        <f t="shared" ref="F147:K147" si="22">F108</f>
        <v>0</v>
      </c>
      <c r="G147" s="18">
        <f t="shared" si="22"/>
        <v>0</v>
      </c>
      <c r="H147" s="18">
        <f t="shared" si="22"/>
        <v>0</v>
      </c>
      <c r="I147" s="18">
        <f t="shared" si="22"/>
        <v>0</v>
      </c>
      <c r="J147" s="18">
        <f t="shared" si="22"/>
        <v>0</v>
      </c>
      <c r="K147" s="18">
        <f t="shared" si="22"/>
        <v>0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687534.35</v>
      </c>
    </row>
    <row r="149" spans="1:11" ht="18" customHeight="1">
      <c r="A149" s="5" t="s">
        <v>163</v>
      </c>
      <c r="B149" s="2" t="s">
        <v>71</v>
      </c>
      <c r="F149" s="18">
        <f t="shared" ref="F149:K149" si="23">F137</f>
        <v>0</v>
      </c>
      <c r="G149" s="18">
        <f t="shared" si="23"/>
        <v>0</v>
      </c>
      <c r="H149" s="18">
        <f t="shared" si="23"/>
        <v>0</v>
      </c>
      <c r="I149" s="18">
        <f t="shared" si="23"/>
        <v>0</v>
      </c>
      <c r="J149" s="18">
        <f t="shared" si="23"/>
        <v>0</v>
      </c>
      <c r="K149" s="18">
        <f t="shared" si="23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1341106</v>
      </c>
      <c r="I150" s="18">
        <f>I18</f>
        <v>0</v>
      </c>
      <c r="J150" s="18">
        <f>J18</f>
        <v>1146814</v>
      </c>
      <c r="K150" s="18">
        <f>K18</f>
        <v>194292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4">SUM(F141:F150)</f>
        <v>5434</v>
      </c>
      <c r="G152" s="49">
        <f t="shared" si="24"/>
        <v>4419</v>
      </c>
      <c r="H152" s="49">
        <f t="shared" si="24"/>
        <v>1702688.3264000001</v>
      </c>
      <c r="I152" s="49">
        <f t="shared" si="24"/>
        <v>120978.36168399999</v>
      </c>
      <c r="J152" s="49">
        <f t="shared" si="24"/>
        <v>1161814</v>
      </c>
      <c r="K152" s="49">
        <f t="shared" si="24"/>
        <v>1349387.0380839999</v>
      </c>
    </row>
    <row r="154" spans="1:11" ht="18" customHeight="1">
      <c r="A154" s="6" t="s">
        <v>168</v>
      </c>
      <c r="B154" s="2" t="s">
        <v>28</v>
      </c>
      <c r="F154" s="64">
        <f>K152/F121</f>
        <v>3.2081860219984673E-2</v>
      </c>
    </row>
    <row r="155" spans="1:11" ht="18" customHeight="1">
      <c r="A155" s="6" t="s">
        <v>169</v>
      </c>
      <c r="B155" s="2" t="s">
        <v>72</v>
      </c>
      <c r="F155" s="64">
        <f>K152/F127</f>
        <v>1.3839824473196491</v>
      </c>
      <c r="G155" s="2"/>
    </row>
    <row r="156" spans="1:11" ht="18" customHeight="1">
      <c r="G156" s="2"/>
    </row>
  </sheetData>
  <sheetProtection password="EF72" sheet="1"/>
  <mergeCells count="35">
    <mergeCell ref="D2:H2"/>
    <mergeCell ref="B45:D45"/>
    <mergeCell ref="C5:G5"/>
    <mergeCell ref="C6:G6"/>
    <mergeCell ref="C7:G7"/>
    <mergeCell ref="C9:G9"/>
    <mergeCell ref="B32:D32"/>
    <mergeCell ref="C11:G11"/>
    <mergeCell ref="B13:H13"/>
    <mergeCell ref="B31:D31"/>
    <mergeCell ref="B34:D34"/>
    <mergeCell ref="C10:G10"/>
    <mergeCell ref="B30:D30"/>
    <mergeCell ref="B52:C52"/>
    <mergeCell ref="B46:D46"/>
    <mergeCell ref="B47:D47"/>
    <mergeCell ref="B41:C41"/>
    <mergeCell ref="B44:D44"/>
    <mergeCell ref="B135:D135"/>
    <mergeCell ref="B133:D133"/>
    <mergeCell ref="B104:D104"/>
    <mergeCell ref="B56:D56"/>
    <mergeCell ref="B59:D59"/>
    <mergeCell ref="B62:D62"/>
    <mergeCell ref="B105:D105"/>
    <mergeCell ref="B106:D106"/>
    <mergeCell ref="B94:D94"/>
    <mergeCell ref="B96:D96"/>
    <mergeCell ref="B90:C90"/>
    <mergeCell ref="B53:D53"/>
    <mergeCell ref="B55:D55"/>
    <mergeCell ref="B134:D134"/>
    <mergeCell ref="B95:D95"/>
    <mergeCell ref="B103:C103"/>
    <mergeCell ref="B57:D57"/>
  </mergeCells>
  <printOptions headings="1" gridLines="1"/>
  <pageMargins left="0.17" right="0.16" top="0.35" bottom="0.32" header="0.17" footer="0.17"/>
  <pageSetup scale="59" fitToHeight="3" orientation="landscape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70" zoomScaleNormal="50" zoomScaleSheetLayoutView="7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563</v>
      </c>
      <c r="D5" s="534"/>
      <c r="E5" s="534"/>
      <c r="F5" s="534"/>
      <c r="G5" s="535"/>
    </row>
    <row r="6" spans="1:11" ht="18" customHeight="1">
      <c r="B6" s="5" t="s">
        <v>3</v>
      </c>
      <c r="C6" s="658">
        <v>5</v>
      </c>
      <c r="D6" s="656"/>
      <c r="E6" s="656"/>
      <c r="F6" s="656"/>
      <c r="G6" s="657"/>
    </row>
    <row r="7" spans="1:11" ht="18" customHeight="1">
      <c r="B7" s="5" t="s">
        <v>4</v>
      </c>
      <c r="C7" s="587" t="s">
        <v>562</v>
      </c>
      <c r="D7" s="539"/>
      <c r="E7" s="539"/>
      <c r="F7" s="539"/>
      <c r="G7" s="540"/>
    </row>
    <row r="9" spans="1:11" ht="18" customHeight="1">
      <c r="B9" s="5" t="s">
        <v>1</v>
      </c>
      <c r="C9" s="533" t="s">
        <v>561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560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559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8789851</v>
      </c>
      <c r="I18" s="55">
        <v>0</v>
      </c>
      <c r="J18" s="15">
        <v>7516422</v>
      </c>
      <c r="K18" s="16">
        <f>(H18+I18)-J18</f>
        <v>1273429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12371</v>
      </c>
      <c r="G21" s="54">
        <v>40991</v>
      </c>
      <c r="H21" s="15">
        <v>661612</v>
      </c>
      <c r="I21" s="55">
        <f t="shared" ref="I21:I34" si="0">H21*F$114</f>
        <v>397270.79596070101</v>
      </c>
      <c r="J21" s="15">
        <v>87293</v>
      </c>
      <c r="K21" s="16">
        <f t="shared" ref="K21:K34" si="1">(H21+I21)-J21</f>
        <v>971589.79596070107</v>
      </c>
    </row>
    <row r="22" spans="1:11" ht="18" customHeight="1">
      <c r="A22" s="5" t="s">
        <v>76</v>
      </c>
      <c r="B22" t="s">
        <v>6</v>
      </c>
      <c r="F22" s="54"/>
      <c r="G22" s="54"/>
      <c r="H22" s="15"/>
      <c r="I22" s="55">
        <f t="shared" si="0"/>
        <v>0</v>
      </c>
      <c r="J22" s="15"/>
      <c r="K22" s="16">
        <f t="shared" si="1"/>
        <v>0</v>
      </c>
    </row>
    <row r="23" spans="1:11" ht="18" customHeight="1">
      <c r="A23" s="5" t="s">
        <v>77</v>
      </c>
      <c r="B23" t="s">
        <v>43</v>
      </c>
      <c r="F23" s="54">
        <v>7287</v>
      </c>
      <c r="G23" s="54">
        <v>9198</v>
      </c>
      <c r="H23" s="15">
        <v>413076</v>
      </c>
      <c r="I23" s="55">
        <f t="shared" si="0"/>
        <v>248035.14947168814</v>
      </c>
      <c r="J23" s="15">
        <v>601578</v>
      </c>
      <c r="K23" s="16">
        <f t="shared" si="1"/>
        <v>59533.149471688084</v>
      </c>
    </row>
    <row r="24" spans="1:11" ht="18" customHeight="1">
      <c r="A24" s="5" t="s">
        <v>78</v>
      </c>
      <c r="B24" t="s">
        <v>44</v>
      </c>
      <c r="F24" s="54">
        <v>7203</v>
      </c>
      <c r="G24" s="54">
        <v>23447</v>
      </c>
      <c r="H24" s="15">
        <v>359835</v>
      </c>
      <c r="I24" s="55">
        <f t="shared" si="0"/>
        <v>216066.11860806463</v>
      </c>
      <c r="J24" s="15">
        <v>152589</v>
      </c>
      <c r="K24" s="16">
        <f t="shared" si="1"/>
        <v>423312.1186080646</v>
      </c>
    </row>
    <row r="25" spans="1:11" ht="18" customHeight="1">
      <c r="A25" s="5" t="s">
        <v>79</v>
      </c>
      <c r="B25" t="s">
        <v>5</v>
      </c>
      <c r="F25" s="54">
        <v>8</v>
      </c>
      <c r="G25" s="54">
        <v>23</v>
      </c>
      <c r="H25" s="15">
        <v>575</v>
      </c>
      <c r="I25" s="55">
        <f t="shared" si="0"/>
        <v>345.26385204228927</v>
      </c>
      <c r="J25" s="15"/>
      <c r="K25" s="16">
        <f t="shared" si="1"/>
        <v>920.26385204228927</v>
      </c>
    </row>
    <row r="26" spans="1:11" ht="18" customHeight="1">
      <c r="A26" s="5" t="s">
        <v>80</v>
      </c>
      <c r="B26" t="s">
        <v>45</v>
      </c>
      <c r="F26" s="54"/>
      <c r="G26" s="54"/>
      <c r="H26" s="15"/>
      <c r="I26" s="55">
        <f t="shared" si="0"/>
        <v>0</v>
      </c>
      <c r="J26" s="15"/>
      <c r="K26" s="16">
        <f t="shared" si="1"/>
        <v>0</v>
      </c>
    </row>
    <row r="27" spans="1:11" ht="18" customHeight="1">
      <c r="A27" s="5" t="s">
        <v>81</v>
      </c>
      <c r="B27" t="s">
        <v>46</v>
      </c>
      <c r="F27" s="54"/>
      <c r="G27" s="54"/>
      <c r="H27" s="15"/>
      <c r="I27" s="55">
        <f t="shared" si="0"/>
        <v>0</v>
      </c>
      <c r="J27" s="15"/>
      <c r="K27" s="16">
        <f t="shared" si="1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15"/>
      <c r="I28" s="55">
        <f t="shared" si="0"/>
        <v>0</v>
      </c>
      <c r="J28" s="15"/>
      <c r="K28" s="16">
        <f t="shared" si="1"/>
        <v>0</v>
      </c>
    </row>
    <row r="29" spans="1:11" ht="18" customHeight="1">
      <c r="A29" s="5" t="s">
        <v>83</v>
      </c>
      <c r="B29" t="s">
        <v>48</v>
      </c>
      <c r="F29" s="54">
        <v>12092</v>
      </c>
      <c r="G29" s="54">
        <v>5611</v>
      </c>
      <c r="H29" s="15">
        <v>653109</v>
      </c>
      <c r="I29" s="55">
        <f t="shared" si="0"/>
        <v>392165.09416258696</v>
      </c>
      <c r="J29" s="15">
        <v>396916</v>
      </c>
      <c r="K29" s="16">
        <f t="shared" si="1"/>
        <v>648358.09416258696</v>
      </c>
    </row>
    <row r="30" spans="1:11" ht="18" customHeight="1">
      <c r="A30" s="5" t="s">
        <v>84</v>
      </c>
      <c r="B30" s="547"/>
      <c r="C30" s="548"/>
      <c r="D30" s="549"/>
      <c r="F30" s="54"/>
      <c r="G30" s="54"/>
      <c r="H30" s="15"/>
      <c r="I30" s="55">
        <f t="shared" si="0"/>
        <v>0</v>
      </c>
      <c r="J30" s="15"/>
      <c r="K30" s="16">
        <f t="shared" si="1"/>
        <v>0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 t="shared" si="0"/>
        <v>0</v>
      </c>
      <c r="J31" s="15"/>
      <c r="K31" s="16">
        <f t="shared" si="1"/>
        <v>0</v>
      </c>
    </row>
    <row r="32" spans="1:11" ht="18" customHeight="1">
      <c r="A32" s="5" t="s">
        <v>134</v>
      </c>
      <c r="B32" s="191"/>
      <c r="C32" s="192"/>
      <c r="D32" s="193"/>
      <c r="F32" s="54"/>
      <c r="G32" s="52" t="s">
        <v>85</v>
      </c>
      <c r="H32" s="15"/>
      <c r="I32" s="55">
        <f t="shared" si="0"/>
        <v>0</v>
      </c>
      <c r="J32" s="15"/>
      <c r="K32" s="16">
        <f t="shared" si="1"/>
        <v>0</v>
      </c>
    </row>
    <row r="33" spans="1:11" ht="18" customHeight="1">
      <c r="A33" s="5" t="s">
        <v>135</v>
      </c>
      <c r="B33" s="191"/>
      <c r="C33" s="192"/>
      <c r="D33" s="193"/>
      <c r="F33" s="54"/>
      <c r="G33" s="52" t="s">
        <v>85</v>
      </c>
      <c r="H33" s="15"/>
      <c r="I33" s="55">
        <f t="shared" si="0"/>
        <v>0</v>
      </c>
      <c r="J33" s="15"/>
      <c r="K33" s="16">
        <f t="shared" si="1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 t="shared" si="0"/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38961</v>
      </c>
      <c r="G36" s="18">
        <f t="shared" si="2"/>
        <v>79270</v>
      </c>
      <c r="H36" s="18">
        <f t="shared" si="2"/>
        <v>2088207</v>
      </c>
      <c r="I36" s="16">
        <f t="shared" si="2"/>
        <v>1253882.4220550829</v>
      </c>
      <c r="J36" s="16">
        <f t="shared" si="2"/>
        <v>1238376</v>
      </c>
      <c r="K36" s="16">
        <f t="shared" si="2"/>
        <v>2103713.4220550829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/>
      <c r="G40" s="54"/>
      <c r="H40" s="15"/>
      <c r="I40" s="55">
        <v>0</v>
      </c>
      <c r="J40" s="15"/>
      <c r="K40" s="16">
        <f t="shared" ref="K40:K47" si="3">(H40+I40)-J40</f>
        <v>0</v>
      </c>
    </row>
    <row r="41" spans="1:11" ht="18" customHeight="1">
      <c r="A41" s="5" t="s">
        <v>88</v>
      </c>
      <c r="B41" s="550" t="s">
        <v>50</v>
      </c>
      <c r="C41" s="551"/>
      <c r="F41" s="54"/>
      <c r="G41" s="54"/>
      <c r="H41" s="15">
        <v>115495</v>
      </c>
      <c r="I41" s="55">
        <v>0</v>
      </c>
      <c r="J41" s="15"/>
      <c r="K41" s="16">
        <f t="shared" si="3"/>
        <v>115495</v>
      </c>
    </row>
    <row r="42" spans="1:11" ht="18" customHeight="1">
      <c r="A42" s="5" t="s">
        <v>89</v>
      </c>
      <c r="B42" s="1" t="s">
        <v>11</v>
      </c>
      <c r="F42" s="54"/>
      <c r="G42" s="54"/>
      <c r="H42" s="15"/>
      <c r="I42" s="55">
        <v>0</v>
      </c>
      <c r="J42" s="15"/>
      <c r="K42" s="16">
        <f t="shared" si="3"/>
        <v>0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/>
      <c r="I43" s="55">
        <v>0</v>
      </c>
      <c r="J43" s="15"/>
      <c r="K43" s="16">
        <f t="shared" si="3"/>
        <v>0</v>
      </c>
    </row>
    <row r="44" spans="1:11" ht="18" customHeight="1">
      <c r="A44" s="5" t="s">
        <v>91</v>
      </c>
      <c r="B44" s="547"/>
      <c r="C44" s="548"/>
      <c r="D44" s="549"/>
      <c r="F44" s="54"/>
      <c r="G44" s="54"/>
      <c r="H44" s="54"/>
      <c r="I44" s="55">
        <v>0</v>
      </c>
      <c r="J44" s="54"/>
      <c r="K44" s="56">
        <f t="shared" si="3"/>
        <v>0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3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3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3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0</v>
      </c>
      <c r="G49" s="23">
        <f t="shared" si="4"/>
        <v>0</v>
      </c>
      <c r="H49" s="16">
        <f t="shared" si="4"/>
        <v>115495</v>
      </c>
      <c r="I49" s="16">
        <f t="shared" si="4"/>
        <v>0</v>
      </c>
      <c r="J49" s="16">
        <f t="shared" si="4"/>
        <v>0</v>
      </c>
      <c r="K49" s="16">
        <f t="shared" si="4"/>
        <v>115495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 t="s">
        <v>558</v>
      </c>
      <c r="C53" s="559"/>
      <c r="D53" s="532"/>
      <c r="F53" s="54">
        <v>49920</v>
      </c>
      <c r="G53" s="54">
        <v>11111</v>
      </c>
      <c r="H53" s="15">
        <v>1940000</v>
      </c>
      <c r="I53" s="55">
        <f t="shared" ref="I53:I58" si="5">H53*F$114</f>
        <v>1164890.2138470281</v>
      </c>
      <c r="J53" s="15"/>
      <c r="K53" s="16">
        <f t="shared" ref="K53:K62" si="6">(H53+I53)-J53</f>
        <v>3104890.2138470281</v>
      </c>
    </row>
    <row r="54" spans="1:11" ht="18" customHeight="1">
      <c r="A54" s="5" t="s">
        <v>93</v>
      </c>
      <c r="B54" s="189" t="s">
        <v>557</v>
      </c>
      <c r="C54" s="190"/>
      <c r="D54" s="188"/>
      <c r="F54" s="54">
        <v>8784</v>
      </c>
      <c r="G54" s="54"/>
      <c r="H54" s="15">
        <v>732000</v>
      </c>
      <c r="I54" s="55">
        <f t="shared" si="5"/>
        <v>439535.89512166218</v>
      </c>
      <c r="J54" s="15"/>
      <c r="K54" s="16">
        <f t="shared" si="6"/>
        <v>1171535.8951216622</v>
      </c>
    </row>
    <row r="55" spans="1:11" ht="18" customHeight="1">
      <c r="A55" s="5" t="s">
        <v>94</v>
      </c>
      <c r="B55" s="530" t="s">
        <v>556</v>
      </c>
      <c r="C55" s="531"/>
      <c r="D55" s="532"/>
      <c r="F55" s="54">
        <v>158112</v>
      </c>
      <c r="G55" s="54"/>
      <c r="H55" s="15">
        <v>2095186</v>
      </c>
      <c r="I55" s="55">
        <f t="shared" si="5"/>
        <v>1258073.0245305668</v>
      </c>
      <c r="J55" s="15"/>
      <c r="K55" s="16">
        <f t="shared" si="6"/>
        <v>3353259.0245305668</v>
      </c>
    </row>
    <row r="56" spans="1:11" ht="18" customHeight="1">
      <c r="A56" s="5" t="s">
        <v>95</v>
      </c>
      <c r="B56" s="530" t="s">
        <v>555</v>
      </c>
      <c r="C56" s="531"/>
      <c r="D56" s="532"/>
      <c r="F56" s="54" t="s">
        <v>740</v>
      </c>
      <c r="G56" s="54"/>
      <c r="H56" s="15">
        <v>950000</v>
      </c>
      <c r="I56" s="55">
        <f t="shared" si="5"/>
        <v>570435.9294611736</v>
      </c>
      <c r="J56" s="15"/>
      <c r="K56" s="16">
        <f t="shared" si="6"/>
        <v>1520435.9294611737</v>
      </c>
    </row>
    <row r="57" spans="1:11" ht="18" customHeight="1">
      <c r="A57" s="5" t="s">
        <v>96</v>
      </c>
      <c r="B57" s="530" t="s">
        <v>554</v>
      </c>
      <c r="C57" s="531"/>
      <c r="D57" s="532"/>
      <c r="F57" s="54">
        <v>8784</v>
      </c>
      <c r="G57" s="54"/>
      <c r="H57" s="15">
        <v>735200</v>
      </c>
      <c r="I57" s="55">
        <f t="shared" si="5"/>
        <v>441457.36351563665</v>
      </c>
      <c r="J57" s="15"/>
      <c r="K57" s="16">
        <f t="shared" si="6"/>
        <v>1176657.3635156367</v>
      </c>
    </row>
    <row r="58" spans="1:11" ht="18" customHeight="1">
      <c r="A58" s="5" t="s">
        <v>97</v>
      </c>
      <c r="B58" s="189" t="s">
        <v>553</v>
      </c>
      <c r="C58" s="190"/>
      <c r="D58" s="188"/>
      <c r="F58" s="54">
        <v>10448</v>
      </c>
      <c r="G58" s="54"/>
      <c r="H58" s="15">
        <v>544500</v>
      </c>
      <c r="I58" s="55">
        <f t="shared" si="5"/>
        <v>326949.85641222005</v>
      </c>
      <c r="J58" s="15"/>
      <c r="K58" s="16">
        <f t="shared" si="6"/>
        <v>871449.85641222005</v>
      </c>
    </row>
    <row r="59" spans="1:11" ht="18" customHeight="1">
      <c r="A59" s="5" t="s">
        <v>98</v>
      </c>
      <c r="B59" s="530" t="s">
        <v>418</v>
      </c>
      <c r="C59" s="531"/>
      <c r="D59" s="532"/>
      <c r="F59" s="54"/>
      <c r="G59" s="54"/>
      <c r="H59" s="15">
        <v>81587</v>
      </c>
      <c r="I59" s="55">
        <v>0</v>
      </c>
      <c r="J59" s="15"/>
      <c r="K59" s="16">
        <f t="shared" si="6"/>
        <v>81587</v>
      </c>
    </row>
    <row r="60" spans="1:11" ht="18" customHeight="1">
      <c r="A60" s="5" t="s">
        <v>99</v>
      </c>
      <c r="B60" s="189" t="s">
        <v>552</v>
      </c>
      <c r="C60" s="190"/>
      <c r="D60" s="188"/>
      <c r="F60" s="54"/>
      <c r="G60" s="54"/>
      <c r="H60" s="15">
        <v>140793</v>
      </c>
      <c r="I60" s="55">
        <v>0</v>
      </c>
      <c r="J60" s="15"/>
      <c r="K60" s="16">
        <f t="shared" si="6"/>
        <v>140793</v>
      </c>
    </row>
    <row r="61" spans="1:11" ht="18" customHeight="1">
      <c r="A61" s="5" t="s">
        <v>100</v>
      </c>
      <c r="B61" s="189" t="s">
        <v>551</v>
      </c>
      <c r="C61" s="190"/>
      <c r="D61" s="188"/>
      <c r="F61" s="54">
        <v>6854</v>
      </c>
      <c r="G61" s="54">
        <v>2939</v>
      </c>
      <c r="H61" s="15">
        <v>220802</v>
      </c>
      <c r="I61" s="55">
        <f>H61*F$114</f>
        <v>132582.52010198531</v>
      </c>
      <c r="J61" s="15">
        <v>135357</v>
      </c>
      <c r="K61" s="16">
        <f t="shared" si="6"/>
        <v>218027.52010198531</v>
      </c>
    </row>
    <row r="62" spans="1:11" ht="18" customHeight="1">
      <c r="A62" s="5" t="s">
        <v>101</v>
      </c>
      <c r="B62" s="530" t="s">
        <v>550</v>
      </c>
      <c r="C62" s="531"/>
      <c r="D62" s="532"/>
      <c r="F62" s="54">
        <v>16630</v>
      </c>
      <c r="G62" s="54">
        <v>15357</v>
      </c>
      <c r="H62" s="15">
        <v>1723752</v>
      </c>
      <c r="I62" s="55">
        <f>H62*F$114</f>
        <v>1035042.1834532178</v>
      </c>
      <c r="J62" s="15">
        <v>1504056</v>
      </c>
      <c r="K62" s="16">
        <f t="shared" si="6"/>
        <v>1254738.1834532181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7">SUM(F53:F62)</f>
        <v>259532</v>
      </c>
      <c r="G64" s="18">
        <f t="shared" si="7"/>
        <v>29407</v>
      </c>
      <c r="H64" s="16">
        <f t="shared" si="7"/>
        <v>9163820</v>
      </c>
      <c r="I64" s="16">
        <f t="shared" si="7"/>
        <v>5368966.9864434907</v>
      </c>
      <c r="J64" s="16">
        <f t="shared" si="7"/>
        <v>1639413</v>
      </c>
      <c r="K64" s="16">
        <f t="shared" si="7"/>
        <v>12893373.98644349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/>
      <c r="G68" s="51"/>
      <c r="H68" s="51"/>
      <c r="I68" s="55">
        <v>0</v>
      </c>
      <c r="J68" s="51"/>
      <c r="K68" s="16">
        <f>(H68+I68)-J68</f>
        <v>0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189"/>
      <c r="C70" s="190"/>
      <c r="D70" s="188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189"/>
      <c r="C71" s="190"/>
      <c r="D71" s="188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186"/>
      <c r="C72" s="187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8">SUM(F68:F72)</f>
        <v>0</v>
      </c>
      <c r="G74" s="21">
        <f t="shared" si="8"/>
        <v>0</v>
      </c>
      <c r="H74" s="21">
        <f t="shared" si="8"/>
        <v>0</v>
      </c>
      <c r="I74" s="53">
        <f t="shared" si="8"/>
        <v>0</v>
      </c>
      <c r="J74" s="21">
        <f t="shared" si="8"/>
        <v>0</v>
      </c>
      <c r="K74" s="56">
        <f t="shared" si="8"/>
        <v>0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/>
      <c r="G77" s="54"/>
      <c r="H77" s="15">
        <v>174700</v>
      </c>
      <c r="I77" s="55">
        <v>0</v>
      </c>
      <c r="J77" s="15"/>
      <c r="K77" s="16">
        <f>(H77+I77)-J77</f>
        <v>174700</v>
      </c>
    </row>
    <row r="78" spans="1:11" ht="18" customHeight="1">
      <c r="A78" s="5" t="s">
        <v>108</v>
      </c>
      <c r="B78" s="1" t="s">
        <v>55</v>
      </c>
      <c r="F78" s="54"/>
      <c r="G78" s="54"/>
      <c r="H78" s="15"/>
      <c r="I78" s="55"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/>
      <c r="G79" s="54"/>
      <c r="H79" s="15"/>
      <c r="I79" s="55">
        <v>0</v>
      </c>
      <c r="J79" s="15"/>
      <c r="K79" s="16">
        <f>(H79+I79)-J79</f>
        <v>0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9">SUM(F77:F80)</f>
        <v>0</v>
      </c>
      <c r="G82" s="21">
        <f t="shared" si="9"/>
        <v>0</v>
      </c>
      <c r="H82" s="56">
        <f t="shared" si="9"/>
        <v>174700</v>
      </c>
      <c r="I82" s="56">
        <f t="shared" si="9"/>
        <v>0</v>
      </c>
      <c r="J82" s="56">
        <f t="shared" si="9"/>
        <v>0</v>
      </c>
      <c r="K82" s="56">
        <f t="shared" si="9"/>
        <v>174700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f t="shared" ref="I86:I96" si="10">H86*F$114</f>
        <v>0</v>
      </c>
      <c r="J86" s="15"/>
      <c r="K86" s="16">
        <f t="shared" ref="K86:K96" si="11">(H86+I86)-J86</f>
        <v>0</v>
      </c>
    </row>
    <row r="87" spans="1:11" ht="18" customHeight="1">
      <c r="A87" s="5" t="s">
        <v>114</v>
      </c>
      <c r="B87" s="1" t="s">
        <v>14</v>
      </c>
      <c r="F87" s="54"/>
      <c r="G87" s="54"/>
      <c r="H87" s="15"/>
      <c r="I87" s="55">
        <f t="shared" si="10"/>
        <v>0</v>
      </c>
      <c r="J87" s="15"/>
      <c r="K87" s="16">
        <f t="shared" si="11"/>
        <v>0</v>
      </c>
    </row>
    <row r="88" spans="1:11" ht="18" customHeight="1">
      <c r="A88" s="5" t="s">
        <v>115</v>
      </c>
      <c r="B88" s="1" t="s">
        <v>116</v>
      </c>
      <c r="F88" s="54"/>
      <c r="G88" s="54"/>
      <c r="H88" s="15">
        <v>104583</v>
      </c>
      <c r="I88" s="55">
        <f t="shared" si="10"/>
        <v>62797.790327197807</v>
      </c>
      <c r="J88" s="15">
        <v>30000</v>
      </c>
      <c r="K88" s="16">
        <f t="shared" si="11"/>
        <v>137380.79032719781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 t="shared" si="10"/>
        <v>0</v>
      </c>
      <c r="J89" s="15"/>
      <c r="K89" s="16">
        <f t="shared" si="11"/>
        <v>0</v>
      </c>
    </row>
    <row r="90" spans="1:11" ht="18" customHeight="1">
      <c r="A90" s="5" t="s">
        <v>118</v>
      </c>
      <c r="B90" s="550" t="s">
        <v>59</v>
      </c>
      <c r="C90" s="551"/>
      <c r="F90" s="54"/>
      <c r="G90" s="54"/>
      <c r="H90" s="15"/>
      <c r="I90" s="55">
        <f t="shared" si="10"/>
        <v>0</v>
      </c>
      <c r="J90" s="15"/>
      <c r="K90" s="16">
        <f t="shared" si="11"/>
        <v>0</v>
      </c>
    </row>
    <row r="91" spans="1:11" ht="18" customHeight="1">
      <c r="A91" s="5" t="s">
        <v>119</v>
      </c>
      <c r="B91" s="1" t="s">
        <v>60</v>
      </c>
      <c r="F91" s="54"/>
      <c r="G91" s="54"/>
      <c r="H91" s="15"/>
      <c r="I91" s="55">
        <f t="shared" si="10"/>
        <v>0</v>
      </c>
      <c r="J91" s="15"/>
      <c r="K91" s="16">
        <f t="shared" si="11"/>
        <v>0</v>
      </c>
    </row>
    <row r="92" spans="1:11" ht="18" customHeight="1">
      <c r="A92" s="5" t="s">
        <v>120</v>
      </c>
      <c r="B92" s="1" t="s">
        <v>121</v>
      </c>
      <c r="F92" s="38"/>
      <c r="G92" s="38"/>
      <c r="H92" s="39"/>
      <c r="I92" s="55">
        <f t="shared" si="10"/>
        <v>0</v>
      </c>
      <c r="J92" s="39"/>
      <c r="K92" s="16">
        <f t="shared" si="11"/>
        <v>0</v>
      </c>
    </row>
    <row r="93" spans="1:11" ht="18" customHeight="1">
      <c r="A93" s="5" t="s">
        <v>122</v>
      </c>
      <c r="B93" s="1" t="s">
        <v>123</v>
      </c>
      <c r="F93" s="54"/>
      <c r="G93" s="54"/>
      <c r="H93" s="15"/>
      <c r="I93" s="55">
        <f t="shared" si="10"/>
        <v>0</v>
      </c>
      <c r="J93" s="15"/>
      <c r="K93" s="16">
        <f t="shared" si="11"/>
        <v>0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f t="shared" si="10"/>
        <v>0</v>
      </c>
      <c r="J94" s="15"/>
      <c r="K94" s="16">
        <f t="shared" si="11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10"/>
        <v>0</v>
      </c>
      <c r="J95" s="15"/>
      <c r="K95" s="16">
        <f t="shared" si="11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10"/>
        <v>0</v>
      </c>
      <c r="J96" s="15"/>
      <c r="K96" s="16">
        <f t="shared" si="11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2">SUM(F86:F96)</f>
        <v>0</v>
      </c>
      <c r="G98" s="18">
        <f t="shared" si="12"/>
        <v>0</v>
      </c>
      <c r="H98" s="18">
        <f t="shared" si="12"/>
        <v>104583</v>
      </c>
      <c r="I98" s="18">
        <f t="shared" si="12"/>
        <v>62797.790327197807</v>
      </c>
      <c r="J98" s="18">
        <f t="shared" si="12"/>
        <v>30000</v>
      </c>
      <c r="K98" s="18">
        <f t="shared" si="12"/>
        <v>137380.79032719781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/>
      <c r="G102" s="54"/>
      <c r="H102" s="15"/>
      <c r="I102" s="55">
        <f>H102*F$114</f>
        <v>0</v>
      </c>
      <c r="J102" s="15"/>
      <c r="K102" s="16">
        <f>(H102+I102)-J102</f>
        <v>0</v>
      </c>
    </row>
    <row r="103" spans="1:11" ht="18" customHeight="1">
      <c r="A103" s="5" t="s">
        <v>132</v>
      </c>
      <c r="B103" s="550" t="s">
        <v>62</v>
      </c>
      <c r="C103" s="550"/>
      <c r="F103" s="54"/>
      <c r="G103" s="54"/>
      <c r="H103" s="15"/>
      <c r="I103" s="55">
        <f>H103*F$114</f>
        <v>0</v>
      </c>
      <c r="J103" s="15"/>
      <c r="K103" s="16">
        <f>(H103+I103)-J103</f>
        <v>0</v>
      </c>
    </row>
    <row r="104" spans="1:11" ht="18" customHeight="1">
      <c r="A104" s="5" t="s">
        <v>128</v>
      </c>
      <c r="B104" s="530"/>
      <c r="C104" s="531"/>
      <c r="D104" s="532"/>
      <c r="F104" s="54"/>
      <c r="G104" s="54"/>
      <c r="H104" s="15"/>
      <c r="I104" s="55">
        <f>H104*F$114</f>
        <v>0</v>
      </c>
      <c r="J104" s="15"/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3">SUM(F102:F106)</f>
        <v>0</v>
      </c>
      <c r="G108" s="18">
        <f t="shared" si="13"/>
        <v>0</v>
      </c>
      <c r="H108" s="16">
        <f t="shared" si="13"/>
        <v>0</v>
      </c>
      <c r="I108" s="16">
        <f t="shared" si="13"/>
        <v>0</v>
      </c>
      <c r="J108" s="16">
        <f t="shared" si="13"/>
        <v>0</v>
      </c>
      <c r="K108" s="16">
        <f t="shared" si="13"/>
        <v>0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f>8155355+821813</f>
        <v>8977168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f>98795.6/164533.5</f>
        <v>0.60045887311702484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341356000</v>
      </c>
    </row>
    <row r="118" spans="1:6" ht="18" customHeight="1">
      <c r="A118" s="5" t="s">
        <v>173</v>
      </c>
      <c r="B118" t="s">
        <v>18</v>
      </c>
      <c r="F118" s="15">
        <v>11661000</v>
      </c>
    </row>
    <row r="119" spans="1:6" ht="18" customHeight="1">
      <c r="A119" s="5" t="s">
        <v>174</v>
      </c>
      <c r="B119" s="2" t="s">
        <v>19</v>
      </c>
      <c r="F119" s="56">
        <f>SUM(F117:F118)</f>
        <v>353017000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349290000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f>F119-F121</f>
        <v>3727000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-7810000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f>F123+F125</f>
        <v>-4083000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4">SUM(F131:F135)</f>
        <v>0</v>
      </c>
      <c r="G137" s="18">
        <f t="shared" si="14"/>
        <v>0</v>
      </c>
      <c r="H137" s="16">
        <f t="shared" si="14"/>
        <v>0</v>
      </c>
      <c r="I137" s="16">
        <f t="shared" si="14"/>
        <v>0</v>
      </c>
      <c r="J137" s="16">
        <f t="shared" si="14"/>
        <v>0</v>
      </c>
      <c r="K137" s="16">
        <f t="shared" si="14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5">F36</f>
        <v>38961</v>
      </c>
      <c r="G141" s="41">
        <f t="shared" si="15"/>
        <v>79270</v>
      </c>
      <c r="H141" s="41">
        <f t="shared" si="15"/>
        <v>2088207</v>
      </c>
      <c r="I141" s="41">
        <f t="shared" si="15"/>
        <v>1253882.4220550829</v>
      </c>
      <c r="J141" s="41">
        <f t="shared" si="15"/>
        <v>1238376</v>
      </c>
      <c r="K141" s="41">
        <f t="shared" si="15"/>
        <v>2103713.4220550829</v>
      </c>
    </row>
    <row r="142" spans="1:11" ht="18" customHeight="1">
      <c r="A142" s="5" t="s">
        <v>142</v>
      </c>
      <c r="B142" s="2" t="s">
        <v>65</v>
      </c>
      <c r="F142" s="41">
        <f t="shared" ref="F142:K142" si="16">F49</f>
        <v>0</v>
      </c>
      <c r="G142" s="41">
        <f t="shared" si="16"/>
        <v>0</v>
      </c>
      <c r="H142" s="41">
        <f t="shared" si="16"/>
        <v>115495</v>
      </c>
      <c r="I142" s="41">
        <f t="shared" si="16"/>
        <v>0</v>
      </c>
      <c r="J142" s="41">
        <f t="shared" si="16"/>
        <v>0</v>
      </c>
      <c r="K142" s="41">
        <f t="shared" si="16"/>
        <v>115495</v>
      </c>
    </row>
    <row r="143" spans="1:11" ht="18" customHeight="1">
      <c r="A143" s="5" t="s">
        <v>144</v>
      </c>
      <c r="B143" s="2" t="s">
        <v>66</v>
      </c>
      <c r="F143" s="41">
        <f t="shared" ref="F143:K143" si="17">F64</f>
        <v>259532</v>
      </c>
      <c r="G143" s="41">
        <f t="shared" si="17"/>
        <v>29407</v>
      </c>
      <c r="H143" s="41">
        <f t="shared" si="17"/>
        <v>9163820</v>
      </c>
      <c r="I143" s="41">
        <f t="shared" si="17"/>
        <v>5368966.9864434907</v>
      </c>
      <c r="J143" s="41">
        <f t="shared" si="17"/>
        <v>1639413</v>
      </c>
      <c r="K143" s="41">
        <f t="shared" si="17"/>
        <v>12893373.98644349</v>
      </c>
    </row>
    <row r="144" spans="1:11" ht="18" customHeight="1">
      <c r="A144" s="5" t="s">
        <v>146</v>
      </c>
      <c r="B144" s="2" t="s">
        <v>67</v>
      </c>
      <c r="F144" s="41">
        <f t="shared" ref="F144:K144" si="18">F74</f>
        <v>0</v>
      </c>
      <c r="G144" s="41">
        <f t="shared" si="18"/>
        <v>0</v>
      </c>
      <c r="H144" s="41">
        <f t="shared" si="18"/>
        <v>0</v>
      </c>
      <c r="I144" s="41">
        <f t="shared" si="18"/>
        <v>0</v>
      </c>
      <c r="J144" s="41">
        <f t="shared" si="18"/>
        <v>0</v>
      </c>
      <c r="K144" s="41">
        <f t="shared" si="18"/>
        <v>0</v>
      </c>
    </row>
    <row r="145" spans="1:11" ht="18" customHeight="1">
      <c r="A145" s="5" t="s">
        <v>148</v>
      </c>
      <c r="B145" s="2" t="s">
        <v>68</v>
      </c>
      <c r="F145" s="41">
        <f t="shared" ref="F145:K145" si="19">F82</f>
        <v>0</v>
      </c>
      <c r="G145" s="41">
        <f t="shared" si="19"/>
        <v>0</v>
      </c>
      <c r="H145" s="41">
        <f t="shared" si="19"/>
        <v>174700</v>
      </c>
      <c r="I145" s="41">
        <f t="shared" si="19"/>
        <v>0</v>
      </c>
      <c r="J145" s="41">
        <f t="shared" si="19"/>
        <v>0</v>
      </c>
      <c r="K145" s="41">
        <f t="shared" si="19"/>
        <v>174700</v>
      </c>
    </row>
    <row r="146" spans="1:11" ht="18" customHeight="1">
      <c r="A146" s="5" t="s">
        <v>150</v>
      </c>
      <c r="B146" s="2" t="s">
        <v>69</v>
      </c>
      <c r="F146" s="41">
        <f t="shared" ref="F146:K146" si="20">F98</f>
        <v>0</v>
      </c>
      <c r="G146" s="41">
        <f t="shared" si="20"/>
        <v>0</v>
      </c>
      <c r="H146" s="41">
        <f t="shared" si="20"/>
        <v>104583</v>
      </c>
      <c r="I146" s="41">
        <f t="shared" si="20"/>
        <v>62797.790327197807</v>
      </c>
      <c r="J146" s="41">
        <f t="shared" si="20"/>
        <v>30000</v>
      </c>
      <c r="K146" s="41">
        <f t="shared" si="20"/>
        <v>137380.79032719781</v>
      </c>
    </row>
    <row r="147" spans="1:11" ht="18" customHeight="1">
      <c r="A147" s="5" t="s">
        <v>153</v>
      </c>
      <c r="B147" s="2" t="s">
        <v>61</v>
      </c>
      <c r="F147" s="18">
        <f t="shared" ref="F147:K147" si="21">F108</f>
        <v>0</v>
      </c>
      <c r="G147" s="18">
        <f t="shared" si="21"/>
        <v>0</v>
      </c>
      <c r="H147" s="18">
        <f t="shared" si="21"/>
        <v>0</v>
      </c>
      <c r="I147" s="18">
        <f t="shared" si="21"/>
        <v>0</v>
      </c>
      <c r="J147" s="18">
        <f t="shared" si="21"/>
        <v>0</v>
      </c>
      <c r="K147" s="18">
        <f t="shared" si="21"/>
        <v>0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8977168</v>
      </c>
    </row>
    <row r="149" spans="1:11" ht="18" customHeight="1">
      <c r="A149" s="5" t="s">
        <v>163</v>
      </c>
      <c r="B149" s="2" t="s">
        <v>71</v>
      </c>
      <c r="F149" s="18">
        <f t="shared" ref="F149:K149" si="22">F137</f>
        <v>0</v>
      </c>
      <c r="G149" s="18">
        <f t="shared" si="22"/>
        <v>0</v>
      </c>
      <c r="H149" s="18">
        <f t="shared" si="22"/>
        <v>0</v>
      </c>
      <c r="I149" s="18">
        <f t="shared" si="22"/>
        <v>0</v>
      </c>
      <c r="J149" s="18">
        <f t="shared" si="22"/>
        <v>0</v>
      </c>
      <c r="K149" s="18">
        <f t="shared" si="22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8789851</v>
      </c>
      <c r="I150" s="18">
        <f>I18</f>
        <v>0</v>
      </c>
      <c r="J150" s="18">
        <f>J18</f>
        <v>7516422</v>
      </c>
      <c r="K150" s="18">
        <f>K18</f>
        <v>1273429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3">SUM(F141:F150)</f>
        <v>298493</v>
      </c>
      <c r="G152" s="49">
        <f t="shared" si="23"/>
        <v>108677</v>
      </c>
      <c r="H152" s="49">
        <f t="shared" si="23"/>
        <v>20436656</v>
      </c>
      <c r="I152" s="49">
        <f t="shared" si="23"/>
        <v>6685647.1988257719</v>
      </c>
      <c r="J152" s="49">
        <f t="shared" si="23"/>
        <v>10424211</v>
      </c>
      <c r="K152" s="49">
        <f t="shared" si="23"/>
        <v>25675260.198825769</v>
      </c>
    </row>
    <row r="154" spans="1:11" ht="18" customHeight="1">
      <c r="A154" s="6" t="s">
        <v>168</v>
      </c>
      <c r="B154" s="2" t="s">
        <v>28</v>
      </c>
      <c r="F154" s="64">
        <f>K152/F121</f>
        <v>7.3507000483339829E-2</v>
      </c>
    </row>
    <row r="155" spans="1:11" ht="18" customHeight="1">
      <c r="A155" s="6" t="s">
        <v>169</v>
      </c>
      <c r="B155" s="2" t="s">
        <v>72</v>
      </c>
      <c r="F155" s="64">
        <f>K152/F127</f>
        <v>-6.2883321574395712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B57:D57"/>
    <mergeCell ref="B52:C52"/>
    <mergeCell ref="B90:C90"/>
    <mergeCell ref="B53:D53"/>
    <mergeCell ref="B55:D55"/>
    <mergeCell ref="B56:D56"/>
    <mergeCell ref="B59:D59"/>
    <mergeCell ref="B62:D62"/>
    <mergeCell ref="D2:H2"/>
    <mergeCell ref="B45:D45"/>
    <mergeCell ref="B46:D46"/>
    <mergeCell ref="B47:D47"/>
    <mergeCell ref="B34:D34"/>
    <mergeCell ref="C11:G11"/>
    <mergeCell ref="B41:C41"/>
    <mergeCell ref="B44:D44"/>
    <mergeCell ref="B13:H13"/>
    <mergeCell ref="B31:D31"/>
    <mergeCell ref="C5:G5"/>
    <mergeCell ref="C6:G6"/>
    <mergeCell ref="C7:G7"/>
    <mergeCell ref="C9:G9"/>
    <mergeCell ref="C10:G10"/>
    <mergeCell ref="B30:D30"/>
    <mergeCell ref="B135:D135"/>
    <mergeCell ref="B133:D133"/>
    <mergeCell ref="B104:D104"/>
    <mergeCell ref="B105:D105"/>
    <mergeCell ref="B106:D106"/>
    <mergeCell ref="B94:D94"/>
    <mergeCell ref="B96:D96"/>
    <mergeCell ref="B95:D95"/>
    <mergeCell ref="B103:C103"/>
    <mergeCell ref="B134:D134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70" zoomScaleNormal="50" zoomScaleSheetLayoutView="7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658</v>
      </c>
      <c r="D5" s="534"/>
      <c r="E5" s="534"/>
      <c r="F5" s="534"/>
      <c r="G5" s="535"/>
    </row>
    <row r="6" spans="1:11" ht="18" customHeight="1">
      <c r="B6" s="5" t="s">
        <v>3</v>
      </c>
      <c r="C6" s="655">
        <v>17</v>
      </c>
      <c r="D6" s="656"/>
      <c r="E6" s="656"/>
      <c r="F6" s="656"/>
      <c r="G6" s="657"/>
    </row>
    <row r="7" spans="1:11" ht="18" customHeight="1">
      <c r="B7" s="5" t="s">
        <v>4</v>
      </c>
      <c r="C7" s="640">
        <v>321.3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657</v>
      </c>
      <c r="D9" s="541"/>
      <c r="E9" s="541"/>
      <c r="F9" s="541"/>
      <c r="G9" s="589"/>
    </row>
    <row r="10" spans="1:11" ht="18" customHeight="1">
      <c r="B10" s="5" t="s">
        <v>2</v>
      </c>
      <c r="C10" s="542" t="s">
        <v>656</v>
      </c>
      <c r="D10" s="590"/>
      <c r="E10" s="590"/>
      <c r="F10" s="590"/>
      <c r="G10" s="591"/>
    </row>
    <row r="11" spans="1:11" ht="18" customHeight="1">
      <c r="B11" s="5" t="s">
        <v>32</v>
      </c>
      <c r="C11" s="533" t="s">
        <v>655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1169767</v>
      </c>
      <c r="I18" s="55">
        <v>0</v>
      </c>
      <c r="J18" s="15">
        <v>1000297</v>
      </c>
      <c r="K18" s="16">
        <f>(H18+I18)-J18</f>
        <v>169470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f>22+76+32.75+114+13.5+212+282+31.5+46+33.5+573</f>
        <v>1436.25</v>
      </c>
      <c r="G21" s="54">
        <f>181+74+298+117+277+2577+289+288+36+149+1169</f>
        <v>5455</v>
      </c>
      <c r="H21" s="15">
        <f>1310+4307+1862+3899+565+11927+8477+2084+1721+1984+18485</f>
        <v>56621</v>
      </c>
      <c r="I21" s="55">
        <f t="shared" ref="I21:I34" si="0">H21*F$114</f>
        <v>37369.86</v>
      </c>
      <c r="J21" s="15">
        <f>4610+1645+1498+1135+4754+70</f>
        <v>13712</v>
      </c>
      <c r="K21" s="16">
        <f t="shared" ref="K21:K34" si="1">(H21+I21)-J21</f>
        <v>80278.86</v>
      </c>
    </row>
    <row r="22" spans="1:11" ht="18" customHeight="1">
      <c r="A22" s="5" t="s">
        <v>76</v>
      </c>
      <c r="B22" t="s">
        <v>6</v>
      </c>
      <c r="F22" s="54">
        <f>6+10</f>
        <v>16</v>
      </c>
      <c r="G22" s="54">
        <f>2+3</f>
        <v>5</v>
      </c>
      <c r="H22" s="15">
        <f>166+306</f>
        <v>472</v>
      </c>
      <c r="I22" s="55">
        <f t="shared" si="0"/>
        <v>311.52000000000004</v>
      </c>
      <c r="J22" s="15"/>
      <c r="K22" s="16">
        <f t="shared" si="1"/>
        <v>783.52</v>
      </c>
    </row>
    <row r="23" spans="1:11" ht="18" customHeight="1">
      <c r="A23" s="5" t="s">
        <v>77</v>
      </c>
      <c r="B23" t="s">
        <v>43</v>
      </c>
      <c r="F23" s="54"/>
      <c r="G23" s="54"/>
      <c r="H23" s="15"/>
      <c r="I23" s="55">
        <f t="shared" si="0"/>
        <v>0</v>
      </c>
      <c r="J23" s="15"/>
      <c r="K23" s="16">
        <f t="shared" si="1"/>
        <v>0</v>
      </c>
    </row>
    <row r="24" spans="1:11" ht="18" customHeight="1">
      <c r="A24" s="5" t="s">
        <v>78</v>
      </c>
      <c r="B24" t="s">
        <v>44</v>
      </c>
      <c r="F24" s="54"/>
      <c r="G24" s="54"/>
      <c r="H24" s="15"/>
      <c r="I24" s="55">
        <f t="shared" si="0"/>
        <v>0</v>
      </c>
      <c r="J24" s="15"/>
      <c r="K24" s="16">
        <f t="shared" si="1"/>
        <v>0</v>
      </c>
    </row>
    <row r="25" spans="1:11" ht="18" customHeight="1">
      <c r="A25" s="5" t="s">
        <v>79</v>
      </c>
      <c r="B25" t="s">
        <v>5</v>
      </c>
      <c r="F25" s="54">
        <f>473+196</f>
        <v>669</v>
      </c>
      <c r="G25" s="54">
        <f>766+336</f>
        <v>1102</v>
      </c>
      <c r="H25" s="15">
        <f>36682+16342</f>
        <v>53024</v>
      </c>
      <c r="I25" s="55">
        <f t="shared" si="0"/>
        <v>34995.840000000004</v>
      </c>
      <c r="J25" s="15">
        <f>59328+13730</f>
        <v>73058</v>
      </c>
      <c r="K25" s="16">
        <f t="shared" si="1"/>
        <v>14961.839999999997</v>
      </c>
    </row>
    <row r="26" spans="1:11" ht="18" customHeight="1">
      <c r="A26" s="5" t="s">
        <v>80</v>
      </c>
      <c r="B26" t="s">
        <v>45</v>
      </c>
      <c r="F26" s="54">
        <f>147.75</f>
        <v>147.75</v>
      </c>
      <c r="G26" s="54">
        <v>1044</v>
      </c>
      <c r="H26" s="15">
        <v>17232</v>
      </c>
      <c r="I26" s="55">
        <f t="shared" si="0"/>
        <v>11373.12</v>
      </c>
      <c r="J26" s="15">
        <v>20600</v>
      </c>
      <c r="K26" s="16">
        <f t="shared" si="1"/>
        <v>8005.1200000000026</v>
      </c>
    </row>
    <row r="27" spans="1:11" ht="18" customHeight="1">
      <c r="A27" s="5" t="s">
        <v>81</v>
      </c>
      <c r="B27" t="s">
        <v>46</v>
      </c>
      <c r="F27" s="54"/>
      <c r="G27" s="54"/>
      <c r="H27" s="15"/>
      <c r="I27" s="55">
        <f t="shared" si="0"/>
        <v>0</v>
      </c>
      <c r="J27" s="15"/>
      <c r="K27" s="16">
        <f t="shared" si="1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15"/>
      <c r="I28" s="55">
        <f t="shared" si="0"/>
        <v>0</v>
      </c>
      <c r="J28" s="15"/>
      <c r="K28" s="16">
        <f t="shared" si="1"/>
        <v>0</v>
      </c>
    </row>
    <row r="29" spans="1:11" ht="18" customHeight="1">
      <c r="A29" s="5" t="s">
        <v>83</v>
      </c>
      <c r="B29" t="s">
        <v>48</v>
      </c>
      <c r="F29" s="54">
        <f>66.5</f>
        <v>66.5</v>
      </c>
      <c r="G29" s="54">
        <f>302</f>
        <v>302</v>
      </c>
      <c r="H29" s="15">
        <v>3304</v>
      </c>
      <c r="I29" s="55">
        <f t="shared" si="0"/>
        <v>2180.6400000000003</v>
      </c>
      <c r="J29" s="15"/>
      <c r="K29" s="16">
        <f t="shared" si="1"/>
        <v>5484.64</v>
      </c>
    </row>
    <row r="30" spans="1:11" ht="18" customHeight="1">
      <c r="A30" s="5" t="s">
        <v>84</v>
      </c>
      <c r="B30" s="547" t="s">
        <v>654</v>
      </c>
      <c r="C30" s="548"/>
      <c r="D30" s="549"/>
      <c r="F30" s="54">
        <f>36</f>
        <v>36</v>
      </c>
      <c r="G30" s="54">
        <v>63</v>
      </c>
      <c r="H30" s="15">
        <v>10356</v>
      </c>
      <c r="I30" s="55">
        <f t="shared" si="0"/>
        <v>6834.96</v>
      </c>
      <c r="J30" s="15">
        <v>7376</v>
      </c>
      <c r="K30" s="16">
        <f t="shared" si="1"/>
        <v>9814.9599999999991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 t="shared" si="0"/>
        <v>0</v>
      </c>
      <c r="J31" s="15"/>
      <c r="K31" s="16">
        <f t="shared" si="1"/>
        <v>0</v>
      </c>
    </row>
    <row r="32" spans="1:11" ht="18" customHeight="1">
      <c r="A32" s="5" t="s">
        <v>134</v>
      </c>
      <c r="B32" s="284"/>
      <c r="C32" s="285"/>
      <c r="D32" s="286"/>
      <c r="F32" s="54"/>
      <c r="G32" s="52" t="s">
        <v>85</v>
      </c>
      <c r="H32" s="15"/>
      <c r="I32" s="55">
        <f t="shared" si="0"/>
        <v>0</v>
      </c>
      <c r="J32" s="15"/>
      <c r="K32" s="16">
        <f t="shared" si="1"/>
        <v>0</v>
      </c>
    </row>
    <row r="33" spans="1:11" ht="18" customHeight="1">
      <c r="A33" s="5" t="s">
        <v>135</v>
      </c>
      <c r="B33" s="284"/>
      <c r="C33" s="285"/>
      <c r="D33" s="286"/>
      <c r="F33" s="54"/>
      <c r="G33" s="52" t="s">
        <v>85</v>
      </c>
      <c r="H33" s="15"/>
      <c r="I33" s="55">
        <f t="shared" si="0"/>
        <v>0</v>
      </c>
      <c r="J33" s="15"/>
      <c r="K33" s="16">
        <f t="shared" si="1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 t="shared" si="0"/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2371.5</v>
      </c>
      <c r="G36" s="18">
        <f t="shared" si="2"/>
        <v>7971</v>
      </c>
      <c r="H36" s="18">
        <f t="shared" si="2"/>
        <v>141009</v>
      </c>
      <c r="I36" s="16">
        <f t="shared" si="2"/>
        <v>93065.94</v>
      </c>
      <c r="J36" s="16">
        <f t="shared" si="2"/>
        <v>114746</v>
      </c>
      <c r="K36" s="16">
        <f t="shared" si="2"/>
        <v>119328.94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/>
      <c r="G40" s="54"/>
      <c r="H40" s="15"/>
      <c r="I40" s="55">
        <v>0</v>
      </c>
      <c r="J40" s="15"/>
      <c r="K40" s="16">
        <f t="shared" ref="K40:K47" si="3">(H40+I40)-J40</f>
        <v>0</v>
      </c>
    </row>
    <row r="41" spans="1:11" ht="18" customHeight="1">
      <c r="A41" s="5" t="s">
        <v>88</v>
      </c>
      <c r="B41" s="550" t="s">
        <v>50</v>
      </c>
      <c r="C41" s="551"/>
      <c r="F41" s="54"/>
      <c r="G41" s="54"/>
      <c r="H41" s="15"/>
      <c r="I41" s="55">
        <v>0</v>
      </c>
      <c r="J41" s="15"/>
      <c r="K41" s="16">
        <f t="shared" si="3"/>
        <v>0</v>
      </c>
    </row>
    <row r="42" spans="1:11" ht="18" customHeight="1">
      <c r="A42" s="5" t="s">
        <v>89</v>
      </c>
      <c r="B42" s="1" t="s">
        <v>11</v>
      </c>
      <c r="F42" s="54">
        <v>480</v>
      </c>
      <c r="G42" s="54">
        <v>3</v>
      </c>
      <c r="H42" s="15">
        <v>39680</v>
      </c>
      <c r="I42" s="55">
        <v>0</v>
      </c>
      <c r="J42" s="15"/>
      <c r="K42" s="16">
        <f t="shared" si="3"/>
        <v>39680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/>
      <c r="I43" s="55">
        <v>0</v>
      </c>
      <c r="J43" s="15"/>
      <c r="K43" s="16">
        <f t="shared" si="3"/>
        <v>0</v>
      </c>
    </row>
    <row r="44" spans="1:11" ht="18" customHeight="1">
      <c r="A44" s="5" t="s">
        <v>91</v>
      </c>
      <c r="B44" s="547"/>
      <c r="C44" s="548"/>
      <c r="D44" s="549"/>
      <c r="F44" s="82"/>
      <c r="G44" s="82"/>
      <c r="H44" s="82"/>
      <c r="I44" s="83">
        <v>0</v>
      </c>
      <c r="J44" s="82"/>
      <c r="K44" s="81">
        <f t="shared" si="3"/>
        <v>0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3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3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3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480</v>
      </c>
      <c r="G49" s="23">
        <f t="shared" si="4"/>
        <v>3</v>
      </c>
      <c r="H49" s="16">
        <f t="shared" si="4"/>
        <v>39680</v>
      </c>
      <c r="I49" s="16">
        <f t="shared" si="4"/>
        <v>0</v>
      </c>
      <c r="J49" s="16">
        <f t="shared" si="4"/>
        <v>0</v>
      </c>
      <c r="K49" s="16">
        <f t="shared" si="4"/>
        <v>39680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/>
      <c r="C53" s="559"/>
      <c r="D53" s="532"/>
      <c r="F53" s="54"/>
      <c r="G53" s="54"/>
      <c r="H53" s="15"/>
      <c r="I53" s="55">
        <v>0</v>
      </c>
      <c r="J53" s="15"/>
      <c r="K53" s="16">
        <f t="shared" ref="K53:K62" si="5">(H53+I53)-J53</f>
        <v>0</v>
      </c>
    </row>
    <row r="54" spans="1:11" ht="18" customHeight="1">
      <c r="A54" s="5" t="s">
        <v>93</v>
      </c>
      <c r="B54" s="281"/>
      <c r="C54" s="282"/>
      <c r="D54" s="283"/>
      <c r="F54" s="54"/>
      <c r="G54" s="54"/>
      <c r="H54" s="15"/>
      <c r="I54" s="55">
        <v>0</v>
      </c>
      <c r="J54" s="15"/>
      <c r="K54" s="16">
        <f t="shared" si="5"/>
        <v>0</v>
      </c>
    </row>
    <row r="55" spans="1:11" ht="18" customHeight="1">
      <c r="A55" s="5" t="s">
        <v>94</v>
      </c>
      <c r="B55" s="530"/>
      <c r="C55" s="531"/>
      <c r="D55" s="532"/>
      <c r="F55" s="54"/>
      <c r="G55" s="54"/>
      <c r="H55" s="15"/>
      <c r="I55" s="55">
        <v>0</v>
      </c>
      <c r="J55" s="15"/>
      <c r="K55" s="16">
        <f t="shared" si="5"/>
        <v>0</v>
      </c>
    </row>
    <row r="56" spans="1:11" ht="18" customHeight="1">
      <c r="A56" s="5" t="s">
        <v>95</v>
      </c>
      <c r="B56" s="530"/>
      <c r="C56" s="531"/>
      <c r="D56" s="532"/>
      <c r="F56" s="54" t="s">
        <v>740</v>
      </c>
      <c r="G56" s="54"/>
      <c r="H56" s="15"/>
      <c r="I56" s="55">
        <v>0</v>
      </c>
      <c r="J56" s="15"/>
      <c r="K56" s="16">
        <f t="shared" si="5"/>
        <v>0</v>
      </c>
    </row>
    <row r="57" spans="1:11" ht="18" customHeight="1">
      <c r="A57" s="5" t="s">
        <v>96</v>
      </c>
      <c r="B57" s="530"/>
      <c r="C57" s="531"/>
      <c r="D57" s="532"/>
      <c r="F57" s="54"/>
      <c r="G57" s="54"/>
      <c r="H57" s="15"/>
      <c r="I57" s="55">
        <v>0</v>
      </c>
      <c r="J57" s="15"/>
      <c r="K57" s="16">
        <f t="shared" si="5"/>
        <v>0</v>
      </c>
    </row>
    <row r="58" spans="1:11" ht="18" customHeight="1">
      <c r="A58" s="5" t="s">
        <v>97</v>
      </c>
      <c r="B58" s="281"/>
      <c r="C58" s="282"/>
      <c r="D58" s="283"/>
      <c r="F58" s="54"/>
      <c r="G58" s="54"/>
      <c r="H58" s="15"/>
      <c r="I58" s="55">
        <v>0</v>
      </c>
      <c r="J58" s="15"/>
      <c r="K58" s="16">
        <f t="shared" si="5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v>0</v>
      </c>
      <c r="J59" s="15"/>
      <c r="K59" s="16">
        <f t="shared" si="5"/>
        <v>0</v>
      </c>
    </row>
    <row r="60" spans="1:11" ht="18" customHeight="1">
      <c r="A60" s="5" t="s">
        <v>99</v>
      </c>
      <c r="B60" s="281"/>
      <c r="C60" s="282"/>
      <c r="D60" s="283"/>
      <c r="F60" s="54"/>
      <c r="G60" s="54"/>
      <c r="H60" s="15"/>
      <c r="I60" s="55">
        <v>0</v>
      </c>
      <c r="J60" s="15"/>
      <c r="K60" s="16">
        <f t="shared" si="5"/>
        <v>0</v>
      </c>
    </row>
    <row r="61" spans="1:11" ht="18" customHeight="1">
      <c r="A61" s="5" t="s">
        <v>100</v>
      </c>
      <c r="B61" s="281"/>
      <c r="C61" s="282"/>
      <c r="D61" s="283"/>
      <c r="F61" s="54"/>
      <c r="G61" s="54"/>
      <c r="H61" s="15"/>
      <c r="I61" s="55">
        <v>0</v>
      </c>
      <c r="J61" s="15"/>
      <c r="K61" s="16">
        <f t="shared" si="5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5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6">SUM(F53:F62)</f>
        <v>0</v>
      </c>
      <c r="G64" s="18">
        <f t="shared" si="6"/>
        <v>0</v>
      </c>
      <c r="H64" s="16">
        <f t="shared" si="6"/>
        <v>0</v>
      </c>
      <c r="I64" s="16">
        <f t="shared" si="6"/>
        <v>0</v>
      </c>
      <c r="J64" s="16">
        <f t="shared" si="6"/>
        <v>0</v>
      </c>
      <c r="K64" s="16">
        <f t="shared" si="6"/>
        <v>0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/>
      <c r="G68" s="51"/>
      <c r="H68" s="51"/>
      <c r="I68" s="55">
        <v>0</v>
      </c>
      <c r="J68" s="51"/>
      <c r="K68" s="16">
        <f>(H68+I68)-J68</f>
        <v>0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281"/>
      <c r="C70" s="282"/>
      <c r="D70" s="283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281"/>
      <c r="C71" s="282"/>
      <c r="D71" s="283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287"/>
      <c r="C72" s="288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7">SUM(F68:F72)</f>
        <v>0</v>
      </c>
      <c r="G74" s="21">
        <f t="shared" si="7"/>
        <v>0</v>
      </c>
      <c r="H74" s="21">
        <f t="shared" si="7"/>
        <v>0</v>
      </c>
      <c r="I74" s="53">
        <f t="shared" si="7"/>
        <v>0</v>
      </c>
      <c r="J74" s="21">
        <f t="shared" si="7"/>
        <v>0</v>
      </c>
      <c r="K74" s="56">
        <f t="shared" si="7"/>
        <v>0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/>
      <c r="G77" s="54"/>
      <c r="H77" s="15"/>
      <c r="I77" s="55">
        <v>0</v>
      </c>
      <c r="J77" s="15"/>
      <c r="K77" s="16">
        <f>(H77+I77)-J77</f>
        <v>0</v>
      </c>
    </row>
    <row r="78" spans="1:11" ht="18" customHeight="1">
      <c r="A78" s="5" t="s">
        <v>108</v>
      </c>
      <c r="B78" s="1" t="s">
        <v>55</v>
      </c>
      <c r="F78" s="54"/>
      <c r="G78" s="54"/>
      <c r="H78" s="15"/>
      <c r="I78" s="55"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>
        <f>48.5+2+5.5+19.5+15.5+16</f>
        <v>107</v>
      </c>
      <c r="G79" s="54">
        <f>396+1+1+9+10+8</f>
        <v>425</v>
      </c>
      <c r="H79" s="15">
        <f>1705+80+852+758+899+640</f>
        <v>4934</v>
      </c>
      <c r="I79" s="55">
        <v>0</v>
      </c>
      <c r="J79" s="15"/>
      <c r="K79" s="16">
        <f>(H79+I79)-J79</f>
        <v>4934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8">SUM(F77:F80)</f>
        <v>107</v>
      </c>
      <c r="G82" s="21">
        <f t="shared" si="8"/>
        <v>425</v>
      </c>
      <c r="H82" s="56">
        <f t="shared" si="8"/>
        <v>4934</v>
      </c>
      <c r="I82" s="56">
        <f t="shared" si="8"/>
        <v>0</v>
      </c>
      <c r="J82" s="56">
        <f t="shared" si="8"/>
        <v>0</v>
      </c>
      <c r="K82" s="56">
        <f t="shared" si="8"/>
        <v>4934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f t="shared" ref="I86:I96" si="9">H86*F$114</f>
        <v>0</v>
      </c>
      <c r="J86" s="15"/>
      <c r="K86" s="16">
        <f t="shared" ref="K86:K96" si="10">(H86+I86)-J86</f>
        <v>0</v>
      </c>
    </row>
    <row r="87" spans="1:11" ht="18" customHeight="1">
      <c r="A87" s="5" t="s">
        <v>114</v>
      </c>
      <c r="B87" s="1" t="s">
        <v>14</v>
      </c>
      <c r="F87" s="54">
        <f>51.75+19</f>
        <v>70.75</v>
      </c>
      <c r="G87" s="54">
        <f>6+4</f>
        <v>10</v>
      </c>
      <c r="H87" s="15">
        <f>5463+8012</f>
        <v>13475</v>
      </c>
      <c r="I87" s="55">
        <f t="shared" si="9"/>
        <v>8893.5</v>
      </c>
      <c r="J87" s="15"/>
      <c r="K87" s="16">
        <f t="shared" si="10"/>
        <v>22368.5</v>
      </c>
    </row>
    <row r="88" spans="1:11" ht="18" customHeight="1">
      <c r="A88" s="5" t="s">
        <v>115</v>
      </c>
      <c r="B88" s="1" t="s">
        <v>116</v>
      </c>
      <c r="F88" s="54"/>
      <c r="G88" s="54"/>
      <c r="H88" s="15"/>
      <c r="I88" s="55">
        <f t="shared" si="9"/>
        <v>0</v>
      </c>
      <c r="J88" s="15"/>
      <c r="K88" s="16">
        <f t="shared" si="10"/>
        <v>0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 t="shared" si="9"/>
        <v>0</v>
      </c>
      <c r="J89" s="15"/>
      <c r="K89" s="16">
        <f t="shared" si="10"/>
        <v>0</v>
      </c>
    </row>
    <row r="90" spans="1:11" ht="18" customHeight="1">
      <c r="A90" s="5" t="s">
        <v>118</v>
      </c>
      <c r="B90" s="550" t="s">
        <v>59</v>
      </c>
      <c r="C90" s="551"/>
      <c r="F90" s="54">
        <f>16.75</f>
        <v>16.75</v>
      </c>
      <c r="G90" s="54">
        <v>5</v>
      </c>
      <c r="H90" s="15">
        <f>2592</f>
        <v>2592</v>
      </c>
      <c r="I90" s="55">
        <f t="shared" si="9"/>
        <v>1710.72</v>
      </c>
      <c r="J90" s="15"/>
      <c r="K90" s="16">
        <f t="shared" si="10"/>
        <v>4302.72</v>
      </c>
    </row>
    <row r="91" spans="1:11" ht="18" customHeight="1">
      <c r="A91" s="5" t="s">
        <v>119</v>
      </c>
      <c r="B91" s="1" t="s">
        <v>60</v>
      </c>
      <c r="F91" s="54">
        <f>2+2+31.5+65+32+17</f>
        <v>149.5</v>
      </c>
      <c r="G91" s="54">
        <f>8+1+13+3+110+6</f>
        <v>141</v>
      </c>
      <c r="H91" s="15">
        <f>80+80+4873+3832+1426+1415</f>
        <v>11706</v>
      </c>
      <c r="I91" s="55">
        <f t="shared" si="9"/>
        <v>7725.96</v>
      </c>
      <c r="J91" s="15"/>
      <c r="K91" s="16">
        <f t="shared" si="10"/>
        <v>19431.96</v>
      </c>
    </row>
    <row r="92" spans="1:11" ht="18" customHeight="1">
      <c r="A92" s="5" t="s">
        <v>120</v>
      </c>
      <c r="B92" s="1" t="s">
        <v>121</v>
      </c>
      <c r="F92" s="38"/>
      <c r="G92" s="38"/>
      <c r="H92" s="39"/>
      <c r="I92" s="55">
        <f t="shared" si="9"/>
        <v>0</v>
      </c>
      <c r="J92" s="39"/>
      <c r="K92" s="16">
        <f t="shared" si="10"/>
        <v>0</v>
      </c>
    </row>
    <row r="93" spans="1:11" ht="18" customHeight="1">
      <c r="A93" s="5" t="s">
        <v>122</v>
      </c>
      <c r="B93" s="1" t="s">
        <v>123</v>
      </c>
      <c r="F93" s="54">
        <v>15</v>
      </c>
      <c r="G93" s="54">
        <v>5</v>
      </c>
      <c r="H93" s="15">
        <v>152945</v>
      </c>
      <c r="I93" s="55">
        <f t="shared" si="9"/>
        <v>100943.70000000001</v>
      </c>
      <c r="J93" s="15"/>
      <c r="K93" s="16">
        <f t="shared" si="10"/>
        <v>253888.7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f t="shared" si="9"/>
        <v>0</v>
      </c>
      <c r="J94" s="15"/>
      <c r="K94" s="16">
        <f t="shared" si="10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9"/>
        <v>0</v>
      </c>
      <c r="J95" s="15"/>
      <c r="K95" s="16">
        <f t="shared" si="10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9"/>
        <v>0</v>
      </c>
      <c r="J96" s="15"/>
      <c r="K96" s="16">
        <f t="shared" si="10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1">SUM(F86:F96)</f>
        <v>252</v>
      </c>
      <c r="G98" s="18">
        <f t="shared" si="11"/>
        <v>161</v>
      </c>
      <c r="H98" s="18">
        <f t="shared" si="11"/>
        <v>180718</v>
      </c>
      <c r="I98" s="18">
        <f t="shared" si="11"/>
        <v>119273.88</v>
      </c>
      <c r="J98" s="18">
        <f t="shared" si="11"/>
        <v>0</v>
      </c>
      <c r="K98" s="18">
        <f t="shared" si="11"/>
        <v>299991.88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>
        <v>240</v>
      </c>
      <c r="G102" s="54">
        <v>2</v>
      </c>
      <c r="H102" s="15">
        <v>8932</v>
      </c>
      <c r="I102" s="55">
        <f>H102*F$114</f>
        <v>5895.12</v>
      </c>
      <c r="J102" s="15"/>
      <c r="K102" s="16">
        <f>(H102+I102)-J102</f>
        <v>14827.119999999999</v>
      </c>
    </row>
    <row r="103" spans="1:11" ht="18" customHeight="1">
      <c r="A103" s="5" t="s">
        <v>132</v>
      </c>
      <c r="B103" s="550" t="s">
        <v>62</v>
      </c>
      <c r="C103" s="550"/>
      <c r="F103" s="54">
        <v>167.5</v>
      </c>
      <c r="G103" s="54">
        <v>33</v>
      </c>
      <c r="H103" s="15">
        <v>7123</v>
      </c>
      <c r="I103" s="55">
        <f>H103*F$114</f>
        <v>4701.18</v>
      </c>
      <c r="J103" s="15"/>
      <c r="K103" s="16">
        <f>(H103+I103)-J103</f>
        <v>11824.18</v>
      </c>
    </row>
    <row r="104" spans="1:11" ht="18" customHeight="1">
      <c r="A104" s="5" t="s">
        <v>128</v>
      </c>
      <c r="B104" s="530"/>
      <c r="C104" s="531"/>
      <c r="D104" s="532"/>
      <c r="F104" s="54"/>
      <c r="G104" s="54"/>
      <c r="H104" s="15"/>
      <c r="I104" s="55">
        <f>H104*F$114</f>
        <v>0</v>
      </c>
      <c r="J104" s="15"/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2">SUM(F102:F106)</f>
        <v>407.5</v>
      </c>
      <c r="G108" s="18">
        <f t="shared" si="12"/>
        <v>35</v>
      </c>
      <c r="H108" s="16">
        <f t="shared" si="12"/>
        <v>16055</v>
      </c>
      <c r="I108" s="16">
        <f t="shared" si="12"/>
        <v>10596.3</v>
      </c>
      <c r="J108" s="16">
        <f t="shared" si="12"/>
        <v>0</v>
      </c>
      <c r="K108" s="16">
        <f t="shared" si="12"/>
        <v>26651.3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f>2861888+2167+1419</f>
        <v>2865474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0.66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38878931</v>
      </c>
    </row>
    <row r="118" spans="1:6" ht="18" customHeight="1">
      <c r="A118" s="5" t="s">
        <v>173</v>
      </c>
      <c r="B118" t="s">
        <v>18</v>
      </c>
      <c r="F118" s="15">
        <v>778721</v>
      </c>
    </row>
    <row r="119" spans="1:6" ht="18" customHeight="1">
      <c r="A119" s="5" t="s">
        <v>174</v>
      </c>
      <c r="B119" s="2" t="s">
        <v>19</v>
      </c>
      <c r="F119" s="56">
        <f>SUM(F117:F118)</f>
        <v>39657652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38394160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v>1263492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f>235174+318869-128930</f>
        <v>425113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v>1688605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3">SUM(F131:F135)</f>
        <v>0</v>
      </c>
      <c r="G137" s="18">
        <f t="shared" si="13"/>
        <v>0</v>
      </c>
      <c r="H137" s="16">
        <f t="shared" si="13"/>
        <v>0</v>
      </c>
      <c r="I137" s="16">
        <f t="shared" si="13"/>
        <v>0</v>
      </c>
      <c r="J137" s="16">
        <f t="shared" si="13"/>
        <v>0</v>
      </c>
      <c r="K137" s="16">
        <f t="shared" si="13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4">F36</f>
        <v>2371.5</v>
      </c>
      <c r="G141" s="41">
        <f t="shared" si="14"/>
        <v>7971</v>
      </c>
      <c r="H141" s="41">
        <f t="shared" si="14"/>
        <v>141009</v>
      </c>
      <c r="I141" s="41">
        <f t="shared" si="14"/>
        <v>93065.94</v>
      </c>
      <c r="J141" s="41">
        <f t="shared" si="14"/>
        <v>114746</v>
      </c>
      <c r="K141" s="41">
        <f t="shared" si="14"/>
        <v>119328.94</v>
      </c>
    </row>
    <row r="142" spans="1:11" ht="18" customHeight="1">
      <c r="A142" s="5" t="s">
        <v>142</v>
      </c>
      <c r="B142" s="2" t="s">
        <v>65</v>
      </c>
      <c r="F142" s="41">
        <f t="shared" ref="F142:K142" si="15">F49</f>
        <v>480</v>
      </c>
      <c r="G142" s="41">
        <f t="shared" si="15"/>
        <v>3</v>
      </c>
      <c r="H142" s="41">
        <f t="shared" si="15"/>
        <v>39680</v>
      </c>
      <c r="I142" s="41">
        <f t="shared" si="15"/>
        <v>0</v>
      </c>
      <c r="J142" s="41">
        <f t="shared" si="15"/>
        <v>0</v>
      </c>
      <c r="K142" s="41">
        <f t="shared" si="15"/>
        <v>39680</v>
      </c>
    </row>
    <row r="143" spans="1:11" ht="18" customHeight="1">
      <c r="A143" s="5" t="s">
        <v>144</v>
      </c>
      <c r="B143" s="2" t="s">
        <v>66</v>
      </c>
      <c r="F143" s="41">
        <f t="shared" ref="F143:K143" si="16">F64</f>
        <v>0</v>
      </c>
      <c r="G143" s="41">
        <f t="shared" si="16"/>
        <v>0</v>
      </c>
      <c r="H143" s="41">
        <f t="shared" si="16"/>
        <v>0</v>
      </c>
      <c r="I143" s="41">
        <f t="shared" si="16"/>
        <v>0</v>
      </c>
      <c r="J143" s="41">
        <f t="shared" si="16"/>
        <v>0</v>
      </c>
      <c r="K143" s="41">
        <f t="shared" si="16"/>
        <v>0</v>
      </c>
    </row>
    <row r="144" spans="1:11" ht="18" customHeight="1">
      <c r="A144" s="5" t="s">
        <v>146</v>
      </c>
      <c r="B144" s="2" t="s">
        <v>67</v>
      </c>
      <c r="F144" s="41">
        <f t="shared" ref="F144:K144" si="17">F74</f>
        <v>0</v>
      </c>
      <c r="G144" s="41">
        <f t="shared" si="17"/>
        <v>0</v>
      </c>
      <c r="H144" s="41">
        <f t="shared" si="17"/>
        <v>0</v>
      </c>
      <c r="I144" s="41">
        <f t="shared" si="17"/>
        <v>0</v>
      </c>
      <c r="J144" s="41">
        <f t="shared" si="17"/>
        <v>0</v>
      </c>
      <c r="K144" s="41">
        <f t="shared" si="17"/>
        <v>0</v>
      </c>
    </row>
    <row r="145" spans="1:11" ht="18" customHeight="1">
      <c r="A145" s="5" t="s">
        <v>148</v>
      </c>
      <c r="B145" s="2" t="s">
        <v>68</v>
      </c>
      <c r="F145" s="41">
        <f t="shared" ref="F145:K145" si="18">F82</f>
        <v>107</v>
      </c>
      <c r="G145" s="41">
        <f t="shared" si="18"/>
        <v>425</v>
      </c>
      <c r="H145" s="41">
        <f t="shared" si="18"/>
        <v>4934</v>
      </c>
      <c r="I145" s="41">
        <f t="shared" si="18"/>
        <v>0</v>
      </c>
      <c r="J145" s="41">
        <f t="shared" si="18"/>
        <v>0</v>
      </c>
      <c r="K145" s="41">
        <f t="shared" si="18"/>
        <v>4934</v>
      </c>
    </row>
    <row r="146" spans="1:11" ht="18" customHeight="1">
      <c r="A146" s="5" t="s">
        <v>150</v>
      </c>
      <c r="B146" s="2" t="s">
        <v>69</v>
      </c>
      <c r="F146" s="41">
        <f t="shared" ref="F146:K146" si="19">F98</f>
        <v>252</v>
      </c>
      <c r="G146" s="41">
        <f t="shared" si="19"/>
        <v>161</v>
      </c>
      <c r="H146" s="41">
        <f t="shared" si="19"/>
        <v>180718</v>
      </c>
      <c r="I146" s="41">
        <f t="shared" si="19"/>
        <v>119273.88</v>
      </c>
      <c r="J146" s="41">
        <f t="shared" si="19"/>
        <v>0</v>
      </c>
      <c r="K146" s="41">
        <f t="shared" si="19"/>
        <v>299991.88</v>
      </c>
    </row>
    <row r="147" spans="1:11" ht="18" customHeight="1">
      <c r="A147" s="5" t="s">
        <v>153</v>
      </c>
      <c r="B147" s="2" t="s">
        <v>61</v>
      </c>
      <c r="F147" s="18">
        <f t="shared" ref="F147:K147" si="20">F108</f>
        <v>407.5</v>
      </c>
      <c r="G147" s="18">
        <f t="shared" si="20"/>
        <v>35</v>
      </c>
      <c r="H147" s="18">
        <f t="shared" si="20"/>
        <v>16055</v>
      </c>
      <c r="I147" s="18">
        <f t="shared" si="20"/>
        <v>10596.3</v>
      </c>
      <c r="J147" s="18">
        <f t="shared" si="20"/>
        <v>0</v>
      </c>
      <c r="K147" s="18">
        <f t="shared" si="20"/>
        <v>26651.3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2865474</v>
      </c>
    </row>
    <row r="149" spans="1:11" ht="18" customHeight="1">
      <c r="A149" s="5" t="s">
        <v>163</v>
      </c>
      <c r="B149" s="2" t="s">
        <v>71</v>
      </c>
      <c r="F149" s="18">
        <f t="shared" ref="F149:K149" si="21">F137</f>
        <v>0</v>
      </c>
      <c r="G149" s="18">
        <f t="shared" si="21"/>
        <v>0</v>
      </c>
      <c r="H149" s="18">
        <f t="shared" si="21"/>
        <v>0</v>
      </c>
      <c r="I149" s="18">
        <f t="shared" si="21"/>
        <v>0</v>
      </c>
      <c r="J149" s="18">
        <f t="shared" si="21"/>
        <v>0</v>
      </c>
      <c r="K149" s="18">
        <f t="shared" si="21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1169767</v>
      </c>
      <c r="I150" s="18">
        <f>I18</f>
        <v>0</v>
      </c>
      <c r="J150" s="18">
        <f>J18</f>
        <v>1000297</v>
      </c>
      <c r="K150" s="18">
        <f>K18</f>
        <v>169470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2">SUM(F141:F150)</f>
        <v>3618</v>
      </c>
      <c r="G152" s="49">
        <f t="shared" si="22"/>
        <v>8595</v>
      </c>
      <c r="H152" s="49">
        <f t="shared" si="22"/>
        <v>1552163</v>
      </c>
      <c r="I152" s="49">
        <f t="shared" si="22"/>
        <v>222936.12</v>
      </c>
      <c r="J152" s="49">
        <f t="shared" si="22"/>
        <v>1115043</v>
      </c>
      <c r="K152" s="49">
        <f t="shared" si="22"/>
        <v>3525530.12</v>
      </c>
    </row>
    <row r="154" spans="1:11" ht="18" customHeight="1">
      <c r="A154" s="6" t="s">
        <v>168</v>
      </c>
      <c r="B154" s="2" t="s">
        <v>28</v>
      </c>
      <c r="F154" s="64">
        <f>K152/F121</f>
        <v>9.1824645206458486E-2</v>
      </c>
    </row>
    <row r="155" spans="1:11" ht="18" customHeight="1">
      <c r="A155" s="6" t="s">
        <v>169</v>
      </c>
      <c r="B155" s="2" t="s">
        <v>72</v>
      </c>
      <c r="F155" s="64">
        <f>K152/F127</f>
        <v>2.0878358882035766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B134:D134"/>
    <mergeCell ref="B135:D135"/>
    <mergeCell ref="B133:D133"/>
    <mergeCell ref="B104:D104"/>
    <mergeCell ref="B105:D105"/>
    <mergeCell ref="B106:D106"/>
    <mergeCell ref="B62:D62"/>
    <mergeCell ref="B31:D31"/>
    <mergeCell ref="B103:C103"/>
    <mergeCell ref="B96:D96"/>
    <mergeCell ref="B95:D95"/>
    <mergeCell ref="B57:D57"/>
    <mergeCell ref="B94:D94"/>
    <mergeCell ref="B52:C52"/>
    <mergeCell ref="B90:C90"/>
    <mergeCell ref="B53:D53"/>
    <mergeCell ref="B55:D55"/>
    <mergeCell ref="B56:D56"/>
    <mergeCell ref="B59:D59"/>
    <mergeCell ref="D2:H2"/>
    <mergeCell ref="B45:D45"/>
    <mergeCell ref="B46:D46"/>
    <mergeCell ref="B47:D47"/>
    <mergeCell ref="B34:D34"/>
    <mergeCell ref="C11:G11"/>
    <mergeCell ref="B41:C41"/>
    <mergeCell ref="B44:D44"/>
    <mergeCell ref="B13:H13"/>
    <mergeCell ref="C5:G5"/>
    <mergeCell ref="C6:G6"/>
    <mergeCell ref="C7:G7"/>
    <mergeCell ref="C9:G9"/>
    <mergeCell ref="C10:G10"/>
    <mergeCell ref="B30:D30"/>
  </mergeCells>
  <printOptions headings="1" gridLines="1"/>
  <pageMargins left="0.17" right="0.16" top="0.35" bottom="0.32" header="0.17" footer="0.17"/>
  <pageSetup scale="60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70" zoomScaleNormal="70" zoomScaleSheetLayoutView="7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587</v>
      </c>
      <c r="D5" s="534"/>
      <c r="E5" s="534"/>
      <c r="F5" s="534"/>
      <c r="G5" s="535"/>
    </row>
    <row r="6" spans="1:11" ht="18" customHeight="1">
      <c r="B6" s="5" t="s">
        <v>3</v>
      </c>
      <c r="C6" s="658">
        <v>44</v>
      </c>
      <c r="D6" s="656"/>
      <c r="E6" s="656"/>
      <c r="F6" s="656"/>
      <c r="G6" s="657"/>
    </row>
    <row r="7" spans="1:11" ht="18" customHeight="1">
      <c r="B7" s="5" t="s">
        <v>4</v>
      </c>
      <c r="C7" s="536" t="s">
        <v>586</v>
      </c>
      <c r="D7" s="537"/>
      <c r="E7" s="537"/>
      <c r="F7" s="537"/>
      <c r="G7" s="538"/>
    </row>
    <row r="9" spans="1:11" ht="18" customHeight="1">
      <c r="B9" s="5" t="s">
        <v>1</v>
      </c>
      <c r="C9" s="533" t="s">
        <v>585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584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583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f>11391381</f>
        <v>11391381</v>
      </c>
      <c r="I18" s="55">
        <v>0</v>
      </c>
      <c r="J18" s="15">
        <f>9741055</f>
        <v>9741055</v>
      </c>
      <c r="K18" s="16">
        <f>(H18+I18)-J18</f>
        <v>1650326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768.5</v>
      </c>
      <c r="G21" s="54">
        <v>20980</v>
      </c>
      <c r="H21" s="15">
        <v>144076.15</v>
      </c>
      <c r="I21" s="55">
        <f t="shared" ref="I21:I28" si="0">H21*F$114</f>
        <v>85667.678790000005</v>
      </c>
      <c r="J21" s="15">
        <v>300</v>
      </c>
      <c r="K21" s="16">
        <f t="shared" ref="K21:K34" si="1">(H21+I21)-J21</f>
        <v>229443.82879</v>
      </c>
    </row>
    <row r="22" spans="1:11" ht="18" customHeight="1">
      <c r="A22" s="5" t="s">
        <v>76</v>
      </c>
      <c r="B22" t="s">
        <v>6</v>
      </c>
      <c r="F22" s="54">
        <v>118.25</v>
      </c>
      <c r="G22" s="54">
        <v>665</v>
      </c>
      <c r="H22" s="15">
        <v>4583.84</v>
      </c>
      <c r="I22" s="55">
        <f t="shared" si="0"/>
        <v>2725.5512640000002</v>
      </c>
      <c r="J22" s="15"/>
      <c r="K22" s="16">
        <f t="shared" si="1"/>
        <v>7309.3912639999999</v>
      </c>
    </row>
    <row r="23" spans="1:11" ht="18" customHeight="1">
      <c r="A23" s="5" t="s">
        <v>77</v>
      </c>
      <c r="B23" t="s">
        <v>43</v>
      </c>
      <c r="F23" s="54">
        <v>160</v>
      </c>
      <c r="G23" s="54">
        <v>755</v>
      </c>
      <c r="H23" s="15">
        <v>45948</v>
      </c>
      <c r="I23" s="55">
        <f t="shared" si="0"/>
        <v>27320.680800000002</v>
      </c>
      <c r="J23" s="15"/>
      <c r="K23" s="16">
        <f t="shared" si="1"/>
        <v>73268.680800000002</v>
      </c>
    </row>
    <row r="24" spans="1:11" ht="18" customHeight="1">
      <c r="A24" s="5" t="s">
        <v>78</v>
      </c>
      <c r="B24" t="s">
        <v>44</v>
      </c>
      <c r="F24" s="54"/>
      <c r="G24" s="54"/>
      <c r="H24" s="15"/>
      <c r="I24" s="55">
        <f t="shared" si="0"/>
        <v>0</v>
      </c>
      <c r="J24" s="15"/>
      <c r="K24" s="16">
        <f t="shared" si="1"/>
        <v>0</v>
      </c>
    </row>
    <row r="25" spans="1:11" ht="18" customHeight="1">
      <c r="A25" s="5" t="s">
        <v>79</v>
      </c>
      <c r="B25" t="s">
        <v>5</v>
      </c>
      <c r="F25" s="54">
        <v>276.05</v>
      </c>
      <c r="G25" s="54">
        <v>2780</v>
      </c>
      <c r="H25" s="15">
        <v>15117.67</v>
      </c>
      <c r="I25" s="55">
        <f t="shared" si="0"/>
        <v>8988.9665820000009</v>
      </c>
      <c r="J25" s="15">
        <v>2658.61</v>
      </c>
      <c r="K25" s="16">
        <f t="shared" si="1"/>
        <v>21448.026581999999</v>
      </c>
    </row>
    <row r="26" spans="1:11" ht="18" customHeight="1">
      <c r="A26" s="5" t="s">
        <v>80</v>
      </c>
      <c r="B26" t="s">
        <v>45</v>
      </c>
      <c r="F26" s="54"/>
      <c r="G26" s="54"/>
      <c r="H26" s="15"/>
      <c r="I26" s="55">
        <f t="shared" si="0"/>
        <v>0</v>
      </c>
      <c r="J26" s="15"/>
      <c r="K26" s="16">
        <f t="shared" si="1"/>
        <v>0</v>
      </c>
    </row>
    <row r="27" spans="1:11" ht="18" customHeight="1">
      <c r="A27" s="5" t="s">
        <v>81</v>
      </c>
      <c r="B27" t="s">
        <v>46</v>
      </c>
      <c r="F27" s="54"/>
      <c r="G27" s="54"/>
      <c r="H27" s="15"/>
      <c r="I27" s="55">
        <f t="shared" si="0"/>
        <v>0</v>
      </c>
      <c r="J27" s="15"/>
      <c r="K27" s="16">
        <f t="shared" si="1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15"/>
      <c r="I28" s="55">
        <f t="shared" si="0"/>
        <v>0</v>
      </c>
      <c r="J28" s="15"/>
      <c r="K28" s="16">
        <f t="shared" si="1"/>
        <v>0</v>
      </c>
    </row>
    <row r="29" spans="1:11" ht="18" customHeight="1">
      <c r="A29" s="5" t="s">
        <v>83</v>
      </c>
      <c r="B29" t="s">
        <v>48</v>
      </c>
      <c r="F29" s="54">
        <v>3355</v>
      </c>
      <c r="G29" s="54">
        <v>526</v>
      </c>
      <c r="H29" s="15">
        <f>284940</f>
        <v>284940</v>
      </c>
      <c r="I29" s="55">
        <f>53060*$F$114</f>
        <v>31549.476000000002</v>
      </c>
      <c r="J29" s="15"/>
      <c r="K29" s="16">
        <f t="shared" si="1"/>
        <v>316489.47600000002</v>
      </c>
    </row>
    <row r="30" spans="1:11" ht="18" customHeight="1">
      <c r="A30" s="5" t="s">
        <v>84</v>
      </c>
      <c r="B30" s="547"/>
      <c r="C30" s="548"/>
      <c r="D30" s="549"/>
      <c r="F30" s="54"/>
      <c r="G30" s="54"/>
      <c r="H30" s="15"/>
      <c r="I30" s="55">
        <f>H30*F$114</f>
        <v>0</v>
      </c>
      <c r="J30" s="15"/>
      <c r="K30" s="16">
        <f t="shared" si="1"/>
        <v>0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>H31*F$114</f>
        <v>0</v>
      </c>
      <c r="J31" s="15"/>
      <c r="K31" s="16">
        <f t="shared" si="1"/>
        <v>0</v>
      </c>
    </row>
    <row r="32" spans="1:11" ht="18" customHeight="1">
      <c r="A32" s="5" t="s">
        <v>134</v>
      </c>
      <c r="B32" s="284"/>
      <c r="C32" s="285"/>
      <c r="D32" s="286"/>
      <c r="F32" s="54"/>
      <c r="G32" s="52" t="s">
        <v>85</v>
      </c>
      <c r="H32" s="15"/>
      <c r="I32" s="55">
        <f>H32*F$114</f>
        <v>0</v>
      </c>
      <c r="J32" s="15"/>
      <c r="K32" s="16">
        <f t="shared" si="1"/>
        <v>0</v>
      </c>
    </row>
    <row r="33" spans="1:11" ht="18" customHeight="1">
      <c r="A33" s="5" t="s">
        <v>135</v>
      </c>
      <c r="B33" s="284"/>
      <c r="C33" s="285"/>
      <c r="D33" s="286"/>
      <c r="F33" s="54"/>
      <c r="G33" s="52" t="s">
        <v>85</v>
      </c>
      <c r="H33" s="15"/>
      <c r="I33" s="55">
        <f>H33*F$114</f>
        <v>0</v>
      </c>
      <c r="J33" s="15"/>
      <c r="K33" s="16">
        <f t="shared" si="1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>H34*F$114</f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4677.8</v>
      </c>
      <c r="G36" s="18">
        <f t="shared" si="2"/>
        <v>25706</v>
      </c>
      <c r="H36" s="18">
        <f t="shared" si="2"/>
        <v>494665.66000000003</v>
      </c>
      <c r="I36" s="16">
        <f t="shared" si="2"/>
        <v>156252.353436</v>
      </c>
      <c r="J36" s="16">
        <f t="shared" si="2"/>
        <v>2958.61</v>
      </c>
      <c r="K36" s="16">
        <f t="shared" si="2"/>
        <v>647959.40343599999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>
        <f>142445</f>
        <v>142445</v>
      </c>
      <c r="G40" s="54"/>
      <c r="H40" s="15">
        <f>5782192</f>
        <v>5782192</v>
      </c>
      <c r="I40" s="55">
        <f>H40*$F$114</f>
        <v>3438091.3632</v>
      </c>
      <c r="J40" s="15"/>
      <c r="K40" s="16">
        <f t="shared" ref="K40:K47" si="3">(H40+I40)-J40</f>
        <v>9220283.3631999996</v>
      </c>
    </row>
    <row r="41" spans="1:11" ht="18" customHeight="1">
      <c r="A41" s="5" t="s">
        <v>88</v>
      </c>
      <c r="B41" s="550" t="s">
        <v>50</v>
      </c>
      <c r="C41" s="551"/>
      <c r="F41" s="54">
        <f>48251</f>
        <v>48251</v>
      </c>
      <c r="G41" s="54"/>
      <c r="H41" s="15">
        <f>755513</f>
        <v>755513</v>
      </c>
      <c r="I41" s="55">
        <f>H41*$F$114</f>
        <v>449228.02980000002</v>
      </c>
      <c r="J41" s="15"/>
      <c r="K41" s="16">
        <f t="shared" si="3"/>
        <v>1204741.0298000001</v>
      </c>
    </row>
    <row r="42" spans="1:11" ht="18" customHeight="1">
      <c r="A42" s="5" t="s">
        <v>89</v>
      </c>
      <c r="B42" s="1" t="s">
        <v>11</v>
      </c>
      <c r="F42" s="54">
        <f>3752</f>
        <v>3752</v>
      </c>
      <c r="G42" s="54"/>
      <c r="H42" s="15">
        <f>159322</f>
        <v>159322</v>
      </c>
      <c r="I42" s="55">
        <f>H42*$F$114</f>
        <v>94732.861199999999</v>
      </c>
      <c r="J42" s="15">
        <f>59875</f>
        <v>59875</v>
      </c>
      <c r="K42" s="16">
        <f t="shared" si="3"/>
        <v>194179.86119999998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/>
      <c r="I43" s="55">
        <v>0</v>
      </c>
      <c r="J43" s="15"/>
      <c r="K43" s="16">
        <f t="shared" si="3"/>
        <v>0</v>
      </c>
    </row>
    <row r="44" spans="1:11" ht="18" customHeight="1">
      <c r="A44" s="5" t="s">
        <v>91</v>
      </c>
      <c r="B44" s="547"/>
      <c r="C44" s="548"/>
      <c r="D44" s="549"/>
      <c r="F44" s="82"/>
      <c r="G44" s="82"/>
      <c r="H44" s="82"/>
      <c r="I44" s="83">
        <v>0</v>
      </c>
      <c r="J44" s="82"/>
      <c r="K44" s="81">
        <f t="shared" si="3"/>
        <v>0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3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3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3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194448</v>
      </c>
      <c r="G49" s="23">
        <f t="shared" si="4"/>
        <v>0</v>
      </c>
      <c r="H49" s="16">
        <f t="shared" si="4"/>
        <v>6697027</v>
      </c>
      <c r="I49" s="16">
        <f t="shared" si="4"/>
        <v>3982052.2542000003</v>
      </c>
      <c r="J49" s="16">
        <f t="shared" si="4"/>
        <v>59875</v>
      </c>
      <c r="K49" s="16">
        <f t="shared" si="4"/>
        <v>10619204.254199998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 t="s">
        <v>582</v>
      </c>
      <c r="C53" s="559"/>
      <c r="D53" s="532"/>
      <c r="F53" s="54">
        <v>2080</v>
      </c>
      <c r="G53" s="54">
        <v>4215</v>
      </c>
      <c r="H53" s="15">
        <v>70346</v>
      </c>
      <c r="I53" s="55">
        <f>H53*$F$114</f>
        <v>41827.731599999999</v>
      </c>
      <c r="J53" s="15"/>
      <c r="K53" s="16">
        <f t="shared" ref="K53:K62" si="5">(H53+I53)-J53</f>
        <v>112173.7316</v>
      </c>
    </row>
    <row r="54" spans="1:11" ht="18" customHeight="1">
      <c r="A54" s="5" t="s">
        <v>93</v>
      </c>
      <c r="B54" s="281" t="s">
        <v>581</v>
      </c>
      <c r="C54" s="282"/>
      <c r="D54" s="283"/>
      <c r="F54" s="54">
        <v>3120</v>
      </c>
      <c r="G54" s="54">
        <v>1204</v>
      </c>
      <c r="H54" s="15">
        <v>136712</v>
      </c>
      <c r="I54" s="55">
        <f>H54*$F$114</f>
        <v>81288.955199999997</v>
      </c>
      <c r="J54" s="15"/>
      <c r="K54" s="16">
        <f t="shared" si="5"/>
        <v>218000.9552</v>
      </c>
    </row>
    <row r="55" spans="1:11" ht="18" customHeight="1">
      <c r="A55" s="5" t="s">
        <v>94</v>
      </c>
      <c r="B55" s="530" t="s">
        <v>580</v>
      </c>
      <c r="C55" s="531"/>
      <c r="D55" s="532"/>
      <c r="F55" s="54"/>
      <c r="G55" s="54"/>
      <c r="H55" s="15">
        <v>265710</v>
      </c>
      <c r="I55" s="55">
        <f>H55*$F$114</f>
        <v>157991.166</v>
      </c>
      <c r="J55" s="15">
        <v>167367</v>
      </c>
      <c r="K55" s="16">
        <f t="shared" si="5"/>
        <v>256334.16599999997</v>
      </c>
    </row>
    <row r="56" spans="1:11" ht="18" customHeight="1">
      <c r="A56" s="5" t="s">
        <v>95</v>
      </c>
      <c r="B56" s="530" t="s">
        <v>579</v>
      </c>
      <c r="C56" s="531"/>
      <c r="D56" s="532"/>
      <c r="F56" s="54" t="s">
        <v>740</v>
      </c>
      <c r="G56" s="54"/>
      <c r="H56" s="15">
        <v>90495</v>
      </c>
      <c r="I56" s="55">
        <v>0</v>
      </c>
      <c r="J56" s="15"/>
      <c r="K56" s="16">
        <f t="shared" si="5"/>
        <v>90495</v>
      </c>
    </row>
    <row r="57" spans="1:11" ht="18" customHeight="1">
      <c r="A57" s="5" t="s">
        <v>96</v>
      </c>
      <c r="B57" s="530"/>
      <c r="C57" s="531"/>
      <c r="D57" s="532"/>
      <c r="F57" s="54"/>
      <c r="G57" s="54"/>
      <c r="H57" s="15"/>
      <c r="I57" s="55">
        <v>0</v>
      </c>
      <c r="J57" s="15"/>
      <c r="K57" s="16">
        <f t="shared" si="5"/>
        <v>0</v>
      </c>
    </row>
    <row r="58" spans="1:11" ht="18" customHeight="1">
      <c r="A58" s="5" t="s">
        <v>97</v>
      </c>
      <c r="B58" s="281"/>
      <c r="C58" s="282"/>
      <c r="D58" s="283"/>
      <c r="F58" s="54"/>
      <c r="G58" s="54"/>
      <c r="H58" s="15"/>
      <c r="I58" s="55">
        <v>0</v>
      </c>
      <c r="J58" s="15"/>
      <c r="K58" s="16">
        <f t="shared" si="5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v>0</v>
      </c>
      <c r="J59" s="15"/>
      <c r="K59" s="16">
        <f t="shared" si="5"/>
        <v>0</v>
      </c>
    </row>
    <row r="60" spans="1:11" ht="18" customHeight="1">
      <c r="A60" s="5" t="s">
        <v>99</v>
      </c>
      <c r="B60" s="281"/>
      <c r="C60" s="282"/>
      <c r="D60" s="283"/>
      <c r="F60" s="54"/>
      <c r="G60" s="54"/>
      <c r="H60" s="15"/>
      <c r="I60" s="55">
        <v>0</v>
      </c>
      <c r="J60" s="15"/>
      <c r="K60" s="16">
        <f t="shared" si="5"/>
        <v>0</v>
      </c>
    </row>
    <row r="61" spans="1:11" ht="18" customHeight="1">
      <c r="A61" s="5" t="s">
        <v>100</v>
      </c>
      <c r="B61" s="281"/>
      <c r="C61" s="282"/>
      <c r="D61" s="283"/>
      <c r="F61" s="54"/>
      <c r="G61" s="54"/>
      <c r="H61" s="15"/>
      <c r="I61" s="55">
        <v>0</v>
      </c>
      <c r="J61" s="15"/>
      <c r="K61" s="16">
        <f t="shared" si="5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5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6">SUM(F53:F62)</f>
        <v>5200</v>
      </c>
      <c r="G64" s="18">
        <f t="shared" si="6"/>
        <v>5419</v>
      </c>
      <c r="H64" s="16">
        <f t="shared" si="6"/>
        <v>563263</v>
      </c>
      <c r="I64" s="16">
        <f t="shared" si="6"/>
        <v>281107.85279999999</v>
      </c>
      <c r="J64" s="16">
        <f t="shared" si="6"/>
        <v>167367</v>
      </c>
      <c r="K64" s="16">
        <f t="shared" si="6"/>
        <v>677003.85279999999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/>
      <c r="G68" s="51"/>
      <c r="H68" s="51"/>
      <c r="I68" s="55">
        <v>0</v>
      </c>
      <c r="J68" s="51"/>
      <c r="K68" s="16">
        <f>(H68+I68)-J68</f>
        <v>0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281" t="s">
        <v>578</v>
      </c>
      <c r="C70" s="282"/>
      <c r="D70" s="283"/>
      <c r="E70" s="2"/>
      <c r="F70" s="35"/>
      <c r="G70" s="35"/>
      <c r="H70" s="36">
        <f>313107</f>
        <v>313107</v>
      </c>
      <c r="I70" s="55">
        <f>H70*$F$114</f>
        <v>186173.4222</v>
      </c>
      <c r="J70" s="36"/>
      <c r="K70" s="16">
        <f>(H70+I70)-J70</f>
        <v>499280.42220000003</v>
      </c>
    </row>
    <row r="71" spans="1:11" ht="18" customHeight="1">
      <c r="A71" s="5" t="s">
        <v>179</v>
      </c>
      <c r="B71" s="281"/>
      <c r="C71" s="282"/>
      <c r="D71" s="283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287"/>
      <c r="C72" s="288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7">SUM(F68:F72)</f>
        <v>0</v>
      </c>
      <c r="G74" s="21">
        <f t="shared" si="7"/>
        <v>0</v>
      </c>
      <c r="H74" s="21">
        <f t="shared" si="7"/>
        <v>313107</v>
      </c>
      <c r="I74" s="53">
        <f t="shared" si="7"/>
        <v>186173.4222</v>
      </c>
      <c r="J74" s="21">
        <f t="shared" si="7"/>
        <v>0</v>
      </c>
      <c r="K74" s="56">
        <f t="shared" si="7"/>
        <v>499280.42220000003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>
        <v>5</v>
      </c>
      <c r="G77" s="54">
        <v>50</v>
      </c>
      <c r="H77" s="15">
        <v>18531.11</v>
      </c>
      <c r="I77" s="55">
        <v>0</v>
      </c>
      <c r="J77" s="15"/>
      <c r="K77" s="16">
        <f>(H77+I77)-J77</f>
        <v>18531.11</v>
      </c>
    </row>
    <row r="78" spans="1:11" ht="18" customHeight="1">
      <c r="A78" s="5" t="s">
        <v>108</v>
      </c>
      <c r="B78" s="1" t="s">
        <v>55</v>
      </c>
      <c r="F78" s="54"/>
      <c r="G78" s="54"/>
      <c r="H78" s="15"/>
      <c r="I78" s="55"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>
        <v>78</v>
      </c>
      <c r="G79" s="54">
        <v>386</v>
      </c>
      <c r="H79" s="15">
        <v>19843.87</v>
      </c>
      <c r="I79" s="55">
        <v>0</v>
      </c>
      <c r="J79" s="15"/>
      <c r="K79" s="16">
        <f>(H79+I79)-J79</f>
        <v>19843.87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8">SUM(F77:F80)</f>
        <v>83</v>
      </c>
      <c r="G82" s="21">
        <f t="shared" si="8"/>
        <v>436</v>
      </c>
      <c r="H82" s="56">
        <f t="shared" si="8"/>
        <v>38374.979999999996</v>
      </c>
      <c r="I82" s="56">
        <f t="shared" si="8"/>
        <v>0</v>
      </c>
      <c r="J82" s="56">
        <f t="shared" si="8"/>
        <v>0</v>
      </c>
      <c r="K82" s="56">
        <f t="shared" si="8"/>
        <v>38374.979999999996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f>H86*F$114</f>
        <v>0</v>
      </c>
      <c r="J86" s="15"/>
      <c r="K86" s="16">
        <f t="shared" ref="K86:K96" si="9">(H86+I86)-J86</f>
        <v>0</v>
      </c>
    </row>
    <row r="87" spans="1:11" ht="18" customHeight="1">
      <c r="A87" s="5" t="s">
        <v>114</v>
      </c>
      <c r="B87" s="1" t="s">
        <v>14</v>
      </c>
      <c r="F87" s="54"/>
      <c r="G87" s="54"/>
      <c r="H87" s="15"/>
      <c r="I87" s="55">
        <f>H87*F$114</f>
        <v>0</v>
      </c>
      <c r="J87" s="15"/>
      <c r="K87" s="16">
        <f t="shared" si="9"/>
        <v>0</v>
      </c>
    </row>
    <row r="88" spans="1:11" ht="18" customHeight="1">
      <c r="A88" s="5" t="s">
        <v>115</v>
      </c>
      <c r="B88" s="1" t="s">
        <v>116</v>
      </c>
      <c r="F88" s="54"/>
      <c r="G88" s="54"/>
      <c r="H88" s="15">
        <v>25000</v>
      </c>
      <c r="I88" s="55">
        <f>0</f>
        <v>0</v>
      </c>
      <c r="J88" s="15"/>
      <c r="K88" s="16">
        <f t="shared" si="9"/>
        <v>25000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>H89*F$114</f>
        <v>0</v>
      </c>
      <c r="J89" s="15"/>
      <c r="K89" s="16">
        <f t="shared" si="9"/>
        <v>0</v>
      </c>
    </row>
    <row r="90" spans="1:11" ht="18" customHeight="1">
      <c r="A90" s="5" t="s">
        <v>118</v>
      </c>
      <c r="B90" s="550" t="s">
        <v>59</v>
      </c>
      <c r="C90" s="551"/>
      <c r="F90" s="54"/>
      <c r="G90" s="54"/>
      <c r="H90" s="15"/>
      <c r="I90" s="55">
        <f>H90*F$114</f>
        <v>0</v>
      </c>
      <c r="J90" s="15"/>
      <c r="K90" s="16">
        <f t="shared" si="9"/>
        <v>0</v>
      </c>
    </row>
    <row r="91" spans="1:11" ht="18" customHeight="1">
      <c r="A91" s="5" t="s">
        <v>119</v>
      </c>
      <c r="B91" s="1" t="s">
        <v>60</v>
      </c>
      <c r="F91" s="54"/>
      <c r="G91" s="54"/>
      <c r="H91" s="15"/>
      <c r="I91" s="55">
        <f>H91*F$114</f>
        <v>0</v>
      </c>
      <c r="J91" s="15"/>
      <c r="K91" s="16">
        <f t="shared" si="9"/>
        <v>0</v>
      </c>
    </row>
    <row r="92" spans="1:11" ht="18" customHeight="1">
      <c r="A92" s="5" t="s">
        <v>120</v>
      </c>
      <c r="B92" s="1" t="s">
        <v>121</v>
      </c>
      <c r="F92" s="38"/>
      <c r="G92" s="38"/>
      <c r="H92" s="39">
        <v>35000</v>
      </c>
      <c r="I92" s="55">
        <f>0</f>
        <v>0</v>
      </c>
      <c r="J92" s="39"/>
      <c r="K92" s="16">
        <f t="shared" si="9"/>
        <v>35000</v>
      </c>
    </row>
    <row r="93" spans="1:11" ht="18" customHeight="1">
      <c r="A93" s="5" t="s">
        <v>122</v>
      </c>
      <c r="B93" s="1" t="s">
        <v>123</v>
      </c>
      <c r="F93" s="54"/>
      <c r="G93" s="54"/>
      <c r="H93" s="15">
        <v>100000</v>
      </c>
      <c r="I93" s="55">
        <f>0</f>
        <v>0</v>
      </c>
      <c r="J93" s="15"/>
      <c r="K93" s="16">
        <f t="shared" si="9"/>
        <v>100000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>
        <v>2500</v>
      </c>
      <c r="I94" s="55">
        <f>0</f>
        <v>0</v>
      </c>
      <c r="J94" s="15"/>
      <c r="K94" s="16">
        <f t="shared" si="9"/>
        <v>2500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>H95*F$114</f>
        <v>0</v>
      </c>
      <c r="J95" s="15"/>
      <c r="K95" s="16">
        <f t="shared" si="9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>H96*F$114</f>
        <v>0</v>
      </c>
      <c r="J96" s="15"/>
      <c r="K96" s="16">
        <f t="shared" si="9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0">SUM(F86:F96)</f>
        <v>0</v>
      </c>
      <c r="G98" s="18">
        <f t="shared" si="10"/>
        <v>0</v>
      </c>
      <c r="H98" s="18">
        <f t="shared" si="10"/>
        <v>162500</v>
      </c>
      <c r="I98" s="18">
        <f t="shared" si="10"/>
        <v>0</v>
      </c>
      <c r="J98" s="18">
        <f t="shared" si="10"/>
        <v>0</v>
      </c>
      <c r="K98" s="18">
        <f t="shared" si="10"/>
        <v>162500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/>
      <c r="G102" s="54"/>
      <c r="H102" s="15">
        <v>75925.72</v>
      </c>
      <c r="I102" s="55">
        <f>H102*F$114</f>
        <v>45145.433111999999</v>
      </c>
      <c r="J102" s="15"/>
      <c r="K102" s="16">
        <f>(H102+I102)-J102</f>
        <v>121071.153112</v>
      </c>
    </row>
    <row r="103" spans="1:11" ht="18" customHeight="1">
      <c r="A103" s="5" t="s">
        <v>132</v>
      </c>
      <c r="B103" s="550" t="s">
        <v>62</v>
      </c>
      <c r="C103" s="550"/>
      <c r="F103" s="54"/>
      <c r="G103" s="54"/>
      <c r="H103" s="15"/>
      <c r="I103" s="55">
        <f>H103*F$114</f>
        <v>0</v>
      </c>
      <c r="J103" s="15"/>
      <c r="K103" s="16">
        <f>(H103+I103)-J103</f>
        <v>0</v>
      </c>
    </row>
    <row r="104" spans="1:11" ht="18" customHeight="1">
      <c r="A104" s="5" t="s">
        <v>128</v>
      </c>
      <c r="B104" s="530"/>
      <c r="C104" s="531"/>
      <c r="D104" s="532"/>
      <c r="F104" s="54"/>
      <c r="G104" s="54"/>
      <c r="H104" s="15"/>
      <c r="I104" s="55">
        <f>H104*F$114</f>
        <v>0</v>
      </c>
      <c r="J104" s="15"/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1">SUM(F102:F106)</f>
        <v>0</v>
      </c>
      <c r="G108" s="18">
        <f t="shared" si="11"/>
        <v>0</v>
      </c>
      <c r="H108" s="16">
        <f t="shared" si="11"/>
        <v>75925.72</v>
      </c>
      <c r="I108" s="16">
        <f t="shared" si="11"/>
        <v>45145.433111999999</v>
      </c>
      <c r="J108" s="16">
        <f t="shared" si="11"/>
        <v>0</v>
      </c>
      <c r="K108" s="16">
        <f t="shared" si="11"/>
        <v>121071.153112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f>4891152</f>
        <v>4891152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f>0.5946</f>
        <v>0.59460000000000002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f>387959000</f>
        <v>387959000</v>
      </c>
    </row>
    <row r="118" spans="1:6" ht="18" customHeight="1">
      <c r="A118" s="5" t="s">
        <v>173</v>
      </c>
      <c r="B118" t="s">
        <v>18</v>
      </c>
      <c r="F118" s="15">
        <f>(14346000+4777000+208000)</f>
        <v>19331000</v>
      </c>
    </row>
    <row r="119" spans="1:6" ht="18" customHeight="1">
      <c r="A119" s="5" t="s">
        <v>174</v>
      </c>
      <c r="B119" s="2" t="s">
        <v>19</v>
      </c>
      <c r="F119" s="56">
        <f>SUM(F117:F118)</f>
        <v>407290000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f>394015000</f>
        <v>394015000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f>F119-F121</f>
        <v>13275000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f>5101000</f>
        <v>5101000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f>F123+F125</f>
        <v>18376000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2">SUM(F131:F135)</f>
        <v>0</v>
      </c>
      <c r="G137" s="18">
        <f t="shared" si="12"/>
        <v>0</v>
      </c>
      <c r="H137" s="16">
        <f t="shared" si="12"/>
        <v>0</v>
      </c>
      <c r="I137" s="16">
        <f t="shared" si="12"/>
        <v>0</v>
      </c>
      <c r="J137" s="16">
        <f t="shared" si="12"/>
        <v>0</v>
      </c>
      <c r="K137" s="16">
        <f t="shared" si="12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3">F36</f>
        <v>4677.8</v>
      </c>
      <c r="G141" s="41">
        <f t="shared" si="13"/>
        <v>25706</v>
      </c>
      <c r="H141" s="41">
        <f t="shared" si="13"/>
        <v>494665.66000000003</v>
      </c>
      <c r="I141" s="41">
        <f t="shared" si="13"/>
        <v>156252.353436</v>
      </c>
      <c r="J141" s="41">
        <f t="shared" si="13"/>
        <v>2958.61</v>
      </c>
      <c r="K141" s="41">
        <f t="shared" si="13"/>
        <v>647959.40343599999</v>
      </c>
    </row>
    <row r="142" spans="1:11" ht="18" customHeight="1">
      <c r="A142" s="5" t="s">
        <v>142</v>
      </c>
      <c r="B142" s="2" t="s">
        <v>65</v>
      </c>
      <c r="F142" s="41">
        <f t="shared" ref="F142:K142" si="14">F49</f>
        <v>194448</v>
      </c>
      <c r="G142" s="41">
        <f t="shared" si="14"/>
        <v>0</v>
      </c>
      <c r="H142" s="41">
        <f t="shared" si="14"/>
        <v>6697027</v>
      </c>
      <c r="I142" s="41">
        <f t="shared" si="14"/>
        <v>3982052.2542000003</v>
      </c>
      <c r="J142" s="41">
        <f t="shared" si="14"/>
        <v>59875</v>
      </c>
      <c r="K142" s="41">
        <f t="shared" si="14"/>
        <v>10619204.254199998</v>
      </c>
    </row>
    <row r="143" spans="1:11" ht="18" customHeight="1">
      <c r="A143" s="5" t="s">
        <v>144</v>
      </c>
      <c r="B143" s="2" t="s">
        <v>66</v>
      </c>
      <c r="F143" s="41">
        <f t="shared" ref="F143:K143" si="15">F64</f>
        <v>5200</v>
      </c>
      <c r="G143" s="41">
        <f t="shared" si="15"/>
        <v>5419</v>
      </c>
      <c r="H143" s="41">
        <f t="shared" si="15"/>
        <v>563263</v>
      </c>
      <c r="I143" s="41">
        <f t="shared" si="15"/>
        <v>281107.85279999999</v>
      </c>
      <c r="J143" s="41">
        <f t="shared" si="15"/>
        <v>167367</v>
      </c>
      <c r="K143" s="41">
        <f t="shared" si="15"/>
        <v>677003.85279999999</v>
      </c>
    </row>
    <row r="144" spans="1:11" ht="18" customHeight="1">
      <c r="A144" s="5" t="s">
        <v>146</v>
      </c>
      <c r="B144" s="2" t="s">
        <v>67</v>
      </c>
      <c r="F144" s="41">
        <f t="shared" ref="F144:K144" si="16">F74</f>
        <v>0</v>
      </c>
      <c r="G144" s="41">
        <f t="shared" si="16"/>
        <v>0</v>
      </c>
      <c r="H144" s="41">
        <f t="shared" si="16"/>
        <v>313107</v>
      </c>
      <c r="I144" s="41">
        <f t="shared" si="16"/>
        <v>186173.4222</v>
      </c>
      <c r="J144" s="41">
        <f t="shared" si="16"/>
        <v>0</v>
      </c>
      <c r="K144" s="41">
        <f t="shared" si="16"/>
        <v>499280.42220000003</v>
      </c>
    </row>
    <row r="145" spans="1:11" ht="18" customHeight="1">
      <c r="A145" s="5" t="s">
        <v>148</v>
      </c>
      <c r="B145" s="2" t="s">
        <v>68</v>
      </c>
      <c r="F145" s="41">
        <f t="shared" ref="F145:K145" si="17">F82</f>
        <v>83</v>
      </c>
      <c r="G145" s="41">
        <f t="shared" si="17"/>
        <v>436</v>
      </c>
      <c r="H145" s="41">
        <f t="shared" si="17"/>
        <v>38374.979999999996</v>
      </c>
      <c r="I145" s="41">
        <f t="shared" si="17"/>
        <v>0</v>
      </c>
      <c r="J145" s="41">
        <f t="shared" si="17"/>
        <v>0</v>
      </c>
      <c r="K145" s="41">
        <f t="shared" si="17"/>
        <v>38374.979999999996</v>
      </c>
    </row>
    <row r="146" spans="1:11" ht="18" customHeight="1">
      <c r="A146" s="5" t="s">
        <v>150</v>
      </c>
      <c r="B146" s="2" t="s">
        <v>69</v>
      </c>
      <c r="F146" s="41">
        <f t="shared" ref="F146:K146" si="18">F98</f>
        <v>0</v>
      </c>
      <c r="G146" s="41">
        <f t="shared" si="18"/>
        <v>0</v>
      </c>
      <c r="H146" s="41">
        <f t="shared" si="18"/>
        <v>162500</v>
      </c>
      <c r="I146" s="41">
        <f t="shared" si="18"/>
        <v>0</v>
      </c>
      <c r="J146" s="41">
        <f t="shared" si="18"/>
        <v>0</v>
      </c>
      <c r="K146" s="41">
        <f t="shared" si="18"/>
        <v>162500</v>
      </c>
    </row>
    <row r="147" spans="1:11" ht="18" customHeight="1">
      <c r="A147" s="5" t="s">
        <v>153</v>
      </c>
      <c r="B147" s="2" t="s">
        <v>61</v>
      </c>
      <c r="F147" s="18">
        <f t="shared" ref="F147:K147" si="19">F108</f>
        <v>0</v>
      </c>
      <c r="G147" s="18">
        <f t="shared" si="19"/>
        <v>0</v>
      </c>
      <c r="H147" s="18">
        <f t="shared" si="19"/>
        <v>75925.72</v>
      </c>
      <c r="I147" s="18">
        <f t="shared" si="19"/>
        <v>45145.433111999999</v>
      </c>
      <c r="J147" s="18">
        <f t="shared" si="19"/>
        <v>0</v>
      </c>
      <c r="K147" s="18">
        <f t="shared" si="19"/>
        <v>121071.153112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4891152</v>
      </c>
    </row>
    <row r="149" spans="1:11" ht="18" customHeight="1">
      <c r="A149" s="5" t="s">
        <v>163</v>
      </c>
      <c r="B149" s="2" t="s">
        <v>71</v>
      </c>
      <c r="F149" s="18">
        <f t="shared" ref="F149:K149" si="20">F137</f>
        <v>0</v>
      </c>
      <c r="G149" s="18">
        <f t="shared" si="20"/>
        <v>0</v>
      </c>
      <c r="H149" s="18">
        <f t="shared" si="20"/>
        <v>0</v>
      </c>
      <c r="I149" s="18">
        <f t="shared" si="20"/>
        <v>0</v>
      </c>
      <c r="J149" s="18">
        <f t="shared" si="20"/>
        <v>0</v>
      </c>
      <c r="K149" s="18">
        <f t="shared" si="20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11391381</v>
      </c>
      <c r="I150" s="18">
        <f>I18</f>
        <v>0</v>
      </c>
      <c r="J150" s="18">
        <f>J18</f>
        <v>9741055</v>
      </c>
      <c r="K150" s="18">
        <f>K18</f>
        <v>1650326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1">SUM(F141:F150)</f>
        <v>204408.8</v>
      </c>
      <c r="G152" s="49">
        <f t="shared" si="21"/>
        <v>31561</v>
      </c>
      <c r="H152" s="49">
        <f t="shared" si="21"/>
        <v>19736244.359999999</v>
      </c>
      <c r="I152" s="49">
        <f t="shared" si="21"/>
        <v>4650731.3157480005</v>
      </c>
      <c r="J152" s="49">
        <f t="shared" si="21"/>
        <v>9971255.6099999994</v>
      </c>
      <c r="K152" s="49">
        <f t="shared" si="21"/>
        <v>19306872.065747999</v>
      </c>
    </row>
    <row r="154" spans="1:11" ht="18" customHeight="1">
      <c r="A154" s="6" t="s">
        <v>168</v>
      </c>
      <c r="B154" s="2" t="s">
        <v>28</v>
      </c>
      <c r="F154" s="64">
        <f>K152/F121</f>
        <v>4.9000347869365378E-2</v>
      </c>
    </row>
    <row r="155" spans="1:11" ht="18" customHeight="1">
      <c r="A155" s="6" t="s">
        <v>169</v>
      </c>
      <c r="B155" s="2" t="s">
        <v>72</v>
      </c>
      <c r="F155" s="64">
        <f>K152/F127</f>
        <v>1.0506569474177188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B134:D134"/>
    <mergeCell ref="B135:D135"/>
    <mergeCell ref="B133:D133"/>
    <mergeCell ref="B104:D104"/>
    <mergeCell ref="B105:D105"/>
    <mergeCell ref="B106:D106"/>
    <mergeCell ref="B62:D62"/>
    <mergeCell ref="B31:D31"/>
    <mergeCell ref="B103:C103"/>
    <mergeCell ref="B96:D96"/>
    <mergeCell ref="B95:D95"/>
    <mergeCell ref="B57:D57"/>
    <mergeCell ref="B94:D94"/>
    <mergeCell ref="B52:C52"/>
    <mergeCell ref="B90:C90"/>
    <mergeCell ref="B53:D53"/>
    <mergeCell ref="B55:D55"/>
    <mergeCell ref="B56:D56"/>
    <mergeCell ref="B59:D59"/>
    <mergeCell ref="D2:H2"/>
    <mergeCell ref="B45:D45"/>
    <mergeCell ref="B46:D46"/>
    <mergeCell ref="B47:D47"/>
    <mergeCell ref="B34:D34"/>
    <mergeCell ref="C11:G11"/>
    <mergeCell ref="B41:C41"/>
    <mergeCell ref="B44:D44"/>
    <mergeCell ref="B13:H13"/>
    <mergeCell ref="C5:G5"/>
    <mergeCell ref="C6:G6"/>
    <mergeCell ref="C7:G7"/>
    <mergeCell ref="C9:G9"/>
    <mergeCell ref="C10:G10"/>
    <mergeCell ref="B30:D30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view="pageBreakPreview" zoomScale="88" zoomScaleNormal="60" zoomScaleSheetLayoutView="88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461</v>
      </c>
      <c r="D5" s="534"/>
      <c r="E5" s="534"/>
      <c r="F5" s="534"/>
      <c r="G5" s="535"/>
    </row>
    <row r="6" spans="1:11" ht="18" customHeight="1">
      <c r="B6" s="5" t="s">
        <v>3</v>
      </c>
      <c r="C6" s="655">
        <v>6</v>
      </c>
      <c r="D6" s="656"/>
      <c r="E6" s="656"/>
      <c r="F6" s="656"/>
      <c r="G6" s="657"/>
    </row>
    <row r="7" spans="1:11" ht="18" customHeight="1">
      <c r="B7" s="5" t="s">
        <v>4</v>
      </c>
      <c r="C7" s="640">
        <v>842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460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459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458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2926988</v>
      </c>
      <c r="I18" s="55">
        <v>0</v>
      </c>
      <c r="J18" s="15">
        <v>2502941</v>
      </c>
      <c r="K18" s="16">
        <f>(H18+I18)-J18</f>
        <v>424047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158</v>
      </c>
      <c r="G21" s="54">
        <v>2394</v>
      </c>
      <c r="H21" s="15">
        <v>397040</v>
      </c>
      <c r="I21" s="55">
        <f t="shared" ref="I21:I34" si="0">H21*F$114</f>
        <v>267644.66399999999</v>
      </c>
      <c r="J21" s="15">
        <v>393</v>
      </c>
      <c r="K21" s="16">
        <f t="shared" ref="K21:K34" si="1">(H21+I21)-J21</f>
        <v>664291.66399999999</v>
      </c>
    </row>
    <row r="22" spans="1:11" ht="18" customHeight="1">
      <c r="A22" s="5" t="s">
        <v>76</v>
      </c>
      <c r="B22" t="s">
        <v>6</v>
      </c>
      <c r="F22" s="54">
        <v>413</v>
      </c>
      <c r="G22" s="54">
        <v>1588</v>
      </c>
      <c r="H22" s="15">
        <v>20135</v>
      </c>
      <c r="I22" s="55">
        <f t="shared" si="0"/>
        <v>13573.003500000001</v>
      </c>
      <c r="J22" s="15">
        <v>0</v>
      </c>
      <c r="K22" s="16">
        <f t="shared" si="1"/>
        <v>33708.003499999999</v>
      </c>
    </row>
    <row r="23" spans="1:11" ht="18" customHeight="1">
      <c r="A23" s="5" t="s">
        <v>77</v>
      </c>
      <c r="B23" t="s">
        <v>43</v>
      </c>
      <c r="F23" s="54"/>
      <c r="G23" s="54"/>
      <c r="H23" s="15">
        <v>11936</v>
      </c>
      <c r="I23" s="55">
        <f t="shared" si="0"/>
        <v>8046.0576000000001</v>
      </c>
      <c r="J23" s="15">
        <v>0</v>
      </c>
      <c r="K23" s="16">
        <f t="shared" si="1"/>
        <v>19982.0576</v>
      </c>
    </row>
    <row r="24" spans="1:11" ht="18" customHeight="1">
      <c r="A24" s="5" t="s">
        <v>78</v>
      </c>
      <c r="B24" t="s">
        <v>44</v>
      </c>
      <c r="F24" s="54"/>
      <c r="G24" s="54"/>
      <c r="H24" s="15"/>
      <c r="I24" s="55">
        <f t="shared" si="0"/>
        <v>0</v>
      </c>
      <c r="J24" s="15"/>
      <c r="K24" s="16">
        <f t="shared" si="1"/>
        <v>0</v>
      </c>
    </row>
    <row r="25" spans="1:11" ht="18" customHeight="1">
      <c r="A25" s="5" t="s">
        <v>79</v>
      </c>
      <c r="B25" t="s">
        <v>5</v>
      </c>
      <c r="F25" s="54">
        <v>198</v>
      </c>
      <c r="G25" s="54">
        <v>4688</v>
      </c>
      <c r="H25" s="15">
        <v>32736</v>
      </c>
      <c r="I25" s="55">
        <f t="shared" si="0"/>
        <v>22067.337600000003</v>
      </c>
      <c r="J25" s="15">
        <v>1958</v>
      </c>
      <c r="K25" s="16">
        <f t="shared" si="1"/>
        <v>52845.337599999999</v>
      </c>
    </row>
    <row r="26" spans="1:11" ht="18" customHeight="1">
      <c r="A26" s="5" t="s">
        <v>80</v>
      </c>
      <c r="B26" t="s">
        <v>45</v>
      </c>
      <c r="F26" s="54"/>
      <c r="G26" s="54"/>
      <c r="H26" s="15">
        <v>10867</v>
      </c>
      <c r="I26" s="55">
        <f t="shared" si="0"/>
        <v>7325.4447</v>
      </c>
      <c r="J26" s="15">
        <v>4463</v>
      </c>
      <c r="K26" s="16">
        <f t="shared" si="1"/>
        <v>13729.4447</v>
      </c>
    </row>
    <row r="27" spans="1:11" ht="18" customHeight="1">
      <c r="A27" s="5" t="s">
        <v>81</v>
      </c>
      <c r="B27" t="s">
        <v>46</v>
      </c>
      <c r="F27" s="54"/>
      <c r="G27" s="54"/>
      <c r="H27" s="15">
        <v>22322</v>
      </c>
      <c r="I27" s="55">
        <f t="shared" si="0"/>
        <v>15047.260200000001</v>
      </c>
      <c r="J27" s="15">
        <v>20318</v>
      </c>
      <c r="K27" s="16">
        <f t="shared" si="1"/>
        <v>17051.260200000004</v>
      </c>
    </row>
    <row r="28" spans="1:11" ht="18" customHeight="1">
      <c r="A28" s="5" t="s">
        <v>82</v>
      </c>
      <c r="B28" t="s">
        <v>47</v>
      </c>
      <c r="F28" s="54"/>
      <c r="G28" s="54"/>
      <c r="H28" s="15">
        <v>2622</v>
      </c>
      <c r="I28" s="55">
        <f t="shared" si="0"/>
        <v>1767.4902000000002</v>
      </c>
      <c r="J28" s="15">
        <v>0</v>
      </c>
      <c r="K28" s="16">
        <f t="shared" si="1"/>
        <v>4389.4902000000002</v>
      </c>
    </row>
    <row r="29" spans="1:11" ht="18" customHeight="1">
      <c r="A29" s="5" t="s">
        <v>83</v>
      </c>
      <c r="B29" t="s">
        <v>48</v>
      </c>
      <c r="F29" s="54">
        <v>219</v>
      </c>
      <c r="G29" s="54">
        <v>14</v>
      </c>
      <c r="H29" s="15">
        <v>12689</v>
      </c>
      <c r="I29" s="55">
        <f t="shared" si="0"/>
        <v>8553.6548999999995</v>
      </c>
      <c r="J29" s="15">
        <v>0</v>
      </c>
      <c r="K29" s="16">
        <f t="shared" si="1"/>
        <v>21242.654900000001</v>
      </c>
    </row>
    <row r="30" spans="1:11" ht="18" customHeight="1">
      <c r="A30" s="5" t="s">
        <v>84</v>
      </c>
      <c r="B30" s="547" t="s">
        <v>457</v>
      </c>
      <c r="C30" s="548"/>
      <c r="D30" s="549"/>
      <c r="F30" s="54"/>
      <c r="G30" s="54">
        <v>26</v>
      </c>
      <c r="H30" s="15">
        <v>225</v>
      </c>
      <c r="I30" s="55">
        <f t="shared" si="0"/>
        <v>151.67250000000001</v>
      </c>
      <c r="J30" s="15">
        <v>0</v>
      </c>
      <c r="K30" s="16">
        <f t="shared" si="1"/>
        <v>376.67250000000001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 t="shared" si="0"/>
        <v>0</v>
      </c>
      <c r="J31" s="15"/>
      <c r="K31" s="16">
        <f t="shared" si="1"/>
        <v>0</v>
      </c>
    </row>
    <row r="32" spans="1:11" ht="18" customHeight="1">
      <c r="A32" s="5" t="s">
        <v>134</v>
      </c>
      <c r="B32" s="73"/>
      <c r="C32" s="74"/>
      <c r="D32" s="75"/>
      <c r="F32" s="54"/>
      <c r="G32" s="52" t="s">
        <v>85</v>
      </c>
      <c r="H32" s="15"/>
      <c r="I32" s="55">
        <f t="shared" si="0"/>
        <v>0</v>
      </c>
      <c r="J32" s="15"/>
      <c r="K32" s="16">
        <f t="shared" si="1"/>
        <v>0</v>
      </c>
    </row>
    <row r="33" spans="1:11" ht="18" customHeight="1">
      <c r="A33" s="5" t="s">
        <v>135</v>
      </c>
      <c r="B33" s="73"/>
      <c r="C33" s="74"/>
      <c r="D33" s="75"/>
      <c r="F33" s="54"/>
      <c r="G33" s="52" t="s">
        <v>85</v>
      </c>
      <c r="H33" s="15"/>
      <c r="I33" s="55">
        <f t="shared" si="0"/>
        <v>0</v>
      </c>
      <c r="J33" s="15"/>
      <c r="K33" s="16">
        <f t="shared" si="1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 t="shared" si="0"/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988</v>
      </c>
      <c r="G36" s="18">
        <f t="shared" si="2"/>
        <v>8710</v>
      </c>
      <c r="H36" s="18">
        <f t="shared" si="2"/>
        <v>510572</v>
      </c>
      <c r="I36" s="16">
        <f t="shared" si="2"/>
        <v>344176.58520000003</v>
      </c>
      <c r="J36" s="16">
        <f t="shared" si="2"/>
        <v>27132</v>
      </c>
      <c r="K36" s="16">
        <f t="shared" si="2"/>
        <v>827616.58519999986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>
        <v>22</v>
      </c>
      <c r="G40" s="54">
        <v>12</v>
      </c>
      <c r="H40" s="15">
        <v>3989</v>
      </c>
      <c r="I40" s="55">
        <v>0</v>
      </c>
      <c r="J40" s="15">
        <v>0</v>
      </c>
      <c r="K40" s="16">
        <f t="shared" ref="K40:K47" si="3">(H40+I40)-J40</f>
        <v>3989</v>
      </c>
    </row>
    <row r="41" spans="1:11" ht="18" customHeight="1">
      <c r="A41" s="5" t="s">
        <v>88</v>
      </c>
      <c r="B41" s="550" t="s">
        <v>50</v>
      </c>
      <c r="C41" s="551"/>
      <c r="F41" s="54">
        <v>2351</v>
      </c>
      <c r="G41" s="54">
        <v>0</v>
      </c>
      <c r="H41" s="15">
        <v>87401</v>
      </c>
      <c r="I41" s="55">
        <v>0</v>
      </c>
      <c r="J41" s="15">
        <v>0</v>
      </c>
      <c r="K41" s="16">
        <f t="shared" si="3"/>
        <v>87401</v>
      </c>
    </row>
    <row r="42" spans="1:11" ht="18" customHeight="1">
      <c r="A42" s="5" t="s">
        <v>89</v>
      </c>
      <c r="B42" s="1" t="s">
        <v>11</v>
      </c>
      <c r="F42" s="54">
        <v>3849</v>
      </c>
      <c r="G42" s="54">
        <v>163</v>
      </c>
      <c r="H42" s="15">
        <v>128459</v>
      </c>
      <c r="I42" s="55">
        <v>0</v>
      </c>
      <c r="J42" s="15">
        <v>0</v>
      </c>
      <c r="K42" s="16">
        <f t="shared" si="3"/>
        <v>128459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/>
      <c r="I43" s="55">
        <v>0</v>
      </c>
      <c r="J43" s="15"/>
      <c r="K43" s="16">
        <f t="shared" si="3"/>
        <v>0</v>
      </c>
    </row>
    <row r="44" spans="1:11" ht="18" customHeight="1">
      <c r="A44" s="5" t="s">
        <v>91</v>
      </c>
      <c r="B44" s="547"/>
      <c r="C44" s="548"/>
      <c r="D44" s="549"/>
      <c r="F44" s="82"/>
      <c r="G44" s="82"/>
      <c r="H44" s="82"/>
      <c r="I44" s="83">
        <v>0</v>
      </c>
      <c r="J44" s="82"/>
      <c r="K44" s="81">
        <f t="shared" si="3"/>
        <v>0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3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3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3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6222</v>
      </c>
      <c r="G49" s="23">
        <f t="shared" si="4"/>
        <v>175</v>
      </c>
      <c r="H49" s="16">
        <f t="shared" si="4"/>
        <v>219849</v>
      </c>
      <c r="I49" s="16">
        <f t="shared" si="4"/>
        <v>0</v>
      </c>
      <c r="J49" s="16">
        <f t="shared" si="4"/>
        <v>0</v>
      </c>
      <c r="K49" s="16">
        <f t="shared" si="4"/>
        <v>219849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 t="s">
        <v>456</v>
      </c>
      <c r="C53" s="559"/>
      <c r="D53" s="532"/>
      <c r="F53" s="54"/>
      <c r="G53" s="54"/>
      <c r="H53" s="15">
        <v>695425</v>
      </c>
      <c r="I53" s="55">
        <v>0</v>
      </c>
      <c r="J53" s="15"/>
      <c r="K53" s="16">
        <f t="shared" ref="K53:K62" si="5">(H53+I53)-J53</f>
        <v>695425</v>
      </c>
    </row>
    <row r="54" spans="1:11" ht="18" customHeight="1">
      <c r="A54" s="5" t="s">
        <v>93</v>
      </c>
      <c r="B54" s="76" t="s">
        <v>455</v>
      </c>
      <c r="C54" s="77"/>
      <c r="D54" s="78"/>
      <c r="F54" s="54"/>
      <c r="G54" s="54"/>
      <c r="H54" s="15">
        <v>1300000</v>
      </c>
      <c r="I54" s="55">
        <v>0</v>
      </c>
      <c r="J54" s="15"/>
      <c r="K54" s="16">
        <f t="shared" si="5"/>
        <v>1300000</v>
      </c>
    </row>
    <row r="55" spans="1:11" ht="18" customHeight="1">
      <c r="A55" s="5" t="s">
        <v>94</v>
      </c>
      <c r="B55" s="530"/>
      <c r="C55" s="531"/>
      <c r="D55" s="532"/>
      <c r="F55" s="54"/>
      <c r="G55" s="54"/>
      <c r="H55" s="15"/>
      <c r="I55" s="55">
        <v>0</v>
      </c>
      <c r="J55" s="15"/>
      <c r="K55" s="16">
        <f t="shared" si="5"/>
        <v>0</v>
      </c>
    </row>
    <row r="56" spans="1:11" ht="18" customHeight="1">
      <c r="A56" s="5" t="s">
        <v>95</v>
      </c>
      <c r="B56" s="530"/>
      <c r="C56" s="531"/>
      <c r="D56" s="532"/>
      <c r="F56" s="54" t="s">
        <v>740</v>
      </c>
      <c r="G56" s="54"/>
      <c r="H56" s="15"/>
      <c r="I56" s="55">
        <v>0</v>
      </c>
      <c r="J56" s="15"/>
      <c r="K56" s="16">
        <f t="shared" si="5"/>
        <v>0</v>
      </c>
    </row>
    <row r="57" spans="1:11" ht="18" customHeight="1">
      <c r="A57" s="5" t="s">
        <v>96</v>
      </c>
      <c r="B57" s="530"/>
      <c r="C57" s="531"/>
      <c r="D57" s="532"/>
      <c r="F57" s="54"/>
      <c r="G57" s="54"/>
      <c r="H57" s="15"/>
      <c r="I57" s="55">
        <v>0</v>
      </c>
      <c r="J57" s="15"/>
      <c r="K57" s="16">
        <f t="shared" si="5"/>
        <v>0</v>
      </c>
    </row>
    <row r="58" spans="1:11" ht="18" customHeight="1">
      <c r="A58" s="5" t="s">
        <v>97</v>
      </c>
      <c r="B58" s="76"/>
      <c r="C58" s="77"/>
      <c r="D58" s="78"/>
      <c r="F58" s="54"/>
      <c r="G58" s="54"/>
      <c r="H58" s="15"/>
      <c r="I58" s="55">
        <v>0</v>
      </c>
      <c r="J58" s="15"/>
      <c r="K58" s="16">
        <f t="shared" si="5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v>0</v>
      </c>
      <c r="J59" s="15"/>
      <c r="K59" s="16">
        <f t="shared" si="5"/>
        <v>0</v>
      </c>
    </row>
    <row r="60" spans="1:11" ht="18" customHeight="1">
      <c r="A60" s="5" t="s">
        <v>99</v>
      </c>
      <c r="B60" s="76"/>
      <c r="C60" s="77"/>
      <c r="D60" s="78"/>
      <c r="F60" s="54"/>
      <c r="G60" s="54"/>
      <c r="H60" s="15"/>
      <c r="I60" s="55">
        <v>0</v>
      </c>
      <c r="J60" s="15"/>
      <c r="K60" s="16">
        <f t="shared" si="5"/>
        <v>0</v>
      </c>
    </row>
    <row r="61" spans="1:11" ht="18" customHeight="1">
      <c r="A61" s="5" t="s">
        <v>100</v>
      </c>
      <c r="B61" s="76"/>
      <c r="C61" s="77"/>
      <c r="D61" s="78"/>
      <c r="F61" s="54"/>
      <c r="G61" s="54"/>
      <c r="H61" s="15"/>
      <c r="I61" s="55">
        <v>0</v>
      </c>
      <c r="J61" s="15"/>
      <c r="K61" s="16">
        <f t="shared" si="5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5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6">SUM(F53:F62)</f>
        <v>0</v>
      </c>
      <c r="G64" s="18">
        <f t="shared" si="6"/>
        <v>0</v>
      </c>
      <c r="H64" s="16">
        <f t="shared" si="6"/>
        <v>1995425</v>
      </c>
      <c r="I64" s="16">
        <f t="shared" si="6"/>
        <v>0</v>
      </c>
      <c r="J64" s="16">
        <f t="shared" si="6"/>
        <v>0</v>
      </c>
      <c r="K64" s="16">
        <f t="shared" si="6"/>
        <v>1995425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>
        <v>92</v>
      </c>
      <c r="G68" s="51">
        <v>5</v>
      </c>
      <c r="H68" s="51">
        <v>9443</v>
      </c>
      <c r="I68" s="55">
        <f>H68*F$114</f>
        <v>6365.5263000000004</v>
      </c>
      <c r="J68" s="51">
        <v>0</v>
      </c>
      <c r="K68" s="16">
        <f>(H68+I68)-J68</f>
        <v>15808.526300000001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76"/>
      <c r="C70" s="77"/>
      <c r="D70" s="78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76"/>
      <c r="C71" s="77"/>
      <c r="D71" s="78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79"/>
      <c r="C72" s="80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7">SUM(F68:F72)</f>
        <v>92</v>
      </c>
      <c r="G74" s="21">
        <f t="shared" si="7"/>
        <v>5</v>
      </c>
      <c r="H74" s="21">
        <f t="shared" si="7"/>
        <v>9443</v>
      </c>
      <c r="I74" s="53">
        <f t="shared" si="7"/>
        <v>6365.5263000000004</v>
      </c>
      <c r="J74" s="21">
        <f t="shared" si="7"/>
        <v>0</v>
      </c>
      <c r="K74" s="56">
        <f t="shared" si="7"/>
        <v>15808.526300000001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/>
      <c r="G77" s="54"/>
      <c r="H77" s="15"/>
      <c r="I77" s="55">
        <v>0</v>
      </c>
      <c r="J77" s="15"/>
      <c r="K77" s="16">
        <f>(H77+I77)-J77</f>
        <v>0</v>
      </c>
    </row>
    <row r="78" spans="1:11" ht="18" customHeight="1">
      <c r="A78" s="5" t="s">
        <v>108</v>
      </c>
      <c r="B78" s="1" t="s">
        <v>55</v>
      </c>
      <c r="F78" s="54"/>
      <c r="G78" s="54"/>
      <c r="H78" s="15">
        <v>70728</v>
      </c>
      <c r="I78" s="55">
        <f>H78*0.05</f>
        <v>3536.4</v>
      </c>
      <c r="J78" s="15">
        <v>0</v>
      </c>
      <c r="K78" s="16">
        <f>(H78+I78)-J78</f>
        <v>74264.399999999994</v>
      </c>
    </row>
    <row r="79" spans="1:11" ht="18" customHeight="1">
      <c r="A79" s="5" t="s">
        <v>109</v>
      </c>
      <c r="B79" s="1" t="s">
        <v>13</v>
      </c>
      <c r="F79" s="54">
        <v>168</v>
      </c>
      <c r="G79" s="54">
        <v>8</v>
      </c>
      <c r="H79" s="15">
        <v>39578</v>
      </c>
      <c r="I79" s="55">
        <v>0</v>
      </c>
      <c r="J79" s="15">
        <v>0</v>
      </c>
      <c r="K79" s="16">
        <f>(H79+I79)-J79</f>
        <v>39578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8">SUM(F77:F80)</f>
        <v>168</v>
      </c>
      <c r="G82" s="21">
        <f t="shared" si="8"/>
        <v>8</v>
      </c>
      <c r="H82" s="56">
        <f t="shared" si="8"/>
        <v>110306</v>
      </c>
      <c r="I82" s="56">
        <f t="shared" si="8"/>
        <v>3536.4</v>
      </c>
      <c r="J82" s="56">
        <f t="shared" si="8"/>
        <v>0</v>
      </c>
      <c r="K82" s="56">
        <f t="shared" si="8"/>
        <v>113842.4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f t="shared" ref="I86:I96" si="9">H86*F$114</f>
        <v>0</v>
      </c>
      <c r="J86" s="15"/>
      <c r="K86" s="16">
        <f t="shared" ref="K86:K96" si="10">(H86+I86)-J86</f>
        <v>0</v>
      </c>
    </row>
    <row r="87" spans="1:11" ht="18" customHeight="1">
      <c r="A87" s="5" t="s">
        <v>114</v>
      </c>
      <c r="B87" s="1" t="s">
        <v>14</v>
      </c>
      <c r="F87" s="54"/>
      <c r="G87" s="54"/>
      <c r="H87" s="15"/>
      <c r="I87" s="55">
        <f t="shared" si="9"/>
        <v>0</v>
      </c>
      <c r="J87" s="15"/>
      <c r="K87" s="16">
        <f t="shared" si="10"/>
        <v>0</v>
      </c>
    </row>
    <row r="88" spans="1:11" ht="18" customHeight="1">
      <c r="A88" s="5" t="s">
        <v>115</v>
      </c>
      <c r="B88" s="1" t="s">
        <v>116</v>
      </c>
      <c r="F88" s="54"/>
      <c r="G88" s="54"/>
      <c r="H88" s="15">
        <v>28177</v>
      </c>
      <c r="I88" s="55">
        <f t="shared" si="9"/>
        <v>18994.115700000002</v>
      </c>
      <c r="J88" s="15">
        <v>0</v>
      </c>
      <c r="K88" s="16">
        <f t="shared" si="10"/>
        <v>47171.115700000002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 t="shared" si="9"/>
        <v>0</v>
      </c>
      <c r="J89" s="15"/>
      <c r="K89" s="16">
        <f t="shared" si="10"/>
        <v>0</v>
      </c>
    </row>
    <row r="90" spans="1:11" ht="18" customHeight="1">
      <c r="A90" s="5" t="s">
        <v>118</v>
      </c>
      <c r="B90" s="550" t="s">
        <v>59</v>
      </c>
      <c r="C90" s="551"/>
      <c r="F90" s="54">
        <v>12</v>
      </c>
      <c r="G90" s="54">
        <v>14</v>
      </c>
      <c r="H90" s="15">
        <v>921</v>
      </c>
      <c r="I90" s="55">
        <f t="shared" si="9"/>
        <v>620.84609999999998</v>
      </c>
      <c r="J90" s="15">
        <v>0</v>
      </c>
      <c r="K90" s="16">
        <f t="shared" si="10"/>
        <v>1541.8461</v>
      </c>
    </row>
    <row r="91" spans="1:11" ht="18" customHeight="1">
      <c r="A91" s="5" t="s">
        <v>119</v>
      </c>
      <c r="B91" s="1" t="s">
        <v>60</v>
      </c>
      <c r="F91" s="54">
        <v>79</v>
      </c>
      <c r="G91" s="54">
        <v>0</v>
      </c>
      <c r="H91" s="15">
        <v>3977</v>
      </c>
      <c r="I91" s="55">
        <f t="shared" si="9"/>
        <v>2680.8957</v>
      </c>
      <c r="J91" s="15">
        <v>0</v>
      </c>
      <c r="K91" s="16">
        <f t="shared" si="10"/>
        <v>6657.8957</v>
      </c>
    </row>
    <row r="92" spans="1:11" ht="18" customHeight="1">
      <c r="A92" s="5" t="s">
        <v>120</v>
      </c>
      <c r="B92" s="1" t="s">
        <v>121</v>
      </c>
      <c r="F92" s="38"/>
      <c r="G92" s="38"/>
      <c r="H92" s="39"/>
      <c r="I92" s="55">
        <f t="shared" si="9"/>
        <v>0</v>
      </c>
      <c r="J92" s="39"/>
      <c r="K92" s="16">
        <f t="shared" si="10"/>
        <v>0</v>
      </c>
    </row>
    <row r="93" spans="1:11" ht="18" customHeight="1">
      <c r="A93" s="5" t="s">
        <v>122</v>
      </c>
      <c r="B93" s="1" t="s">
        <v>123</v>
      </c>
      <c r="F93" s="54">
        <v>36</v>
      </c>
      <c r="G93" s="54">
        <v>0</v>
      </c>
      <c r="H93" s="15">
        <v>1605</v>
      </c>
      <c r="I93" s="55">
        <f t="shared" si="9"/>
        <v>1081.9305000000002</v>
      </c>
      <c r="J93" s="15">
        <v>0</v>
      </c>
      <c r="K93" s="16">
        <f t="shared" si="10"/>
        <v>2686.9305000000004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f t="shared" si="9"/>
        <v>0</v>
      </c>
      <c r="J94" s="15"/>
      <c r="K94" s="16">
        <f t="shared" si="10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9"/>
        <v>0</v>
      </c>
      <c r="J95" s="15"/>
      <c r="K95" s="16">
        <f t="shared" si="10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9"/>
        <v>0</v>
      </c>
      <c r="J96" s="15"/>
      <c r="K96" s="16">
        <f t="shared" si="10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1">SUM(F86:F96)</f>
        <v>127</v>
      </c>
      <c r="G98" s="18">
        <f t="shared" si="11"/>
        <v>14</v>
      </c>
      <c r="H98" s="18">
        <f t="shared" si="11"/>
        <v>34680</v>
      </c>
      <c r="I98" s="18">
        <f t="shared" si="11"/>
        <v>23377.788</v>
      </c>
      <c r="J98" s="18">
        <f t="shared" si="11"/>
        <v>0</v>
      </c>
      <c r="K98" s="18">
        <f t="shared" si="11"/>
        <v>58057.788000000008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/>
      <c r="G102" s="54"/>
      <c r="H102" s="15"/>
      <c r="I102" s="55">
        <f>H102*F$114</f>
        <v>0</v>
      </c>
      <c r="J102" s="15"/>
      <c r="K102" s="16">
        <f>(H102+I102)-J102</f>
        <v>0</v>
      </c>
    </row>
    <row r="103" spans="1:11" ht="18" customHeight="1">
      <c r="A103" s="5" t="s">
        <v>132</v>
      </c>
      <c r="B103" s="550" t="s">
        <v>62</v>
      </c>
      <c r="C103" s="550"/>
      <c r="F103" s="54"/>
      <c r="G103" s="54"/>
      <c r="H103" s="15"/>
      <c r="I103" s="55">
        <f>H103*F$114</f>
        <v>0</v>
      </c>
      <c r="J103" s="15"/>
      <c r="K103" s="16">
        <f>(H103+I103)-J103</f>
        <v>0</v>
      </c>
    </row>
    <row r="104" spans="1:11" ht="18" customHeight="1">
      <c r="A104" s="5" t="s">
        <v>128</v>
      </c>
      <c r="B104" s="530"/>
      <c r="C104" s="531"/>
      <c r="D104" s="532"/>
      <c r="F104" s="54"/>
      <c r="G104" s="54"/>
      <c r="H104" s="15"/>
      <c r="I104" s="55">
        <f>H104*F$114</f>
        <v>0</v>
      </c>
      <c r="J104" s="15"/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2">SUM(F102:F106)</f>
        <v>0</v>
      </c>
      <c r="G108" s="18">
        <f t="shared" si="12"/>
        <v>0</v>
      </c>
      <c r="H108" s="16">
        <f t="shared" si="12"/>
        <v>0</v>
      </c>
      <c r="I108" s="16">
        <f t="shared" si="12"/>
        <v>0</v>
      </c>
      <c r="J108" s="16">
        <f t="shared" si="12"/>
        <v>0</v>
      </c>
      <c r="K108" s="16">
        <f t="shared" si="12"/>
        <v>0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2693328.72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0.67410000000000003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89753000</v>
      </c>
    </row>
    <row r="118" spans="1:6" ht="18" customHeight="1">
      <c r="A118" s="5" t="s">
        <v>173</v>
      </c>
      <c r="B118" t="s">
        <v>18</v>
      </c>
      <c r="F118" s="15">
        <v>1580000</v>
      </c>
    </row>
    <row r="119" spans="1:6" ht="18" customHeight="1">
      <c r="A119" s="5" t="s">
        <v>174</v>
      </c>
      <c r="B119" s="2" t="s">
        <v>19</v>
      </c>
      <c r="F119" s="56">
        <f>SUM(F117:F118)</f>
        <v>91333000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89609000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v>1724000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-621000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v>1103000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>
        <v>48214</v>
      </c>
      <c r="I131" s="55">
        <v>0</v>
      </c>
      <c r="J131" s="15">
        <v>0</v>
      </c>
      <c r="K131" s="16">
        <f>(H131+I131)-J131</f>
        <v>48214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3">SUM(F131:F135)</f>
        <v>0</v>
      </c>
      <c r="G137" s="18">
        <f t="shared" si="13"/>
        <v>0</v>
      </c>
      <c r="H137" s="16">
        <f t="shared" si="13"/>
        <v>48214</v>
      </c>
      <c r="I137" s="16">
        <f t="shared" si="13"/>
        <v>0</v>
      </c>
      <c r="J137" s="16">
        <f t="shared" si="13"/>
        <v>0</v>
      </c>
      <c r="K137" s="16">
        <f t="shared" si="13"/>
        <v>48214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4">F36</f>
        <v>988</v>
      </c>
      <c r="G141" s="41">
        <f t="shared" si="14"/>
        <v>8710</v>
      </c>
      <c r="H141" s="41">
        <f t="shared" si="14"/>
        <v>510572</v>
      </c>
      <c r="I141" s="41">
        <f t="shared" si="14"/>
        <v>344176.58520000003</v>
      </c>
      <c r="J141" s="41">
        <f t="shared" si="14"/>
        <v>27132</v>
      </c>
      <c r="K141" s="41">
        <f t="shared" si="14"/>
        <v>827616.58519999986</v>
      </c>
    </row>
    <row r="142" spans="1:11" ht="18" customHeight="1">
      <c r="A142" s="5" t="s">
        <v>142</v>
      </c>
      <c r="B142" s="2" t="s">
        <v>65</v>
      </c>
      <c r="F142" s="41">
        <f t="shared" ref="F142:K142" si="15">F49</f>
        <v>6222</v>
      </c>
      <c r="G142" s="41">
        <f t="shared" si="15"/>
        <v>175</v>
      </c>
      <c r="H142" s="41">
        <f t="shared" si="15"/>
        <v>219849</v>
      </c>
      <c r="I142" s="41">
        <f t="shared" si="15"/>
        <v>0</v>
      </c>
      <c r="J142" s="41">
        <f t="shared" si="15"/>
        <v>0</v>
      </c>
      <c r="K142" s="41">
        <f t="shared" si="15"/>
        <v>219849</v>
      </c>
    </row>
    <row r="143" spans="1:11" ht="18" customHeight="1">
      <c r="A143" s="5" t="s">
        <v>144</v>
      </c>
      <c r="B143" s="2" t="s">
        <v>66</v>
      </c>
      <c r="F143" s="41">
        <f t="shared" ref="F143:K143" si="16">F64</f>
        <v>0</v>
      </c>
      <c r="G143" s="41">
        <f t="shared" si="16"/>
        <v>0</v>
      </c>
      <c r="H143" s="41">
        <f t="shared" si="16"/>
        <v>1995425</v>
      </c>
      <c r="I143" s="41">
        <f t="shared" si="16"/>
        <v>0</v>
      </c>
      <c r="J143" s="41">
        <f t="shared" si="16"/>
        <v>0</v>
      </c>
      <c r="K143" s="41">
        <f t="shared" si="16"/>
        <v>1995425</v>
      </c>
    </row>
    <row r="144" spans="1:11" ht="18" customHeight="1">
      <c r="A144" s="5" t="s">
        <v>146</v>
      </c>
      <c r="B144" s="2" t="s">
        <v>67</v>
      </c>
      <c r="F144" s="41">
        <f t="shared" ref="F144:K144" si="17">F74</f>
        <v>92</v>
      </c>
      <c r="G144" s="41">
        <f t="shared" si="17"/>
        <v>5</v>
      </c>
      <c r="H144" s="41">
        <f t="shared" si="17"/>
        <v>9443</v>
      </c>
      <c r="I144" s="41">
        <f t="shared" si="17"/>
        <v>6365.5263000000004</v>
      </c>
      <c r="J144" s="41">
        <f t="shared" si="17"/>
        <v>0</v>
      </c>
      <c r="K144" s="41">
        <f t="shared" si="17"/>
        <v>15808.526300000001</v>
      </c>
    </row>
    <row r="145" spans="1:11" ht="18" customHeight="1">
      <c r="A145" s="5" t="s">
        <v>148</v>
      </c>
      <c r="B145" s="2" t="s">
        <v>68</v>
      </c>
      <c r="F145" s="41">
        <f t="shared" ref="F145:K145" si="18">F82</f>
        <v>168</v>
      </c>
      <c r="G145" s="41">
        <f t="shared" si="18"/>
        <v>8</v>
      </c>
      <c r="H145" s="41">
        <f t="shared" si="18"/>
        <v>110306</v>
      </c>
      <c r="I145" s="41">
        <f t="shared" si="18"/>
        <v>3536.4</v>
      </c>
      <c r="J145" s="41">
        <f t="shared" si="18"/>
        <v>0</v>
      </c>
      <c r="K145" s="41">
        <f t="shared" si="18"/>
        <v>113842.4</v>
      </c>
    </row>
    <row r="146" spans="1:11" ht="18" customHeight="1">
      <c r="A146" s="5" t="s">
        <v>150</v>
      </c>
      <c r="B146" s="2" t="s">
        <v>69</v>
      </c>
      <c r="F146" s="41">
        <f t="shared" ref="F146:K146" si="19">F98</f>
        <v>127</v>
      </c>
      <c r="G146" s="41">
        <f t="shared" si="19"/>
        <v>14</v>
      </c>
      <c r="H146" s="41">
        <f t="shared" si="19"/>
        <v>34680</v>
      </c>
      <c r="I146" s="41">
        <f t="shared" si="19"/>
        <v>23377.788</v>
      </c>
      <c r="J146" s="41">
        <f t="shared" si="19"/>
        <v>0</v>
      </c>
      <c r="K146" s="41">
        <f t="shared" si="19"/>
        <v>58057.788000000008</v>
      </c>
    </row>
    <row r="147" spans="1:11" ht="18" customHeight="1">
      <c r="A147" s="5" t="s">
        <v>153</v>
      </c>
      <c r="B147" s="2" t="s">
        <v>61</v>
      </c>
      <c r="F147" s="18">
        <f t="shared" ref="F147:K147" si="20">F108</f>
        <v>0</v>
      </c>
      <c r="G147" s="18">
        <f t="shared" si="20"/>
        <v>0</v>
      </c>
      <c r="H147" s="18">
        <f t="shared" si="20"/>
        <v>0</v>
      </c>
      <c r="I147" s="18">
        <f t="shared" si="20"/>
        <v>0</v>
      </c>
      <c r="J147" s="18">
        <f t="shared" si="20"/>
        <v>0</v>
      </c>
      <c r="K147" s="18">
        <f t="shared" si="20"/>
        <v>0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2693328.72</v>
      </c>
    </row>
    <row r="149" spans="1:11" ht="18" customHeight="1">
      <c r="A149" s="5" t="s">
        <v>163</v>
      </c>
      <c r="B149" s="2" t="s">
        <v>71</v>
      </c>
      <c r="F149" s="18">
        <f t="shared" ref="F149:K149" si="21">F137</f>
        <v>0</v>
      </c>
      <c r="G149" s="18">
        <f t="shared" si="21"/>
        <v>0</v>
      </c>
      <c r="H149" s="18">
        <f t="shared" si="21"/>
        <v>48214</v>
      </c>
      <c r="I149" s="18">
        <f t="shared" si="21"/>
        <v>0</v>
      </c>
      <c r="J149" s="18">
        <f t="shared" si="21"/>
        <v>0</v>
      </c>
      <c r="K149" s="18">
        <f t="shared" si="21"/>
        <v>48214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2926988</v>
      </c>
      <c r="I150" s="18">
        <f>I18</f>
        <v>0</v>
      </c>
      <c r="J150" s="18">
        <f>J18</f>
        <v>2502941</v>
      </c>
      <c r="K150" s="18">
        <f>K18</f>
        <v>424047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2">SUM(F141:F150)</f>
        <v>7597</v>
      </c>
      <c r="G152" s="49">
        <f t="shared" si="22"/>
        <v>8912</v>
      </c>
      <c r="H152" s="49">
        <f t="shared" si="22"/>
        <v>5855477</v>
      </c>
      <c r="I152" s="49">
        <f t="shared" si="22"/>
        <v>377456.29950000008</v>
      </c>
      <c r="J152" s="49">
        <f t="shared" si="22"/>
        <v>2530073</v>
      </c>
      <c r="K152" s="49">
        <f t="shared" si="22"/>
        <v>6396189.0195000004</v>
      </c>
    </row>
    <row r="154" spans="1:11" ht="18" customHeight="1">
      <c r="A154" s="6" t="s">
        <v>168</v>
      </c>
      <c r="B154" s="2" t="s">
        <v>28</v>
      </c>
      <c r="F154" s="64">
        <f>K152/F121</f>
        <v>7.1378868411655083E-2</v>
      </c>
    </row>
    <row r="155" spans="1:11" ht="18" customHeight="1">
      <c r="A155" s="6" t="s">
        <v>169</v>
      </c>
      <c r="B155" s="2" t="s">
        <v>72</v>
      </c>
      <c r="F155" s="64">
        <f>K152/F127</f>
        <v>5.7989021029011791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B134:D134"/>
    <mergeCell ref="B135:D135"/>
    <mergeCell ref="B133:D133"/>
    <mergeCell ref="B104:D104"/>
    <mergeCell ref="B105:D105"/>
    <mergeCell ref="B106:D106"/>
    <mergeCell ref="B62:D62"/>
    <mergeCell ref="B31:D31"/>
    <mergeCell ref="B103:C103"/>
    <mergeCell ref="B96:D96"/>
    <mergeCell ref="B95:D95"/>
    <mergeCell ref="B57:D57"/>
    <mergeCell ref="B94:D94"/>
    <mergeCell ref="B52:C52"/>
    <mergeCell ref="B90:C90"/>
    <mergeCell ref="B53:D53"/>
    <mergeCell ref="B55:D55"/>
    <mergeCell ref="B56:D56"/>
    <mergeCell ref="B59:D59"/>
    <mergeCell ref="D2:H2"/>
    <mergeCell ref="B45:D45"/>
    <mergeCell ref="B46:D46"/>
    <mergeCell ref="B47:D47"/>
    <mergeCell ref="B34:D34"/>
    <mergeCell ref="C11:G11"/>
    <mergeCell ref="B41:C41"/>
    <mergeCell ref="B44:D44"/>
    <mergeCell ref="B13:H13"/>
    <mergeCell ref="C5:G5"/>
    <mergeCell ref="C6:G6"/>
    <mergeCell ref="C7:G7"/>
    <mergeCell ref="C9:G9"/>
    <mergeCell ref="C10:G10"/>
    <mergeCell ref="B30:D30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80" zoomScaleNormal="50" zoomScaleSheetLayoutView="8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92" t="s">
        <v>672</v>
      </c>
      <c r="D5" s="593"/>
      <c r="E5" s="593"/>
      <c r="F5" s="593"/>
      <c r="G5" s="594"/>
    </row>
    <row r="6" spans="1:11" ht="18" customHeight="1">
      <c r="B6" s="5" t="s">
        <v>3</v>
      </c>
      <c r="C6" s="595">
        <v>4</v>
      </c>
      <c r="D6" s="596"/>
      <c r="E6" s="596"/>
      <c r="F6" s="596"/>
      <c r="G6" s="597"/>
    </row>
    <row r="7" spans="1:11" ht="18" customHeight="1">
      <c r="B7" s="5" t="s">
        <v>4</v>
      </c>
      <c r="C7" s="595">
        <v>3198</v>
      </c>
      <c r="D7" s="596"/>
      <c r="E7" s="596"/>
      <c r="F7" s="596"/>
      <c r="G7" s="597"/>
    </row>
    <row r="9" spans="1:11" ht="18" customHeight="1">
      <c r="B9" s="5" t="s">
        <v>1</v>
      </c>
      <c r="C9" s="592" t="s">
        <v>671</v>
      </c>
      <c r="D9" s="593"/>
      <c r="E9" s="593"/>
      <c r="F9" s="593"/>
      <c r="G9" s="594"/>
    </row>
    <row r="10" spans="1:11" ht="18" customHeight="1">
      <c r="B10" s="5" t="s">
        <v>2</v>
      </c>
      <c r="C10" s="592" t="s">
        <v>670</v>
      </c>
      <c r="D10" s="593"/>
      <c r="E10" s="593"/>
      <c r="F10" s="593"/>
      <c r="G10" s="594"/>
    </row>
    <row r="11" spans="1:11" ht="18" customHeight="1">
      <c r="B11" s="5" t="s">
        <v>32</v>
      </c>
      <c r="C11" s="592" t="s">
        <v>669</v>
      </c>
      <c r="D11" s="593"/>
      <c r="E11" s="593"/>
      <c r="F11" s="593"/>
      <c r="G11" s="594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11909384</v>
      </c>
      <c r="I18" s="55">
        <v>0</v>
      </c>
      <c r="J18" s="15">
        <v>10184012</v>
      </c>
      <c r="K18" s="16">
        <f>(H18+I18)-J18</f>
        <v>1725372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19475.7</v>
      </c>
      <c r="G21" s="54">
        <v>194661</v>
      </c>
      <c r="H21" s="15">
        <v>2004686</v>
      </c>
      <c r="I21" s="55">
        <v>1092632</v>
      </c>
      <c r="J21" s="15">
        <v>196214</v>
      </c>
      <c r="K21" s="16">
        <f t="shared" ref="K21:K34" si="0">(H21+I21)-J21</f>
        <v>2901104</v>
      </c>
    </row>
    <row r="22" spans="1:11" ht="18" customHeight="1">
      <c r="A22" s="5" t="s">
        <v>76</v>
      </c>
      <c r="B22" t="s">
        <v>6</v>
      </c>
      <c r="F22" s="54"/>
      <c r="G22" s="54"/>
      <c r="H22" s="15"/>
      <c r="I22" s="55"/>
      <c r="J22" s="15"/>
      <c r="K22" s="16">
        <f t="shared" si="0"/>
        <v>0</v>
      </c>
    </row>
    <row r="23" spans="1:11" ht="18" customHeight="1">
      <c r="A23" s="5" t="s">
        <v>77</v>
      </c>
      <c r="B23" t="s">
        <v>43</v>
      </c>
      <c r="F23" s="54"/>
      <c r="G23" s="54"/>
      <c r="H23" s="15"/>
      <c r="I23" s="55"/>
      <c r="J23" s="15"/>
      <c r="K23" s="16">
        <f t="shared" si="0"/>
        <v>0</v>
      </c>
    </row>
    <row r="24" spans="1:11" ht="18" customHeight="1">
      <c r="A24" s="5" t="s">
        <v>78</v>
      </c>
      <c r="B24" t="s">
        <v>44</v>
      </c>
      <c r="F24" s="54">
        <v>277.5</v>
      </c>
      <c r="G24" s="54">
        <v>2020</v>
      </c>
      <c r="H24" s="15">
        <v>9418</v>
      </c>
      <c r="I24" s="55">
        <v>6470</v>
      </c>
      <c r="J24" s="15">
        <v>0</v>
      </c>
      <c r="K24" s="16">
        <f t="shared" si="0"/>
        <v>15888</v>
      </c>
    </row>
    <row r="25" spans="1:11" ht="18" customHeight="1">
      <c r="A25" s="5" t="s">
        <v>79</v>
      </c>
      <c r="B25" t="s">
        <v>5</v>
      </c>
      <c r="F25" s="54"/>
      <c r="G25" s="54"/>
      <c r="H25" s="15"/>
      <c r="I25" s="55"/>
      <c r="J25" s="15"/>
      <c r="K25" s="16">
        <f t="shared" si="0"/>
        <v>0</v>
      </c>
    </row>
    <row r="26" spans="1:11" ht="18" customHeight="1">
      <c r="A26" s="5" t="s">
        <v>80</v>
      </c>
      <c r="B26" t="s">
        <v>45</v>
      </c>
      <c r="F26" s="54"/>
      <c r="G26" s="54"/>
      <c r="H26" s="15"/>
      <c r="I26" s="55"/>
      <c r="J26" s="15"/>
      <c r="K26" s="16">
        <f t="shared" si="0"/>
        <v>0</v>
      </c>
    </row>
    <row r="27" spans="1:11" ht="18" customHeight="1">
      <c r="A27" s="5" t="s">
        <v>81</v>
      </c>
      <c r="B27" t="s">
        <v>46</v>
      </c>
      <c r="F27" s="54"/>
      <c r="G27" s="54"/>
      <c r="H27" s="15"/>
      <c r="I27" s="55"/>
      <c r="J27" s="15"/>
      <c r="K27" s="16">
        <f t="shared" si="0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15"/>
      <c r="I28" s="55"/>
      <c r="J28" s="15"/>
      <c r="K28" s="16">
        <f t="shared" si="0"/>
        <v>0</v>
      </c>
    </row>
    <row r="29" spans="1:11" ht="18" customHeight="1">
      <c r="A29" s="5" t="s">
        <v>83</v>
      </c>
      <c r="B29" t="s">
        <v>48</v>
      </c>
      <c r="F29" s="54">
        <v>17182.2</v>
      </c>
      <c r="G29" s="54">
        <v>21289</v>
      </c>
      <c r="H29" s="15">
        <v>1381868</v>
      </c>
      <c r="I29" s="55">
        <v>453432</v>
      </c>
      <c r="J29" s="15">
        <v>97130</v>
      </c>
      <c r="K29" s="16">
        <f t="shared" si="0"/>
        <v>1738170</v>
      </c>
    </row>
    <row r="30" spans="1:11" ht="18" customHeight="1">
      <c r="A30" s="5" t="s">
        <v>84</v>
      </c>
      <c r="B30" s="547"/>
      <c r="C30" s="548"/>
      <c r="D30" s="549"/>
      <c r="F30" s="54">
        <v>230</v>
      </c>
      <c r="G30" s="54">
        <v>2331</v>
      </c>
      <c r="H30" s="15">
        <v>222303</v>
      </c>
      <c r="I30" s="55">
        <v>153373</v>
      </c>
      <c r="J30" s="15">
        <v>0</v>
      </c>
      <c r="K30" s="16">
        <f t="shared" si="0"/>
        <v>375676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/>
      <c r="J31" s="15"/>
      <c r="K31" s="16">
        <f t="shared" si="0"/>
        <v>0</v>
      </c>
    </row>
    <row r="32" spans="1:11" ht="18" customHeight="1">
      <c r="A32" s="5" t="s">
        <v>134</v>
      </c>
      <c r="B32" s="367"/>
      <c r="C32" s="368"/>
      <c r="D32" s="369"/>
      <c r="F32" s="54"/>
      <c r="G32" s="52" t="s">
        <v>85</v>
      </c>
      <c r="H32" s="15"/>
      <c r="I32" s="55"/>
      <c r="J32" s="15"/>
      <c r="K32" s="16">
        <f t="shared" si="0"/>
        <v>0</v>
      </c>
    </row>
    <row r="33" spans="1:11" ht="18" customHeight="1">
      <c r="A33" s="5" t="s">
        <v>135</v>
      </c>
      <c r="B33" s="367"/>
      <c r="C33" s="368"/>
      <c r="D33" s="369"/>
      <c r="F33" s="54"/>
      <c r="G33" s="52" t="s">
        <v>85</v>
      </c>
      <c r="H33" s="15"/>
      <c r="I33" s="55"/>
      <c r="J33" s="15"/>
      <c r="K33" s="16">
        <f t="shared" si="0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/>
      <c r="J34" s="15"/>
      <c r="K34" s="16">
        <f t="shared" si="0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1">SUM(F21:F34)</f>
        <v>37165.4</v>
      </c>
      <c r="G36" s="18">
        <f t="shared" si="1"/>
        <v>220301</v>
      </c>
      <c r="H36" s="18">
        <f t="shared" si="1"/>
        <v>3618275</v>
      </c>
      <c r="I36" s="16">
        <f t="shared" si="1"/>
        <v>1705907</v>
      </c>
      <c r="J36" s="16">
        <f t="shared" si="1"/>
        <v>293344</v>
      </c>
      <c r="K36" s="16">
        <f t="shared" si="1"/>
        <v>5030838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>
        <v>4531.2</v>
      </c>
      <c r="G40" s="54">
        <v>7323</v>
      </c>
      <c r="H40" s="15">
        <v>2223319</v>
      </c>
      <c r="I40" s="55">
        <v>1534048</v>
      </c>
      <c r="J40" s="15">
        <v>0</v>
      </c>
      <c r="K40" s="16">
        <f t="shared" ref="K40:K47" si="2">(H40+I40)-J40</f>
        <v>3757367</v>
      </c>
    </row>
    <row r="41" spans="1:11" ht="18" customHeight="1">
      <c r="A41" s="5" t="s">
        <v>88</v>
      </c>
      <c r="B41" s="550" t="s">
        <v>50</v>
      </c>
      <c r="C41" s="551"/>
      <c r="F41" s="54">
        <v>2079.6</v>
      </c>
      <c r="G41" s="54">
        <v>1588</v>
      </c>
      <c r="H41" s="15">
        <v>110088</v>
      </c>
      <c r="I41" s="55">
        <v>75966</v>
      </c>
      <c r="J41" s="15">
        <v>0</v>
      </c>
      <c r="K41" s="16">
        <f t="shared" si="2"/>
        <v>186054</v>
      </c>
    </row>
    <row r="42" spans="1:11" ht="18" customHeight="1">
      <c r="A42" s="5" t="s">
        <v>89</v>
      </c>
      <c r="B42" s="1" t="s">
        <v>11</v>
      </c>
      <c r="F42" s="54">
        <v>3308</v>
      </c>
      <c r="G42" s="54">
        <v>129</v>
      </c>
      <c r="H42" s="15">
        <v>98407</v>
      </c>
      <c r="I42" s="55">
        <v>67665</v>
      </c>
      <c r="J42" s="15">
        <v>12160</v>
      </c>
      <c r="K42" s="16">
        <f t="shared" si="2"/>
        <v>153912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/>
      <c r="I43" s="55">
        <v>0</v>
      </c>
      <c r="J43" s="15"/>
      <c r="K43" s="16">
        <f t="shared" si="2"/>
        <v>0</v>
      </c>
    </row>
    <row r="44" spans="1:11" ht="18" customHeight="1">
      <c r="A44" s="5" t="s">
        <v>91</v>
      </c>
      <c r="B44" s="547"/>
      <c r="C44" s="548"/>
      <c r="D44" s="549"/>
      <c r="F44" s="54"/>
      <c r="G44" s="54"/>
      <c r="H44" s="54"/>
      <c r="I44" s="55">
        <v>0</v>
      </c>
      <c r="J44" s="54"/>
      <c r="K44" s="56">
        <f t="shared" si="2"/>
        <v>0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2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2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2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3">SUM(F40:F47)</f>
        <v>9918.7999999999993</v>
      </c>
      <c r="G49" s="23">
        <f t="shared" si="3"/>
        <v>9040</v>
      </c>
      <c r="H49" s="16">
        <f t="shared" si="3"/>
        <v>2431814</v>
      </c>
      <c r="I49" s="16">
        <f t="shared" si="3"/>
        <v>1677679</v>
      </c>
      <c r="J49" s="16">
        <f t="shared" si="3"/>
        <v>12160</v>
      </c>
      <c r="K49" s="16">
        <f t="shared" si="3"/>
        <v>4097333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 t="s">
        <v>668</v>
      </c>
      <c r="C53" s="559"/>
      <c r="D53" s="532"/>
      <c r="F53" s="54"/>
      <c r="G53" s="54"/>
      <c r="H53" s="15">
        <v>2102561</v>
      </c>
      <c r="I53" s="55">
        <v>1450767</v>
      </c>
      <c r="J53" s="15"/>
      <c r="K53" s="16">
        <f t="shared" ref="K53:K62" si="4">(H53+I53)-J53</f>
        <v>3553328</v>
      </c>
    </row>
    <row r="54" spans="1:11" ht="18" customHeight="1">
      <c r="A54" s="5" t="s">
        <v>93</v>
      </c>
      <c r="B54" s="362" t="s">
        <v>667</v>
      </c>
      <c r="C54" s="363"/>
      <c r="D54" s="364"/>
      <c r="F54" s="54"/>
      <c r="G54" s="54"/>
      <c r="H54" s="15">
        <v>385000</v>
      </c>
      <c r="I54" s="55">
        <v>265650</v>
      </c>
      <c r="J54" s="15"/>
      <c r="K54" s="16">
        <f t="shared" si="4"/>
        <v>650650</v>
      </c>
    </row>
    <row r="55" spans="1:11" ht="18" customHeight="1">
      <c r="A55" s="5" t="s">
        <v>94</v>
      </c>
      <c r="B55" s="558" t="s">
        <v>666</v>
      </c>
      <c r="C55" s="559"/>
      <c r="D55" s="532"/>
      <c r="F55" s="54"/>
      <c r="G55" s="54"/>
      <c r="H55" s="15">
        <v>312000</v>
      </c>
      <c r="I55" s="55">
        <v>215280</v>
      </c>
      <c r="J55" s="15"/>
      <c r="K55" s="16">
        <f t="shared" si="4"/>
        <v>527280</v>
      </c>
    </row>
    <row r="56" spans="1:11" ht="18" customHeight="1">
      <c r="A56" s="5" t="s">
        <v>95</v>
      </c>
      <c r="B56" s="558" t="s">
        <v>665</v>
      </c>
      <c r="C56" s="559"/>
      <c r="D56" s="532"/>
      <c r="F56" s="54" t="s">
        <v>740</v>
      </c>
      <c r="G56" s="54"/>
      <c r="H56" s="15">
        <v>214876</v>
      </c>
      <c r="I56" s="55">
        <v>148263</v>
      </c>
      <c r="J56" s="15"/>
      <c r="K56" s="16">
        <f t="shared" si="4"/>
        <v>363139</v>
      </c>
    </row>
    <row r="57" spans="1:11" ht="18" customHeight="1">
      <c r="A57" s="5" t="s">
        <v>96</v>
      </c>
      <c r="B57" s="362" t="s">
        <v>664</v>
      </c>
      <c r="C57" s="363"/>
      <c r="D57" s="364"/>
      <c r="F57" s="54"/>
      <c r="G57" s="54"/>
      <c r="H57" s="15">
        <v>479504</v>
      </c>
      <c r="I57" s="55">
        <v>2134716</v>
      </c>
      <c r="J57" s="15"/>
      <c r="K57" s="16">
        <f t="shared" si="4"/>
        <v>2614220</v>
      </c>
    </row>
    <row r="58" spans="1:11" ht="18" customHeight="1">
      <c r="A58" s="5" t="s">
        <v>97</v>
      </c>
      <c r="B58" s="362" t="s">
        <v>663</v>
      </c>
      <c r="C58" s="363"/>
      <c r="D58" s="364"/>
      <c r="F58" s="54"/>
      <c r="G58" s="54"/>
      <c r="H58" s="15">
        <v>1014589</v>
      </c>
      <c r="I58" s="55">
        <v>700066</v>
      </c>
      <c r="J58" s="15">
        <v>373188</v>
      </c>
      <c r="K58" s="16">
        <f t="shared" si="4"/>
        <v>1341467</v>
      </c>
    </row>
    <row r="59" spans="1:11" ht="18" customHeight="1">
      <c r="A59" s="5" t="s">
        <v>98</v>
      </c>
      <c r="B59" s="362" t="s">
        <v>662</v>
      </c>
      <c r="C59" s="363"/>
      <c r="D59" s="364"/>
      <c r="F59" s="54">
        <v>1102.5</v>
      </c>
      <c r="G59" s="54">
        <v>398</v>
      </c>
      <c r="H59" s="15">
        <f>41387+1425+41610</f>
        <v>84422</v>
      </c>
      <c r="I59" s="55">
        <v>58247</v>
      </c>
      <c r="J59" s="15"/>
      <c r="K59" s="16">
        <f t="shared" si="4"/>
        <v>142669</v>
      </c>
    </row>
    <row r="60" spans="1:11" ht="18" customHeight="1">
      <c r="A60" s="5" t="s">
        <v>99</v>
      </c>
      <c r="B60" s="362" t="s">
        <v>661</v>
      </c>
      <c r="C60" s="363"/>
      <c r="D60" s="364"/>
      <c r="F60" s="54">
        <v>12896.4</v>
      </c>
      <c r="G60" s="54">
        <v>5654</v>
      </c>
      <c r="H60" s="15">
        <f>1325+1175+482262+7249+50207+15103</f>
        <v>557321</v>
      </c>
      <c r="I60" s="55">
        <f>914+811+382826</f>
        <v>384551</v>
      </c>
      <c r="J60" s="15">
        <v>394258</v>
      </c>
      <c r="K60" s="16">
        <f t="shared" si="4"/>
        <v>547614</v>
      </c>
    </row>
    <row r="61" spans="1:11" ht="18" customHeight="1">
      <c r="A61" s="5" t="s">
        <v>100</v>
      </c>
      <c r="B61" s="362" t="s">
        <v>660</v>
      </c>
      <c r="C61" s="363"/>
      <c r="D61" s="364"/>
      <c r="F61" s="54"/>
      <c r="G61" s="54">
        <v>45006</v>
      </c>
      <c r="H61" s="15">
        <f>230830+510+28077+1209</f>
        <v>260626</v>
      </c>
      <c r="I61" s="55">
        <v>0</v>
      </c>
      <c r="J61" s="15">
        <v>0</v>
      </c>
      <c r="K61" s="16">
        <f t="shared" si="4"/>
        <v>260626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/>
      <c r="J62" s="15"/>
      <c r="K62" s="16">
        <f t="shared" si="4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5">SUM(F53:F62)</f>
        <v>13998.9</v>
      </c>
      <c r="G64" s="18">
        <f t="shared" si="5"/>
        <v>51058</v>
      </c>
      <c r="H64" s="16">
        <f t="shared" si="5"/>
        <v>5410899</v>
      </c>
      <c r="I64" s="16">
        <f t="shared" si="5"/>
        <v>5357540</v>
      </c>
      <c r="J64" s="16">
        <f t="shared" si="5"/>
        <v>767446</v>
      </c>
      <c r="K64" s="16">
        <f t="shared" si="5"/>
        <v>10000993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>
        <v>4019.6</v>
      </c>
      <c r="G68" s="51">
        <v>1352</v>
      </c>
      <c r="H68" s="51">
        <v>217630</v>
      </c>
      <c r="I68" s="55">
        <v>150158</v>
      </c>
      <c r="J68" s="55">
        <v>1600</v>
      </c>
      <c r="K68" s="16">
        <f>(H68+I68)-J68</f>
        <v>366188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362"/>
      <c r="C70" s="363"/>
      <c r="D70" s="364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362"/>
      <c r="C71" s="363"/>
      <c r="D71" s="364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365"/>
      <c r="C72" s="366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6">SUM(F68:F72)</f>
        <v>4019.6</v>
      </c>
      <c r="G74" s="21">
        <f t="shared" si="6"/>
        <v>1352</v>
      </c>
      <c r="H74" s="21">
        <f t="shared" si="6"/>
        <v>217630</v>
      </c>
      <c r="I74" s="53">
        <f t="shared" si="6"/>
        <v>150158</v>
      </c>
      <c r="J74" s="21">
        <f t="shared" si="6"/>
        <v>1600</v>
      </c>
      <c r="K74" s="56">
        <f t="shared" si="6"/>
        <v>366188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/>
      <c r="G77" s="54"/>
      <c r="H77" s="15"/>
      <c r="I77" s="55">
        <v>0</v>
      </c>
      <c r="J77" s="15"/>
      <c r="K77" s="16">
        <f>(H77+I77)-J77</f>
        <v>0</v>
      </c>
    </row>
    <row r="78" spans="1:11" ht="18" customHeight="1">
      <c r="A78" s="5" t="s">
        <v>108</v>
      </c>
      <c r="B78" s="1" t="s">
        <v>55</v>
      </c>
      <c r="F78" s="54"/>
      <c r="G78" s="54"/>
      <c r="H78" s="15"/>
      <c r="I78" s="55"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>
        <v>42</v>
      </c>
      <c r="G79" s="54">
        <v>20762</v>
      </c>
      <c r="H79" s="15">
        <v>162282</v>
      </c>
      <c r="I79" s="55">
        <v>0</v>
      </c>
      <c r="J79" s="15">
        <v>0</v>
      </c>
      <c r="K79" s="16">
        <f>(H79+I79)-J79</f>
        <v>162282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7">SUM(F77:F80)</f>
        <v>42</v>
      </c>
      <c r="G82" s="21">
        <f t="shared" si="7"/>
        <v>20762</v>
      </c>
      <c r="H82" s="56">
        <f t="shared" si="7"/>
        <v>162282</v>
      </c>
      <c r="I82" s="56">
        <f t="shared" si="7"/>
        <v>0</v>
      </c>
      <c r="J82" s="56">
        <f t="shared" si="7"/>
        <v>0</v>
      </c>
      <c r="K82" s="56">
        <f t="shared" si="7"/>
        <v>162282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f>H86*F$114</f>
        <v>0</v>
      </c>
      <c r="J86" s="15"/>
      <c r="K86" s="16">
        <f t="shared" ref="K86:K96" si="8">(H86+I86)-J86</f>
        <v>0</v>
      </c>
    </row>
    <row r="87" spans="1:11" ht="18" customHeight="1">
      <c r="A87" s="5" t="s">
        <v>114</v>
      </c>
      <c r="B87" s="1" t="s">
        <v>14</v>
      </c>
      <c r="F87" s="54"/>
      <c r="G87" s="54"/>
      <c r="H87" s="15"/>
      <c r="I87" s="55">
        <f>H87*F$114</f>
        <v>0</v>
      </c>
      <c r="J87" s="15"/>
      <c r="K87" s="16">
        <f t="shared" si="8"/>
        <v>0</v>
      </c>
    </row>
    <row r="88" spans="1:11" ht="18" customHeight="1">
      <c r="A88" s="5" t="s">
        <v>115</v>
      </c>
      <c r="B88" s="1" t="s">
        <v>116</v>
      </c>
      <c r="F88" s="54"/>
      <c r="G88" s="54">
        <v>39</v>
      </c>
      <c r="H88" s="15">
        <v>33407</v>
      </c>
      <c r="I88" s="55">
        <v>23053</v>
      </c>
      <c r="J88" s="15">
        <v>0</v>
      </c>
      <c r="K88" s="16">
        <f t="shared" si="8"/>
        <v>56460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>H89*F$114</f>
        <v>0</v>
      </c>
      <c r="J89" s="15"/>
      <c r="K89" s="16">
        <f t="shared" si="8"/>
        <v>0</v>
      </c>
    </row>
    <row r="90" spans="1:11" ht="18" customHeight="1">
      <c r="A90" s="5" t="s">
        <v>118</v>
      </c>
      <c r="B90" s="550" t="s">
        <v>59</v>
      </c>
      <c r="C90" s="551"/>
      <c r="F90" s="54"/>
      <c r="G90" s="54"/>
      <c r="H90" s="15"/>
      <c r="I90" s="55">
        <v>0</v>
      </c>
      <c r="J90" s="15"/>
      <c r="K90" s="16">
        <f t="shared" si="8"/>
        <v>0</v>
      </c>
    </row>
    <row r="91" spans="1:11" ht="18" customHeight="1">
      <c r="A91" s="5" t="s">
        <v>119</v>
      </c>
      <c r="B91" s="1" t="s">
        <v>60</v>
      </c>
      <c r="F91" s="54"/>
      <c r="G91" s="54"/>
      <c r="H91" s="15"/>
      <c r="I91" s="55">
        <f t="shared" ref="I91:I96" si="9">H91*F$114</f>
        <v>0</v>
      </c>
      <c r="J91" s="15"/>
      <c r="K91" s="16">
        <f t="shared" si="8"/>
        <v>0</v>
      </c>
    </row>
    <row r="92" spans="1:11" ht="18" customHeight="1">
      <c r="A92" s="5" t="s">
        <v>120</v>
      </c>
      <c r="B92" s="1" t="s">
        <v>121</v>
      </c>
      <c r="F92" s="38"/>
      <c r="G92" s="38"/>
      <c r="H92" s="39"/>
      <c r="I92" s="55">
        <f t="shared" si="9"/>
        <v>0</v>
      </c>
      <c r="J92" s="39"/>
      <c r="K92" s="16">
        <f t="shared" si="8"/>
        <v>0</v>
      </c>
    </row>
    <row r="93" spans="1:11" ht="18" customHeight="1">
      <c r="A93" s="5" t="s">
        <v>122</v>
      </c>
      <c r="B93" s="1" t="s">
        <v>123</v>
      </c>
      <c r="F93" s="54"/>
      <c r="G93" s="54"/>
      <c r="H93" s="15"/>
      <c r="I93" s="55">
        <f t="shared" si="9"/>
        <v>0</v>
      </c>
      <c r="J93" s="15"/>
      <c r="K93" s="16">
        <f t="shared" si="8"/>
        <v>0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f t="shared" si="9"/>
        <v>0</v>
      </c>
      <c r="J94" s="15"/>
      <c r="K94" s="16">
        <f t="shared" si="8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9"/>
        <v>0</v>
      </c>
      <c r="J95" s="15"/>
      <c r="K95" s="16">
        <f t="shared" si="8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9"/>
        <v>0</v>
      </c>
      <c r="J96" s="15"/>
      <c r="K96" s="16">
        <f t="shared" si="8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0">SUM(F86:F96)</f>
        <v>0</v>
      </c>
      <c r="G98" s="18">
        <f t="shared" si="10"/>
        <v>39</v>
      </c>
      <c r="H98" s="18">
        <f t="shared" si="10"/>
        <v>33407</v>
      </c>
      <c r="I98" s="18">
        <f t="shared" si="10"/>
        <v>23053</v>
      </c>
      <c r="J98" s="18">
        <f t="shared" si="10"/>
        <v>0</v>
      </c>
      <c r="K98" s="18">
        <f t="shared" si="10"/>
        <v>56460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>
        <v>6360.3</v>
      </c>
      <c r="G102" s="54"/>
      <c r="H102" s="15">
        <v>318957</v>
      </c>
      <c r="I102" s="55">
        <v>220057</v>
      </c>
      <c r="J102" s="15">
        <v>0</v>
      </c>
      <c r="K102" s="16">
        <f>(H102+I102)-J102</f>
        <v>539014</v>
      </c>
    </row>
    <row r="103" spans="1:11" ht="18" customHeight="1">
      <c r="A103" s="5" t="s">
        <v>132</v>
      </c>
      <c r="B103" s="550" t="s">
        <v>62</v>
      </c>
      <c r="C103" s="550"/>
      <c r="F103" s="54">
        <v>42</v>
      </c>
      <c r="G103" s="54">
        <v>39</v>
      </c>
      <c r="H103" s="15">
        <v>3759</v>
      </c>
      <c r="I103" s="55">
        <v>2594</v>
      </c>
      <c r="J103" s="15">
        <v>0</v>
      </c>
      <c r="K103" s="16">
        <f>(H103+I103)-J103</f>
        <v>6353</v>
      </c>
    </row>
    <row r="104" spans="1:11" ht="18" customHeight="1">
      <c r="A104" s="5" t="s">
        <v>128</v>
      </c>
      <c r="B104" s="530" t="s">
        <v>659</v>
      </c>
      <c r="C104" s="531"/>
      <c r="D104" s="532"/>
      <c r="F104" s="54"/>
      <c r="G104" s="54"/>
      <c r="H104" s="15">
        <v>798684</v>
      </c>
      <c r="I104" s="55">
        <v>529042</v>
      </c>
      <c r="J104" s="15">
        <v>0</v>
      </c>
      <c r="K104" s="16">
        <f>(H104+I104)-J104</f>
        <v>1327726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1">SUM(F102:F106)</f>
        <v>6402.3</v>
      </c>
      <c r="G108" s="18">
        <f t="shared" si="11"/>
        <v>39</v>
      </c>
      <c r="H108" s="16">
        <f t="shared" si="11"/>
        <v>1121400</v>
      </c>
      <c r="I108" s="16">
        <f t="shared" si="11"/>
        <v>751693</v>
      </c>
      <c r="J108" s="16">
        <f t="shared" si="11"/>
        <v>0</v>
      </c>
      <c r="K108" s="16">
        <f t="shared" si="11"/>
        <v>1873093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23691563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0.69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397910588.67000002</v>
      </c>
    </row>
    <row r="118" spans="1:6" ht="18" customHeight="1">
      <c r="A118" s="5" t="s">
        <v>173</v>
      </c>
      <c r="B118" t="s">
        <v>18</v>
      </c>
      <c r="F118" s="15">
        <v>15980279.279999999</v>
      </c>
    </row>
    <row r="119" spans="1:6" ht="18" customHeight="1">
      <c r="A119" s="5" t="s">
        <v>174</v>
      </c>
      <c r="B119" s="2" t="s">
        <v>19</v>
      </c>
      <c r="F119" s="56">
        <f>SUM(F117:F118)</f>
        <v>413890867.94999999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387341538.26999998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v>26549329.68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-579966.05000000005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v>25969363.629999999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2">SUM(F131:F135)</f>
        <v>0</v>
      </c>
      <c r="G137" s="18">
        <f t="shared" si="12"/>
        <v>0</v>
      </c>
      <c r="H137" s="16">
        <f t="shared" si="12"/>
        <v>0</v>
      </c>
      <c r="I137" s="16">
        <f t="shared" si="12"/>
        <v>0</v>
      </c>
      <c r="J137" s="16">
        <f t="shared" si="12"/>
        <v>0</v>
      </c>
      <c r="K137" s="16">
        <f t="shared" si="12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3">F36</f>
        <v>37165.4</v>
      </c>
      <c r="G141" s="41">
        <f t="shared" si="13"/>
        <v>220301</v>
      </c>
      <c r="H141" s="41">
        <f t="shared" si="13"/>
        <v>3618275</v>
      </c>
      <c r="I141" s="41">
        <f t="shared" si="13"/>
        <v>1705907</v>
      </c>
      <c r="J141" s="41">
        <f t="shared" si="13"/>
        <v>293344</v>
      </c>
      <c r="K141" s="41">
        <f t="shared" si="13"/>
        <v>5030838</v>
      </c>
    </row>
    <row r="142" spans="1:11" ht="18" customHeight="1">
      <c r="A142" s="5" t="s">
        <v>142</v>
      </c>
      <c r="B142" s="2" t="s">
        <v>65</v>
      </c>
      <c r="F142" s="41">
        <f t="shared" ref="F142:K142" si="14">F49</f>
        <v>9918.7999999999993</v>
      </c>
      <c r="G142" s="41">
        <f t="shared" si="14"/>
        <v>9040</v>
      </c>
      <c r="H142" s="41">
        <f t="shared" si="14"/>
        <v>2431814</v>
      </c>
      <c r="I142" s="41">
        <f t="shared" si="14"/>
        <v>1677679</v>
      </c>
      <c r="J142" s="41">
        <f t="shared" si="14"/>
        <v>12160</v>
      </c>
      <c r="K142" s="41">
        <f t="shared" si="14"/>
        <v>4097333</v>
      </c>
    </row>
    <row r="143" spans="1:11" ht="18" customHeight="1">
      <c r="A143" s="5" t="s">
        <v>144</v>
      </c>
      <c r="B143" s="2" t="s">
        <v>66</v>
      </c>
      <c r="F143" s="41">
        <f t="shared" ref="F143:K143" si="15">F64</f>
        <v>13998.9</v>
      </c>
      <c r="G143" s="41">
        <f t="shared" si="15"/>
        <v>51058</v>
      </c>
      <c r="H143" s="41">
        <f t="shared" si="15"/>
        <v>5410899</v>
      </c>
      <c r="I143" s="41">
        <f t="shared" si="15"/>
        <v>5357540</v>
      </c>
      <c r="J143" s="41">
        <f t="shared" si="15"/>
        <v>767446</v>
      </c>
      <c r="K143" s="41">
        <f t="shared" si="15"/>
        <v>10000993</v>
      </c>
    </row>
    <row r="144" spans="1:11" ht="18" customHeight="1">
      <c r="A144" s="5" t="s">
        <v>146</v>
      </c>
      <c r="B144" s="2" t="s">
        <v>67</v>
      </c>
      <c r="F144" s="41">
        <f t="shared" ref="F144:K144" si="16">F74</f>
        <v>4019.6</v>
      </c>
      <c r="G144" s="41">
        <f t="shared" si="16"/>
        <v>1352</v>
      </c>
      <c r="H144" s="41">
        <f t="shared" si="16"/>
        <v>217630</v>
      </c>
      <c r="I144" s="41">
        <f t="shared" si="16"/>
        <v>150158</v>
      </c>
      <c r="J144" s="41">
        <f t="shared" si="16"/>
        <v>1600</v>
      </c>
      <c r="K144" s="41">
        <f t="shared" si="16"/>
        <v>366188</v>
      </c>
    </row>
    <row r="145" spans="1:11" ht="18" customHeight="1">
      <c r="A145" s="5" t="s">
        <v>148</v>
      </c>
      <c r="B145" s="2" t="s">
        <v>68</v>
      </c>
      <c r="F145" s="41">
        <f t="shared" ref="F145:K145" si="17">F82</f>
        <v>42</v>
      </c>
      <c r="G145" s="41">
        <f t="shared" si="17"/>
        <v>20762</v>
      </c>
      <c r="H145" s="41">
        <f t="shared" si="17"/>
        <v>162282</v>
      </c>
      <c r="I145" s="41">
        <f t="shared" si="17"/>
        <v>0</v>
      </c>
      <c r="J145" s="41">
        <f t="shared" si="17"/>
        <v>0</v>
      </c>
      <c r="K145" s="41">
        <f t="shared" si="17"/>
        <v>162282</v>
      </c>
    </row>
    <row r="146" spans="1:11" ht="18" customHeight="1">
      <c r="A146" s="5" t="s">
        <v>150</v>
      </c>
      <c r="B146" s="2" t="s">
        <v>69</v>
      </c>
      <c r="F146" s="41">
        <f t="shared" ref="F146:K146" si="18">F98</f>
        <v>0</v>
      </c>
      <c r="G146" s="41">
        <f t="shared" si="18"/>
        <v>39</v>
      </c>
      <c r="H146" s="41">
        <f t="shared" si="18"/>
        <v>33407</v>
      </c>
      <c r="I146" s="41">
        <f t="shared" si="18"/>
        <v>23053</v>
      </c>
      <c r="J146" s="41">
        <f t="shared" si="18"/>
        <v>0</v>
      </c>
      <c r="K146" s="41">
        <f t="shared" si="18"/>
        <v>56460</v>
      </c>
    </row>
    <row r="147" spans="1:11" ht="18" customHeight="1">
      <c r="A147" s="5" t="s">
        <v>153</v>
      </c>
      <c r="B147" s="2" t="s">
        <v>61</v>
      </c>
      <c r="F147" s="18">
        <f t="shared" ref="F147:K147" si="19">F108</f>
        <v>6402.3</v>
      </c>
      <c r="G147" s="18">
        <f t="shared" si="19"/>
        <v>39</v>
      </c>
      <c r="H147" s="18">
        <f t="shared" si="19"/>
        <v>1121400</v>
      </c>
      <c r="I147" s="18">
        <f t="shared" si="19"/>
        <v>751693</v>
      </c>
      <c r="J147" s="18">
        <f t="shared" si="19"/>
        <v>0</v>
      </c>
      <c r="K147" s="18">
        <f t="shared" si="19"/>
        <v>1873093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23691563</v>
      </c>
    </row>
    <row r="149" spans="1:11" ht="18" customHeight="1">
      <c r="A149" s="5" t="s">
        <v>163</v>
      </c>
      <c r="B149" s="2" t="s">
        <v>71</v>
      </c>
      <c r="F149" s="18">
        <f t="shared" ref="F149:K149" si="20">F137</f>
        <v>0</v>
      </c>
      <c r="G149" s="18">
        <f t="shared" si="20"/>
        <v>0</v>
      </c>
      <c r="H149" s="18">
        <f t="shared" si="20"/>
        <v>0</v>
      </c>
      <c r="I149" s="18">
        <f t="shared" si="20"/>
        <v>0</v>
      </c>
      <c r="J149" s="18">
        <f t="shared" si="20"/>
        <v>0</v>
      </c>
      <c r="K149" s="18">
        <f t="shared" si="20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11909384</v>
      </c>
      <c r="I150" s="18">
        <f>I18</f>
        <v>0</v>
      </c>
      <c r="J150" s="18">
        <f>J18</f>
        <v>10184012</v>
      </c>
      <c r="K150" s="18">
        <f>K18</f>
        <v>1725372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1">SUM(F141:F150)</f>
        <v>71547</v>
      </c>
      <c r="G152" s="49">
        <f t="shared" si="21"/>
        <v>302591</v>
      </c>
      <c r="H152" s="49">
        <f t="shared" si="21"/>
        <v>24905091</v>
      </c>
      <c r="I152" s="49">
        <f t="shared" si="21"/>
        <v>9666030</v>
      </c>
      <c r="J152" s="49">
        <f t="shared" si="21"/>
        <v>11258562</v>
      </c>
      <c r="K152" s="49">
        <f t="shared" si="21"/>
        <v>47004122</v>
      </c>
    </row>
    <row r="154" spans="1:11" ht="18" customHeight="1">
      <c r="A154" s="6" t="s">
        <v>168</v>
      </c>
      <c r="B154" s="2" t="s">
        <v>28</v>
      </c>
      <c r="F154" s="64">
        <f>K152/F121</f>
        <v>0.12135058431878108</v>
      </c>
    </row>
    <row r="155" spans="1:11" ht="18" customHeight="1">
      <c r="A155" s="6" t="s">
        <v>169</v>
      </c>
      <c r="B155" s="2" t="s">
        <v>72</v>
      </c>
      <c r="F155" s="64">
        <f>K152/F127</f>
        <v>1.8099835894977609</v>
      </c>
      <c r="G155" s="2"/>
    </row>
    <row r="156" spans="1:11" ht="18" customHeight="1">
      <c r="G156" s="2"/>
    </row>
  </sheetData>
  <sheetProtection password="EF72" sheet="1"/>
  <mergeCells count="32">
    <mergeCell ref="B103:C103"/>
    <mergeCell ref="B41:C41"/>
    <mergeCell ref="B44:D44"/>
    <mergeCell ref="B13:H13"/>
    <mergeCell ref="B31:D31"/>
    <mergeCell ref="B94:D94"/>
    <mergeCell ref="B90:C90"/>
    <mergeCell ref="B53:D53"/>
    <mergeCell ref="B55:D55"/>
    <mergeCell ref="B56:D56"/>
    <mergeCell ref="B62:D62"/>
    <mergeCell ref="B96:D96"/>
    <mergeCell ref="B30:D30"/>
    <mergeCell ref="B95:D95"/>
    <mergeCell ref="B52:C52"/>
    <mergeCell ref="D2:H2"/>
    <mergeCell ref="B45:D45"/>
    <mergeCell ref="B46:D46"/>
    <mergeCell ref="B47:D47"/>
    <mergeCell ref="B34:D34"/>
    <mergeCell ref="C5:G5"/>
    <mergeCell ref="C6:G6"/>
    <mergeCell ref="C7:G7"/>
    <mergeCell ref="C9:G9"/>
    <mergeCell ref="C10:G10"/>
    <mergeCell ref="C11:G11"/>
    <mergeCell ref="B134:D134"/>
    <mergeCell ref="B135:D135"/>
    <mergeCell ref="B133:D133"/>
    <mergeCell ref="B104:D104"/>
    <mergeCell ref="B105:D105"/>
    <mergeCell ref="B106:D106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80" zoomScaleNormal="80" zoomScaleSheetLayoutView="8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376</v>
      </c>
      <c r="D5" s="534"/>
      <c r="E5" s="534"/>
      <c r="F5" s="534"/>
      <c r="G5" s="535"/>
    </row>
    <row r="6" spans="1:11" ht="18" customHeight="1">
      <c r="B6" s="5" t="s">
        <v>3</v>
      </c>
      <c r="C6" s="658">
        <v>48</v>
      </c>
      <c r="D6" s="656"/>
      <c r="E6" s="656"/>
      <c r="F6" s="656"/>
      <c r="G6" s="657"/>
    </row>
    <row r="7" spans="1:11" ht="18" customHeight="1">
      <c r="B7" s="5" t="s">
        <v>4</v>
      </c>
      <c r="C7" s="640">
        <v>1975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375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374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373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7048587</v>
      </c>
      <c r="I18" s="55">
        <v>0</v>
      </c>
      <c r="J18" s="15">
        <v>6027423</v>
      </c>
      <c r="K18" s="16">
        <f>(H18+I18)-J18</f>
        <v>1021164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f>'[8](Tab 6) HSCRC_total By Category'!$C$11</f>
        <v>10856</v>
      </c>
      <c r="G21" s="54">
        <f>'[8](Tab 6) HSCRC_total By Category'!$D$11</f>
        <v>1035940</v>
      </c>
      <c r="H21" s="15">
        <f>'[8](Tab 6) HSCRC_total By Category'!$E$11</f>
        <v>1213143.1747359997</v>
      </c>
      <c r="I21" s="55">
        <f t="shared" ref="I21:I28" si="0">H21*F$114</f>
        <v>823844.65430301335</v>
      </c>
      <c r="J21" s="15">
        <f>'[8](Tab 6) HSCRC_total By Category'!$H$11</f>
        <v>323731</v>
      </c>
      <c r="K21" s="16">
        <f t="shared" ref="K21:K34" si="1">(H21+I21)-J21</f>
        <v>1713256.829039013</v>
      </c>
    </row>
    <row r="22" spans="1:11" ht="18" customHeight="1">
      <c r="A22" s="5" t="s">
        <v>76</v>
      </c>
      <c r="B22" t="s">
        <v>6</v>
      </c>
      <c r="F22" s="54">
        <f>'[8](Tab 6) HSCRC_total By Category'!$C$12</f>
        <v>296</v>
      </c>
      <c r="G22" s="54">
        <f>'[8](Tab 6) HSCRC_total By Category'!$D$12</f>
        <v>1021</v>
      </c>
      <c r="H22" s="15">
        <f>'[8](Tab 6) HSCRC_total By Category'!$E$12</f>
        <v>15842.799712</v>
      </c>
      <c r="I22" s="55">
        <f t="shared" si="0"/>
        <v>10758.833848910584</v>
      </c>
      <c r="J22" s="15">
        <f>'[8](Tab 6) HSCRC_total By Category'!$H$12</f>
        <v>0</v>
      </c>
      <c r="K22" s="16">
        <f t="shared" si="1"/>
        <v>26601.633560910584</v>
      </c>
    </row>
    <row r="23" spans="1:11" ht="18" customHeight="1">
      <c r="A23" s="5" t="s">
        <v>77</v>
      </c>
      <c r="B23" t="s">
        <v>43</v>
      </c>
      <c r="F23" s="54">
        <f>'[8](Tab 6) HSCRC_total By Category'!$C$13</f>
        <v>156</v>
      </c>
      <c r="G23" s="54">
        <f>'[8](Tab 6) HSCRC_total By Category'!$D$13</f>
        <v>291</v>
      </c>
      <c r="H23" s="15">
        <f>'[8](Tab 6) HSCRC_total By Category'!$E$13</f>
        <v>10372.091536000002</v>
      </c>
      <c r="I23" s="55">
        <f t="shared" si="0"/>
        <v>7043.6798754068468</v>
      </c>
      <c r="J23" s="15">
        <f>'[8](Tab 6) HSCRC_total By Category'!$H$13</f>
        <v>4314</v>
      </c>
      <c r="K23" s="16">
        <f t="shared" si="1"/>
        <v>13101.771411406848</v>
      </c>
    </row>
    <row r="24" spans="1:11" ht="18" customHeight="1">
      <c r="A24" s="5" t="s">
        <v>78</v>
      </c>
      <c r="B24" t="s">
        <v>44</v>
      </c>
      <c r="F24" s="54">
        <f>'[8](Tab 6) HSCRC_total By Category'!$C$14</f>
        <v>0</v>
      </c>
      <c r="G24" s="54">
        <f>'[8](Tab 6) HSCRC_total By Category'!$D$14</f>
        <v>0</v>
      </c>
      <c r="H24" s="15">
        <f>'[8](Tab 6) HSCRC_total By Category'!$E$14</f>
        <v>0</v>
      </c>
      <c r="I24" s="55">
        <f t="shared" si="0"/>
        <v>0</v>
      </c>
      <c r="J24" s="15">
        <f>'[8](Tab 6) HSCRC_total By Category'!$H$14</f>
        <v>0</v>
      </c>
      <c r="K24" s="16">
        <f t="shared" si="1"/>
        <v>0</v>
      </c>
    </row>
    <row r="25" spans="1:11" ht="18" customHeight="1">
      <c r="A25" s="5" t="s">
        <v>79</v>
      </c>
      <c r="B25" t="s">
        <v>5</v>
      </c>
      <c r="F25" s="54">
        <f>'[8](Tab 6) HSCRC_total By Category'!$C$15</f>
        <v>3195</v>
      </c>
      <c r="G25" s="54">
        <f>'[8](Tab 6) HSCRC_total By Category'!$D$15</f>
        <v>7101</v>
      </c>
      <c r="H25" s="15">
        <f>'[8](Tab 6) HSCRC_total By Category'!$E$15</f>
        <v>245447.33100800001</v>
      </c>
      <c r="I25" s="55">
        <f t="shared" si="0"/>
        <v>166683.10532092591</v>
      </c>
      <c r="J25" s="15">
        <f>'[8](Tab 6) HSCRC_total By Category'!$H$15</f>
        <v>109221</v>
      </c>
      <c r="K25" s="16">
        <f t="shared" si="1"/>
        <v>302909.43632892589</v>
      </c>
    </row>
    <row r="26" spans="1:11" ht="18" customHeight="1">
      <c r="A26" s="5" t="s">
        <v>80</v>
      </c>
      <c r="B26" t="s">
        <v>45</v>
      </c>
      <c r="F26" s="54">
        <f>'[8](Tab 6) HSCRC_total By Category'!$C$16</f>
        <v>30</v>
      </c>
      <c r="G26" s="54">
        <f>'[8](Tab 6) HSCRC_total By Category'!$D$16</f>
        <v>59</v>
      </c>
      <c r="H26" s="15">
        <f>'[8](Tab 6) HSCRC_total By Category'!$E$16</f>
        <v>771.55727999999999</v>
      </c>
      <c r="I26" s="55">
        <f t="shared" si="0"/>
        <v>523.96399192939441</v>
      </c>
      <c r="J26" s="15">
        <f>'[8](Tab 6) HSCRC_total By Category'!$H$16</f>
        <v>0</v>
      </c>
      <c r="K26" s="16">
        <f t="shared" si="1"/>
        <v>1295.5212719293945</v>
      </c>
    </row>
    <row r="27" spans="1:11" ht="18" customHeight="1">
      <c r="A27" s="5" t="s">
        <v>81</v>
      </c>
      <c r="B27" t="s">
        <v>46</v>
      </c>
      <c r="F27" s="54">
        <f>'[8](Tab 6) HSCRC_total By Category'!$C$17</f>
        <v>0</v>
      </c>
      <c r="G27" s="54">
        <f>'[8](Tab 6) HSCRC_total By Category'!$D$17</f>
        <v>0</v>
      </c>
      <c r="H27" s="15">
        <f>'[8](Tab 6) HSCRC_total By Category'!$E$17</f>
        <v>0</v>
      </c>
      <c r="I27" s="55">
        <f t="shared" si="0"/>
        <v>0</v>
      </c>
      <c r="J27" s="15">
        <f>'[8](Tab 6) HSCRC_total By Category'!$H$17</f>
        <v>0</v>
      </c>
      <c r="K27" s="16">
        <f t="shared" si="1"/>
        <v>0</v>
      </c>
    </row>
    <row r="28" spans="1:11" ht="18" customHeight="1">
      <c r="A28" s="5" t="s">
        <v>82</v>
      </c>
      <c r="B28" t="s">
        <v>47</v>
      </c>
      <c r="F28" s="54">
        <f>'[8](Tab 6) HSCRC_total By Category'!$C$18</f>
        <v>0</v>
      </c>
      <c r="G28" s="54">
        <f>'[8](Tab 6) HSCRC_total By Category'!$D$18</f>
        <v>0</v>
      </c>
      <c r="H28" s="15">
        <f>'[8](Tab 6) HSCRC_total By Category'!$E$18</f>
        <v>0</v>
      </c>
      <c r="I28" s="55">
        <f t="shared" si="0"/>
        <v>0</v>
      </c>
      <c r="J28" s="15">
        <f>'[8](Tab 6) HSCRC_total By Category'!$H$18</f>
        <v>0</v>
      </c>
      <c r="K28" s="16">
        <f t="shared" si="1"/>
        <v>0</v>
      </c>
    </row>
    <row r="29" spans="1:11" ht="18" customHeight="1">
      <c r="A29" s="5" t="s">
        <v>83</v>
      </c>
      <c r="B29" t="s">
        <v>48</v>
      </c>
      <c r="F29" s="54">
        <f>'[8](Tab 6) HSCRC_total By Category'!$C$19</f>
        <v>47</v>
      </c>
      <c r="G29" s="54">
        <f>'[8](Tab 6) HSCRC_total By Category'!$D$19</f>
        <v>712</v>
      </c>
      <c r="H29" s="15">
        <f>'[8](Tab 6) HSCRC_total By Category'!$E$19</f>
        <v>256408</v>
      </c>
      <c r="I29" s="55">
        <f>'[8](Tab 6) HSCRC_total By Category'!$F$19</f>
        <v>98423.2165864743</v>
      </c>
      <c r="J29" s="15">
        <f>'[8](Tab 6) HSCRC_total By Category'!$H$19</f>
        <v>1618</v>
      </c>
      <c r="K29" s="16">
        <f t="shared" si="1"/>
        <v>353213.21658647433</v>
      </c>
    </row>
    <row r="30" spans="1:11" ht="18" customHeight="1">
      <c r="A30" s="5" t="s">
        <v>84</v>
      </c>
      <c r="B30" s="547"/>
      <c r="C30" s="548"/>
      <c r="D30" s="549"/>
      <c r="F30" s="54"/>
      <c r="G30" s="54"/>
      <c r="H30" s="15"/>
      <c r="I30" s="55">
        <f>H30*F$114</f>
        <v>0</v>
      </c>
      <c r="J30" s="15"/>
      <c r="K30" s="16">
        <f t="shared" si="1"/>
        <v>0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>H31*F$114</f>
        <v>0</v>
      </c>
      <c r="J31" s="15"/>
      <c r="K31" s="16">
        <f t="shared" si="1"/>
        <v>0</v>
      </c>
    </row>
    <row r="32" spans="1:11" ht="18" customHeight="1">
      <c r="A32" s="5" t="s">
        <v>134</v>
      </c>
      <c r="B32" s="191"/>
      <c r="C32" s="192"/>
      <c r="D32" s="193"/>
      <c r="F32" s="54"/>
      <c r="G32" s="52" t="s">
        <v>85</v>
      </c>
      <c r="H32" s="15"/>
      <c r="I32" s="55">
        <f>H32*F$114</f>
        <v>0</v>
      </c>
      <c r="J32" s="15"/>
      <c r="K32" s="16">
        <f t="shared" si="1"/>
        <v>0</v>
      </c>
    </row>
    <row r="33" spans="1:11" ht="18" customHeight="1">
      <c r="A33" s="5" t="s">
        <v>135</v>
      </c>
      <c r="B33" s="191"/>
      <c r="C33" s="192"/>
      <c r="D33" s="193"/>
      <c r="F33" s="54"/>
      <c r="G33" s="52" t="s">
        <v>85</v>
      </c>
      <c r="H33" s="15"/>
      <c r="I33" s="55">
        <f>H33*F$114</f>
        <v>0</v>
      </c>
      <c r="J33" s="15"/>
      <c r="K33" s="16">
        <f t="shared" si="1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>H34*F$114</f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14580</v>
      </c>
      <c r="G36" s="18">
        <f t="shared" si="2"/>
        <v>1045124</v>
      </c>
      <c r="H36" s="18">
        <f t="shared" si="2"/>
        <v>1741984.9542719997</v>
      </c>
      <c r="I36" s="16">
        <f t="shared" si="2"/>
        <v>1107277.4539266606</v>
      </c>
      <c r="J36" s="16">
        <f t="shared" si="2"/>
        <v>438884</v>
      </c>
      <c r="K36" s="16">
        <f t="shared" si="2"/>
        <v>2410378.4081986602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>
        <f>'[8](Tab 6) HSCRC_total By Category'!$C29</f>
        <v>0</v>
      </c>
      <c r="G40" s="54">
        <f>'[8](Tab 6) HSCRC_total By Category'!$D29</f>
        <v>0</v>
      </c>
      <c r="H40" s="15">
        <f>'[8](Tab 6) HSCRC_total By Category'!$E29</f>
        <v>0</v>
      </c>
      <c r="I40" s="55">
        <v>0</v>
      </c>
      <c r="J40" s="15">
        <f>'[8](Tab 6) HSCRC_total By Category'!H$29</f>
        <v>0</v>
      </c>
      <c r="K40" s="16">
        <f t="shared" ref="K40:K47" si="3">(H40+I40)-J40</f>
        <v>0</v>
      </c>
    </row>
    <row r="41" spans="1:11" ht="18" customHeight="1">
      <c r="A41" s="5" t="s">
        <v>88</v>
      </c>
      <c r="B41" s="550" t="s">
        <v>50</v>
      </c>
      <c r="C41" s="551"/>
      <c r="F41" s="54">
        <f>'[8](Tab 6) HSCRC_total By Category'!$C30</f>
        <v>2206</v>
      </c>
      <c r="G41" s="54">
        <f>'[8](Tab 6) HSCRC_total By Category'!$D30</f>
        <v>0</v>
      </c>
      <c r="H41" s="15">
        <f>'[8](Tab 6) HSCRC_total By Category'!$E30</f>
        <v>105941.12048000001</v>
      </c>
      <c r="I41" s="55">
        <v>0</v>
      </c>
      <c r="J41" s="15">
        <f>'[8](Tab 6) HSCRC_total By Category'!H$29</f>
        <v>0</v>
      </c>
      <c r="K41" s="16">
        <f t="shared" si="3"/>
        <v>105941.12048000001</v>
      </c>
    </row>
    <row r="42" spans="1:11" ht="18" customHeight="1">
      <c r="A42" s="5" t="s">
        <v>89</v>
      </c>
      <c r="B42" s="1" t="s">
        <v>11</v>
      </c>
      <c r="F42" s="54">
        <f>'[8](Tab 6) HSCRC_total By Category'!$C31</f>
        <v>4799</v>
      </c>
      <c r="G42" s="54">
        <f>'[8](Tab 6) HSCRC_total By Category'!$D31</f>
        <v>50</v>
      </c>
      <c r="H42" s="15">
        <f>'[8](Tab 6) HSCRC_total By Category'!$E31</f>
        <v>190677.04031999997</v>
      </c>
      <c r="I42" s="55">
        <v>0</v>
      </c>
      <c r="J42" s="15">
        <f>'[8](Tab 6) HSCRC_total By Category'!H$29</f>
        <v>0</v>
      </c>
      <c r="K42" s="16">
        <f t="shared" si="3"/>
        <v>190677.04031999997</v>
      </c>
    </row>
    <row r="43" spans="1:11" ht="18" customHeight="1">
      <c r="A43" s="5" t="s">
        <v>90</v>
      </c>
      <c r="B43" s="47" t="s">
        <v>10</v>
      </c>
      <c r="C43" s="10"/>
      <c r="D43" s="10"/>
      <c r="F43" s="54">
        <f>'[8](Tab 6) HSCRC_total By Category'!$C32</f>
        <v>104</v>
      </c>
      <c r="G43" s="54">
        <f>'[8](Tab 6) HSCRC_total By Category'!$D32</f>
        <v>0</v>
      </c>
      <c r="H43" s="15">
        <f>'[8](Tab 6) HSCRC_total By Category'!$E32</f>
        <v>486785.96064</v>
      </c>
      <c r="I43" s="55">
        <v>0</v>
      </c>
      <c r="J43" s="15">
        <f>'[8](Tab 6) HSCRC_total By Category'!H$29</f>
        <v>0</v>
      </c>
      <c r="K43" s="16">
        <f t="shared" si="3"/>
        <v>486785.96064</v>
      </c>
    </row>
    <row r="44" spans="1:11" ht="18" customHeight="1">
      <c r="A44" s="5" t="s">
        <v>91</v>
      </c>
      <c r="B44" s="547" t="s">
        <v>282</v>
      </c>
      <c r="C44" s="548"/>
      <c r="D44" s="549"/>
      <c r="F44" s="54">
        <f>'[8](Tab 6) HSCRC_total By Category'!$C33</f>
        <v>300</v>
      </c>
      <c r="G44" s="54">
        <f>'[8](Tab 6) HSCRC_total By Category'!$D33</f>
        <v>15000</v>
      </c>
      <c r="H44" s="15">
        <f>'[8](Tab 6) HSCRC_total By Category'!$E33</f>
        <v>10323.7552</v>
      </c>
      <c r="I44" s="83">
        <v>0</v>
      </c>
      <c r="J44" s="15">
        <f>'[8](Tab 6) HSCRC_total By Category'!H$29</f>
        <v>0</v>
      </c>
      <c r="K44" s="81">
        <f t="shared" si="3"/>
        <v>10323.7552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3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3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3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7409</v>
      </c>
      <c r="G49" s="23">
        <f t="shared" si="4"/>
        <v>15050</v>
      </c>
      <c r="H49" s="16">
        <f t="shared" si="4"/>
        <v>793727.87663999991</v>
      </c>
      <c r="I49" s="16">
        <f t="shared" si="4"/>
        <v>0</v>
      </c>
      <c r="J49" s="16">
        <f t="shared" si="4"/>
        <v>0</v>
      </c>
      <c r="K49" s="16">
        <f t="shared" si="4"/>
        <v>793727.87663999991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85" t="s">
        <v>372</v>
      </c>
      <c r="C53" s="559"/>
      <c r="D53" s="532"/>
      <c r="F53" s="54">
        <f>'[8](Tab 6) HSCRC_total By Category'!$C37</f>
        <v>0</v>
      </c>
      <c r="G53" s="54">
        <f>'[8](Tab 6) HSCRC_total By Category'!$D37</f>
        <v>0</v>
      </c>
      <c r="H53" s="15">
        <f>'[8](Tab 6) HSCRC_total By Category'!$E37</f>
        <v>689219</v>
      </c>
      <c r="I53" s="55">
        <v>0</v>
      </c>
      <c r="J53" s="15">
        <f>'[8](Tab 6) HSCRC_total By Category'!$H37</f>
        <v>0</v>
      </c>
      <c r="K53" s="16">
        <f t="shared" ref="K53:K62" si="5">(H53+I53)-J53</f>
        <v>689219</v>
      </c>
    </row>
    <row r="54" spans="1:11" ht="18" customHeight="1">
      <c r="A54" s="5" t="s">
        <v>93</v>
      </c>
      <c r="B54" s="585" t="s">
        <v>371</v>
      </c>
      <c r="C54" s="559"/>
      <c r="D54" s="532"/>
      <c r="F54" s="54">
        <f>'[8](Tab 6) HSCRC_total By Category'!$C38</f>
        <v>0</v>
      </c>
      <c r="G54" s="54">
        <f>'[8](Tab 6) HSCRC_total By Category'!$D38</f>
        <v>0</v>
      </c>
      <c r="H54" s="15">
        <f>'[8](Tab 6) HSCRC_total By Category'!$E38</f>
        <v>1291924</v>
      </c>
      <c r="I54" s="55">
        <v>0</v>
      </c>
      <c r="J54" s="15">
        <f>'[8](Tab 6) HSCRC_total By Category'!$H38</f>
        <v>0</v>
      </c>
      <c r="K54" s="16">
        <f t="shared" si="5"/>
        <v>1291924</v>
      </c>
    </row>
    <row r="55" spans="1:11" ht="18" customHeight="1">
      <c r="A55" s="5" t="s">
        <v>94</v>
      </c>
      <c r="B55" s="585" t="s">
        <v>370</v>
      </c>
      <c r="C55" s="559"/>
      <c r="D55" s="532"/>
      <c r="F55" s="54">
        <f>'[8](Tab 6) HSCRC_total By Category'!$C39</f>
        <v>0</v>
      </c>
      <c r="G55" s="54">
        <f>'[8](Tab 6) HSCRC_total By Category'!$D39</f>
        <v>0</v>
      </c>
      <c r="H55" s="15">
        <f>'[8](Tab 6) HSCRC_total By Category'!$E39</f>
        <v>200000</v>
      </c>
      <c r="I55" s="55">
        <v>0</v>
      </c>
      <c r="J55" s="15">
        <f>'[8](Tab 6) HSCRC_total By Category'!$H39</f>
        <v>0</v>
      </c>
      <c r="K55" s="16">
        <f t="shared" si="5"/>
        <v>200000</v>
      </c>
    </row>
    <row r="56" spans="1:11" ht="18" customHeight="1">
      <c r="A56" s="5" t="s">
        <v>95</v>
      </c>
      <c r="B56" s="585" t="s">
        <v>369</v>
      </c>
      <c r="C56" s="559"/>
      <c r="D56" s="532"/>
      <c r="F56" s="54" t="s">
        <v>740</v>
      </c>
      <c r="G56" s="54">
        <f>'[8](Tab 6) HSCRC_total By Category'!$D40</f>
        <v>0</v>
      </c>
      <c r="H56" s="15">
        <f>'[8](Tab 6) HSCRC_total By Category'!$E40</f>
        <v>0</v>
      </c>
      <c r="I56" s="55">
        <v>0</v>
      </c>
      <c r="J56" s="15">
        <f>'[8](Tab 6) HSCRC_total By Category'!$H40</f>
        <v>0</v>
      </c>
      <c r="K56" s="16">
        <f t="shared" si="5"/>
        <v>0</v>
      </c>
    </row>
    <row r="57" spans="1:11" ht="18" customHeight="1">
      <c r="A57" s="5" t="s">
        <v>96</v>
      </c>
      <c r="B57" s="585" t="s">
        <v>368</v>
      </c>
      <c r="C57" s="559"/>
      <c r="D57" s="532"/>
      <c r="F57" s="54">
        <f>'[8](Tab 6) HSCRC_total By Category'!$C41</f>
        <v>0</v>
      </c>
      <c r="G57" s="54">
        <f>'[8](Tab 6) HSCRC_total By Category'!$D41</f>
        <v>0</v>
      </c>
      <c r="H57" s="15">
        <f>'[8](Tab 6) HSCRC_total By Category'!$E41</f>
        <v>570495</v>
      </c>
      <c r="I57" s="55">
        <v>0</v>
      </c>
      <c r="J57" s="15">
        <f>'[8](Tab 6) HSCRC_total By Category'!$H41</f>
        <v>0</v>
      </c>
      <c r="K57" s="16">
        <f t="shared" si="5"/>
        <v>570495</v>
      </c>
    </row>
    <row r="58" spans="1:11" ht="18" customHeight="1">
      <c r="A58" s="5" t="s">
        <v>97</v>
      </c>
      <c r="B58" s="585" t="s">
        <v>367</v>
      </c>
      <c r="C58" s="559"/>
      <c r="D58" s="532"/>
      <c r="F58" s="54">
        <f>'[8](Tab 6) HSCRC_total By Category'!$C42</f>
        <v>0</v>
      </c>
      <c r="G58" s="54">
        <f>'[8](Tab 6) HSCRC_total By Category'!$D42</f>
        <v>0</v>
      </c>
      <c r="H58" s="15">
        <f>'[8](Tab 6) HSCRC_total By Category'!$E42</f>
        <v>1348710</v>
      </c>
      <c r="I58" s="55">
        <v>0</v>
      </c>
      <c r="J58" s="15">
        <f>'[8](Tab 6) HSCRC_total By Category'!$H42</f>
        <v>0</v>
      </c>
      <c r="K58" s="16">
        <f t="shared" si="5"/>
        <v>1348710</v>
      </c>
    </row>
    <row r="59" spans="1:11" ht="18" customHeight="1">
      <c r="A59" s="5" t="s">
        <v>98</v>
      </c>
      <c r="B59" s="585" t="s">
        <v>366</v>
      </c>
      <c r="C59" s="559"/>
      <c r="D59" s="532"/>
      <c r="F59" s="54">
        <f>'[8](Tab 6) HSCRC_total By Category'!$C43</f>
        <v>0</v>
      </c>
      <c r="G59" s="54">
        <f>'[8](Tab 6) HSCRC_total By Category'!$D43</f>
        <v>0</v>
      </c>
      <c r="H59" s="15">
        <f>'[8](Tab 6) HSCRC_total By Category'!$E43</f>
        <v>789296</v>
      </c>
      <c r="I59" s="55">
        <v>0</v>
      </c>
      <c r="J59" s="15">
        <f>'[8](Tab 6) HSCRC_total By Category'!$H43</f>
        <v>0</v>
      </c>
      <c r="K59" s="16">
        <f t="shared" si="5"/>
        <v>789296</v>
      </c>
    </row>
    <row r="60" spans="1:11" ht="18" customHeight="1">
      <c r="A60" s="5" t="s">
        <v>99</v>
      </c>
      <c r="B60" s="585" t="s">
        <v>365</v>
      </c>
      <c r="C60" s="559"/>
      <c r="D60" s="532"/>
      <c r="F60" s="54">
        <f>'[8](Tab 6) HSCRC_total By Category'!$C$44+'[8](Tab 6) HSCRC_total By Category'!$C$45+'[8](Tab 6) HSCRC_total By Category'!$C$46+'[8](Tab 6) HSCRC_total By Category'!$C$47</f>
        <v>0</v>
      </c>
      <c r="G60" s="54">
        <f>'[8](Tab 6) HSCRC_total By Category'!$D$44+'[8](Tab 6) HSCRC_total By Category'!$D$45+'[8](Tab 6) HSCRC_total By Category'!$D$46+'[8](Tab 6) HSCRC_total By Category'!$D$47</f>
        <v>0</v>
      </c>
      <c r="H60" s="15">
        <f>'[8](Tab 6) HSCRC_total By Category'!$E$44+'[8](Tab 6) HSCRC_total By Category'!$E$45+'[8](Tab 6) HSCRC_total By Category'!$E$46+'[8](Tab 6) HSCRC_total By Category'!$E$47</f>
        <v>4466351</v>
      </c>
      <c r="I60" s="55">
        <v>0</v>
      </c>
      <c r="J60" s="15">
        <f>'[8](Tab 6) HSCRC_total By Category'!$H$44+'[8](Tab 6) HSCRC_total By Category'!$H$45+'[8](Tab 6) HSCRC_total By Category'!$H$46+'[8](Tab 6) HSCRC_total By Category'!$H$47</f>
        <v>0</v>
      </c>
      <c r="K60" s="16">
        <f t="shared" si="5"/>
        <v>4466351</v>
      </c>
    </row>
    <row r="61" spans="1:11" ht="18" customHeight="1">
      <c r="A61" s="5" t="s">
        <v>100</v>
      </c>
      <c r="B61" s="194" t="s">
        <v>364</v>
      </c>
      <c r="C61" s="190"/>
      <c r="D61" s="188"/>
      <c r="F61" s="54">
        <f>'[8](Tab 6) HSCRC_total By Category'!$C48</f>
        <v>208</v>
      </c>
      <c r="G61" s="54">
        <f>'[8](Tab 6) HSCRC_total By Category'!$D48</f>
        <v>9174</v>
      </c>
      <c r="H61" s="15">
        <f>'[8](Tab 6) HSCRC_total By Category'!$E48</f>
        <v>5296</v>
      </c>
      <c r="I61" s="55">
        <v>0</v>
      </c>
      <c r="J61" s="15">
        <f>'[8](Tab 6) HSCRC_total By Category'!$H48</f>
        <v>0</v>
      </c>
      <c r="K61" s="16">
        <f t="shared" si="5"/>
        <v>5296</v>
      </c>
    </row>
    <row r="62" spans="1:11" ht="18" customHeight="1">
      <c r="A62" s="5" t="s">
        <v>101</v>
      </c>
      <c r="B62" s="557" t="s">
        <v>363</v>
      </c>
      <c r="C62" s="531"/>
      <c r="D62" s="532"/>
      <c r="F62" s="54">
        <f>'[8](Tab 6) HSCRC_total By Category'!$C49+'[8](Tab 6) HSCRC_total By Category'!$C50</f>
        <v>2496</v>
      </c>
      <c r="G62" s="54">
        <f>'[8](Tab 6) HSCRC_total By Category'!$D49+'[8](Tab 6) HSCRC_total By Category'!$D50</f>
        <v>2724</v>
      </c>
      <c r="H62" s="15">
        <f>'[8](Tab 6) HSCRC_total By Category'!$E49+'[8](Tab 6) HSCRC_total By Category'!$E50</f>
        <v>357371</v>
      </c>
      <c r="I62" s="55">
        <v>0</v>
      </c>
      <c r="J62" s="15">
        <f>'[8](Tab 6) HSCRC_total By Category'!$H49+'[8](Tab 6) HSCRC_total By Category'!$H50</f>
        <v>0</v>
      </c>
      <c r="K62" s="16">
        <f t="shared" si="5"/>
        <v>357371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6">SUM(F53:F62)</f>
        <v>2704</v>
      </c>
      <c r="G64" s="18">
        <f t="shared" si="6"/>
        <v>11898</v>
      </c>
      <c r="H64" s="16">
        <f t="shared" si="6"/>
        <v>9718662</v>
      </c>
      <c r="I64" s="16">
        <f t="shared" si="6"/>
        <v>0</v>
      </c>
      <c r="J64" s="16">
        <f t="shared" si="6"/>
        <v>0</v>
      </c>
      <c r="K64" s="16">
        <f t="shared" si="6"/>
        <v>9718662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185">
        <f>'[8](Tab 6) HSCRC_total By Category'!$C$54</f>
        <v>0</v>
      </c>
      <c r="G68" s="185">
        <f>'[8](Tab 6) HSCRC_total By Category'!$D$54</f>
        <v>0</v>
      </c>
      <c r="H68" s="184">
        <f>'[8](Tab 6) HSCRC_total By Category'!$E$54</f>
        <v>136700</v>
      </c>
      <c r="I68" s="55">
        <v>0</v>
      </c>
      <c r="J68" s="184">
        <f>'[8](Tab 6) HSCRC_total By Category'!$H$54</f>
        <v>0</v>
      </c>
      <c r="K68" s="16">
        <f>(H68+I68)-J68</f>
        <v>136700</v>
      </c>
    </row>
    <row r="69" spans="1:11" ht="18" customHeight="1">
      <c r="A69" s="5" t="s">
        <v>104</v>
      </c>
      <c r="B69" s="1" t="s">
        <v>53</v>
      </c>
      <c r="F69" s="185">
        <f>'[8](Tab 6) HSCRC_total By Category'!$C$55</f>
        <v>0</v>
      </c>
      <c r="G69" s="185">
        <f>'[8](Tab 6) HSCRC_total By Category'!$D$55</f>
        <v>0</v>
      </c>
      <c r="H69" s="184">
        <f>'[8](Tab 6) HSCRC_total By Category'!$E$55</f>
        <v>0</v>
      </c>
      <c r="I69" s="55">
        <v>0</v>
      </c>
      <c r="J69" s="184">
        <f>'[8](Tab 6) HSCRC_total By Category'!$H$55</f>
        <v>0</v>
      </c>
      <c r="K69" s="16">
        <f>(H69+I69)-J69</f>
        <v>0</v>
      </c>
    </row>
    <row r="70" spans="1:11" ht="18" customHeight="1">
      <c r="A70" s="5" t="s">
        <v>178</v>
      </c>
      <c r="B70" s="189"/>
      <c r="C70" s="190"/>
      <c r="D70" s="188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189"/>
      <c r="C71" s="190"/>
      <c r="D71" s="188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186"/>
      <c r="C72" s="187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7">SUM(F68:F72)</f>
        <v>0</v>
      </c>
      <c r="G74" s="21">
        <f t="shared" si="7"/>
        <v>0</v>
      </c>
      <c r="H74" s="21">
        <f t="shared" si="7"/>
        <v>136700</v>
      </c>
      <c r="I74" s="53">
        <f t="shared" si="7"/>
        <v>0</v>
      </c>
      <c r="J74" s="21">
        <f t="shared" si="7"/>
        <v>0</v>
      </c>
      <c r="K74" s="56">
        <f t="shared" si="7"/>
        <v>136700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>
        <f>'[8](Tab 6) HSCRC_total By Category'!$C62</f>
        <v>147</v>
      </c>
      <c r="G77" s="54">
        <f>'[8](Tab 6) HSCRC_total By Category'!$D62</f>
        <v>22142</v>
      </c>
      <c r="H77" s="15">
        <f>'[8](Tab 6) HSCRC_total By Category'!$E62</f>
        <v>343960.12640000001</v>
      </c>
      <c r="I77" s="55">
        <v>0</v>
      </c>
      <c r="J77" s="15">
        <f>'[8](Tab 6) HSCRC_total By Category'!$H62</f>
        <v>0</v>
      </c>
      <c r="K77" s="16">
        <f>(H77+I77)-J77</f>
        <v>343960.12640000001</v>
      </c>
    </row>
    <row r="78" spans="1:11" ht="18" customHeight="1">
      <c r="A78" s="5" t="s">
        <v>108</v>
      </c>
      <c r="B78" s="1" t="s">
        <v>55</v>
      </c>
      <c r="F78" s="54">
        <f>'[8](Tab 6) HSCRC_total By Category'!$C63</f>
        <v>0</v>
      </c>
      <c r="G78" s="54">
        <f>'[8](Tab 6) HSCRC_total By Category'!$D63</f>
        <v>0</v>
      </c>
      <c r="H78" s="15">
        <f>'[8](Tab 6) HSCRC_total By Category'!$E63</f>
        <v>0</v>
      </c>
      <c r="I78" s="55">
        <v>0</v>
      </c>
      <c r="J78" s="15">
        <f>'[8](Tab 6) HSCRC_total By Category'!$H63</f>
        <v>0</v>
      </c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>
        <f>'[8](Tab 6) HSCRC_total By Category'!$C64</f>
        <v>565</v>
      </c>
      <c r="G79" s="54">
        <f>'[8](Tab 6) HSCRC_total By Category'!$D64</f>
        <v>10925</v>
      </c>
      <c r="H79" s="15">
        <f>'[8](Tab 6) HSCRC_total By Category'!$E64</f>
        <v>237410.87867999997</v>
      </c>
      <c r="I79" s="55">
        <v>0</v>
      </c>
      <c r="J79" s="15">
        <f>'[8](Tab 6) HSCRC_total By Category'!$H64</f>
        <v>0</v>
      </c>
      <c r="K79" s="16">
        <f>(H79+I79)-J79</f>
        <v>237410.87867999997</v>
      </c>
    </row>
    <row r="80" spans="1:11" ht="18" customHeight="1">
      <c r="A80" s="5" t="s">
        <v>110</v>
      </c>
      <c r="B80" s="1" t="s">
        <v>56</v>
      </c>
      <c r="F80" s="54">
        <f>'[8](Tab 6) HSCRC_total By Category'!$C65</f>
        <v>0</v>
      </c>
      <c r="G80" s="54">
        <f>'[8](Tab 6) HSCRC_total By Category'!$D65</f>
        <v>0</v>
      </c>
      <c r="H80" s="15">
        <f>'[8](Tab 6) HSCRC_total By Category'!$E65</f>
        <v>250000</v>
      </c>
      <c r="I80" s="55">
        <f>'[8](Tab 6) HSCRC_total By Category'!$F65</f>
        <v>46616.20791060492</v>
      </c>
      <c r="J80" s="15">
        <f>'[8](Tab 6) HSCRC_total By Category'!$H65</f>
        <v>0</v>
      </c>
      <c r="K80" s="16">
        <f>(H80+I80)-J80</f>
        <v>296616.20791060489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8">SUM(F77:F80)</f>
        <v>712</v>
      </c>
      <c r="G82" s="21">
        <f t="shared" si="8"/>
        <v>33067</v>
      </c>
      <c r="H82" s="56">
        <f t="shared" si="8"/>
        <v>831371.00508000003</v>
      </c>
      <c r="I82" s="56">
        <f t="shared" si="8"/>
        <v>46616.20791060492</v>
      </c>
      <c r="J82" s="56">
        <f t="shared" si="8"/>
        <v>0</v>
      </c>
      <c r="K82" s="56">
        <f t="shared" si="8"/>
        <v>877987.21299060492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>
        <f>'[8](Tab 6) HSCRC_total By Category'!$C69</f>
        <v>5</v>
      </c>
      <c r="G86" s="54">
        <f>'[8](Tab 6) HSCRC_total By Category'!$D69</f>
        <v>300000</v>
      </c>
      <c r="H86" s="15">
        <f>'[8](Tab 6) HSCRC_total By Category'!$E69</f>
        <v>100347.90496</v>
      </c>
      <c r="I86" s="55">
        <f t="shared" ref="I86:I91" si="9">H86*F$114</f>
        <v>68146.18982610479</v>
      </c>
      <c r="J86" s="15">
        <f>'[8](Tab 6) HSCRC_total By Category'!$H69</f>
        <v>0</v>
      </c>
      <c r="K86" s="16">
        <f t="shared" ref="K86:K96" si="10">(H86+I86)-J86</f>
        <v>168494.0947861048</v>
      </c>
    </row>
    <row r="87" spans="1:11" ht="18" customHeight="1">
      <c r="A87" s="5" t="s">
        <v>114</v>
      </c>
      <c r="B87" s="1" t="s">
        <v>14</v>
      </c>
      <c r="F87" s="54">
        <f>'[8](Tab 6) HSCRC_total By Category'!$C70</f>
        <v>0</v>
      </c>
      <c r="G87" s="54">
        <f>'[8](Tab 6) HSCRC_total By Category'!$D70</f>
        <v>0</v>
      </c>
      <c r="H87" s="15">
        <f>'[8](Tab 6) HSCRC_total By Category'!$E70</f>
        <v>0</v>
      </c>
      <c r="I87" s="55">
        <f t="shared" si="9"/>
        <v>0</v>
      </c>
      <c r="J87" s="15">
        <f>'[8](Tab 6) HSCRC_total By Category'!$H70</f>
        <v>0</v>
      </c>
      <c r="K87" s="16">
        <f t="shared" si="10"/>
        <v>0</v>
      </c>
    </row>
    <row r="88" spans="1:11" ht="18" customHeight="1">
      <c r="A88" s="5" t="s">
        <v>115</v>
      </c>
      <c r="B88" s="1" t="s">
        <v>116</v>
      </c>
      <c r="F88" s="54">
        <f>'[8](Tab 6) HSCRC_total By Category'!$C71</f>
        <v>1222</v>
      </c>
      <c r="G88" s="54">
        <f>'[8](Tab 6) HSCRC_total By Category'!$D71</f>
        <v>200</v>
      </c>
      <c r="H88" s="15">
        <f>'[8](Tab 6) HSCRC_total By Category'!$E71</f>
        <v>93561.798655999999</v>
      </c>
      <c r="I88" s="55">
        <f t="shared" si="9"/>
        <v>63537.749933345214</v>
      </c>
      <c r="J88" s="15">
        <f>'[8](Tab 6) HSCRC_total By Category'!$H71</f>
        <v>0</v>
      </c>
      <c r="K88" s="16">
        <f t="shared" si="10"/>
        <v>157099.54858934521</v>
      </c>
    </row>
    <row r="89" spans="1:11" ht="18" customHeight="1">
      <c r="A89" s="5" t="s">
        <v>117</v>
      </c>
      <c r="B89" s="1" t="s">
        <v>58</v>
      </c>
      <c r="F89" s="54">
        <f>'[8](Tab 6) HSCRC_total By Category'!$C72</f>
        <v>0</v>
      </c>
      <c r="G89" s="54">
        <f>'[8](Tab 6) HSCRC_total By Category'!$D72</f>
        <v>0</v>
      </c>
      <c r="H89" s="15">
        <f>'[8](Tab 6) HSCRC_total By Category'!$E72</f>
        <v>0</v>
      </c>
      <c r="I89" s="55">
        <f t="shared" si="9"/>
        <v>0</v>
      </c>
      <c r="J89" s="15">
        <f>'[8](Tab 6) HSCRC_total By Category'!$H72</f>
        <v>0</v>
      </c>
      <c r="K89" s="16">
        <f t="shared" si="10"/>
        <v>0</v>
      </c>
    </row>
    <row r="90" spans="1:11" ht="18" customHeight="1">
      <c r="A90" s="5" t="s">
        <v>118</v>
      </c>
      <c r="B90" s="550" t="s">
        <v>59</v>
      </c>
      <c r="C90" s="551"/>
      <c r="F90" s="54">
        <f>'[8](Tab 6) HSCRC_total By Category'!$C73</f>
        <v>0</v>
      </c>
      <c r="G90" s="54">
        <f>'[8](Tab 6) HSCRC_total By Category'!$D73</f>
        <v>0</v>
      </c>
      <c r="H90" s="15">
        <f>'[8](Tab 6) HSCRC_total By Category'!$E73</f>
        <v>0</v>
      </c>
      <c r="I90" s="55">
        <f t="shared" si="9"/>
        <v>0</v>
      </c>
      <c r="J90" s="15">
        <f>'[8](Tab 6) HSCRC_total By Category'!$H73</f>
        <v>0</v>
      </c>
      <c r="K90" s="16">
        <f t="shared" si="10"/>
        <v>0</v>
      </c>
    </row>
    <row r="91" spans="1:11" ht="18" customHeight="1">
      <c r="A91" s="5" t="s">
        <v>119</v>
      </c>
      <c r="B91" s="1" t="s">
        <v>60</v>
      </c>
      <c r="F91" s="54">
        <f>'[8](Tab 6) HSCRC_total By Category'!$C74</f>
        <v>0</v>
      </c>
      <c r="G91" s="54">
        <f>'[8](Tab 6) HSCRC_total By Category'!$D74</f>
        <v>0</v>
      </c>
      <c r="H91" s="15">
        <f>'[8](Tab 6) HSCRC_total By Category'!$E74</f>
        <v>0</v>
      </c>
      <c r="I91" s="55">
        <f t="shared" si="9"/>
        <v>0</v>
      </c>
      <c r="J91" s="15">
        <f>'[8](Tab 6) HSCRC_total By Category'!$H74</f>
        <v>0</v>
      </c>
      <c r="K91" s="16">
        <f t="shared" si="10"/>
        <v>0</v>
      </c>
    </row>
    <row r="92" spans="1:11" ht="18" customHeight="1">
      <c r="A92" s="5" t="s">
        <v>120</v>
      </c>
      <c r="B92" s="1" t="s">
        <v>121</v>
      </c>
      <c r="F92" s="54">
        <f>'[8](Tab 6) HSCRC_total By Category'!$C75</f>
        <v>0</v>
      </c>
      <c r="G92" s="54">
        <f>'[8](Tab 6) HSCRC_total By Category'!$D75</f>
        <v>0</v>
      </c>
      <c r="H92" s="15">
        <f>'[8](Tab 6) HSCRC_total By Category'!$E75</f>
        <v>0</v>
      </c>
      <c r="I92" s="55">
        <v>0</v>
      </c>
      <c r="J92" s="15">
        <f>'[8](Tab 6) HSCRC_total By Category'!$H75</f>
        <v>0</v>
      </c>
      <c r="K92" s="16">
        <f t="shared" si="10"/>
        <v>0</v>
      </c>
    </row>
    <row r="93" spans="1:11" ht="18" customHeight="1">
      <c r="A93" s="5" t="s">
        <v>122</v>
      </c>
      <c r="B93" s="1" t="s">
        <v>123</v>
      </c>
      <c r="F93" s="54">
        <f>'[8](Tab 6) HSCRC_total By Category'!$C76</f>
        <v>25</v>
      </c>
      <c r="G93" s="54">
        <f>'[8](Tab 6) HSCRC_total By Category'!$D76</f>
        <v>125</v>
      </c>
      <c r="H93" s="15">
        <f>'[8](Tab 6) HSCRC_total By Category'!$E76</f>
        <v>897.33342400000004</v>
      </c>
      <c r="I93" s="55">
        <f>H93*F$114</f>
        <v>609.37848053317816</v>
      </c>
      <c r="J93" s="15">
        <f>'[8](Tab 6) HSCRC_total By Category'!$H76</f>
        <v>0</v>
      </c>
      <c r="K93" s="16">
        <f t="shared" si="10"/>
        <v>1506.7119045331783</v>
      </c>
    </row>
    <row r="94" spans="1:11" ht="18" customHeight="1">
      <c r="A94" s="5" t="s">
        <v>124</v>
      </c>
      <c r="B94" s="557" t="s">
        <v>362</v>
      </c>
      <c r="C94" s="531"/>
      <c r="D94" s="532"/>
      <c r="F94" s="54">
        <f>'[8](Tab 6) HSCRC_total By Category'!$C77</f>
        <v>0</v>
      </c>
      <c r="G94" s="54">
        <f>'[8](Tab 6) HSCRC_total By Category'!$D77</f>
        <v>0</v>
      </c>
      <c r="H94" s="15">
        <f>'[8](Tab 6) HSCRC_total By Category'!$E77</f>
        <v>0</v>
      </c>
      <c r="I94" s="55">
        <f>H94*F$114</f>
        <v>0</v>
      </c>
      <c r="J94" s="15">
        <f>'[8](Tab 6) HSCRC_total By Category'!$H77</f>
        <v>0</v>
      </c>
      <c r="K94" s="16">
        <f t="shared" si="10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>H95*F$114</f>
        <v>0</v>
      </c>
      <c r="J95" s="15"/>
      <c r="K95" s="16">
        <f t="shared" si="10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>H96*F$114</f>
        <v>0</v>
      </c>
      <c r="J96" s="15"/>
      <c r="K96" s="16">
        <f t="shared" si="10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1">SUM(F86:F96)</f>
        <v>1252</v>
      </c>
      <c r="G98" s="18">
        <f t="shared" si="11"/>
        <v>300325</v>
      </c>
      <c r="H98" s="18">
        <f t="shared" si="11"/>
        <v>194807.03704000002</v>
      </c>
      <c r="I98" s="18">
        <f t="shared" si="11"/>
        <v>132293.31823998317</v>
      </c>
      <c r="J98" s="18">
        <f t="shared" si="11"/>
        <v>0</v>
      </c>
      <c r="K98" s="18">
        <f t="shared" si="11"/>
        <v>327100.35527998325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>
        <f>'[8](Tab 6) HSCRC_total By Category'!$C81</f>
        <v>1515</v>
      </c>
      <c r="G102" s="54">
        <f>'[8](Tab 6) HSCRC_total By Category'!$D81</f>
        <v>0</v>
      </c>
      <c r="H102" s="15">
        <f>'[8](Tab 6) HSCRC_total By Category'!$E81</f>
        <v>45000.739199999996</v>
      </c>
      <c r="I102" s="55">
        <f>H102*F$114</f>
        <v>30559.969508687136</v>
      </c>
      <c r="J102" s="15">
        <f>'[8](Tab 6) HSCRC_total By Category'!$H81</f>
        <v>0</v>
      </c>
      <c r="K102" s="16">
        <f>(H102+I102)-J102</f>
        <v>75560.708708687132</v>
      </c>
    </row>
    <row r="103" spans="1:11" ht="18" customHeight="1">
      <c r="A103" s="5" t="s">
        <v>132</v>
      </c>
      <c r="B103" s="550" t="s">
        <v>62</v>
      </c>
      <c r="C103" s="550"/>
      <c r="F103" s="54">
        <f>'[8](Tab 6) HSCRC_total By Category'!$C82</f>
        <v>0</v>
      </c>
      <c r="G103" s="54">
        <f>'[8](Tab 6) HSCRC_total By Category'!$D82</f>
        <v>0</v>
      </c>
      <c r="H103" s="15">
        <f>'[8](Tab 6) HSCRC_total By Category'!$E82</f>
        <v>0</v>
      </c>
      <c r="I103" s="55">
        <f>H103*F$114</f>
        <v>0</v>
      </c>
      <c r="J103" s="15">
        <f>'[8](Tab 6) HSCRC_total By Category'!$H82</f>
        <v>0</v>
      </c>
      <c r="K103" s="16">
        <f>(H103+I103)-J103</f>
        <v>0</v>
      </c>
    </row>
    <row r="104" spans="1:11" ht="18" customHeight="1">
      <c r="A104" s="5" t="s">
        <v>128</v>
      </c>
      <c r="B104" s="530"/>
      <c r="C104" s="531"/>
      <c r="D104" s="532"/>
      <c r="F104" s="54">
        <f>'[8](Tab 6) HSCRC_total By Category'!$C83</f>
        <v>0</v>
      </c>
      <c r="G104" s="54">
        <f>'[8](Tab 6) HSCRC_total By Category'!$D83</f>
        <v>0</v>
      </c>
      <c r="H104" s="15">
        <f>'[8](Tab 6) HSCRC_total By Category'!$E83</f>
        <v>0</v>
      </c>
      <c r="I104" s="55">
        <f>H104*F$114</f>
        <v>0</v>
      </c>
      <c r="J104" s="15">
        <f>'[8](Tab 6) HSCRC_total By Category'!$H83</f>
        <v>0</v>
      </c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2">SUM(F102:F106)</f>
        <v>1515</v>
      </c>
      <c r="G108" s="18">
        <f t="shared" si="12"/>
        <v>0</v>
      </c>
      <c r="H108" s="16">
        <f t="shared" si="12"/>
        <v>45000.739199999996</v>
      </c>
      <c r="I108" s="16">
        <f t="shared" si="12"/>
        <v>30559.969508687136</v>
      </c>
      <c r="J108" s="16">
        <f t="shared" si="12"/>
        <v>0</v>
      </c>
      <c r="K108" s="16">
        <f t="shared" si="12"/>
        <v>75560.708708687132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f>'[8](Tab 6) HSCRC_total By Category'!$C$87</f>
        <v>6269194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f>'[8](Tab 6) HSCRC_total By Category'!$C$90</f>
        <v>0.67909927818890448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f>'[8](Tab 6) HSCRC_total By Category'!$C$93</f>
        <v>239637000</v>
      </c>
    </row>
    <row r="118" spans="1:6" ht="18" customHeight="1">
      <c r="A118" s="5" t="s">
        <v>173</v>
      </c>
      <c r="B118" t="s">
        <v>18</v>
      </c>
      <c r="F118" s="15">
        <f>'[8](Tab 6) HSCRC_total By Category'!$C$94</f>
        <v>4295000</v>
      </c>
    </row>
    <row r="119" spans="1:6" ht="18" customHeight="1">
      <c r="A119" s="5" t="s">
        <v>174</v>
      </c>
      <c r="B119" s="2" t="s">
        <v>19</v>
      </c>
      <c r="F119" s="56">
        <f>SUM(F117:F118)</f>
        <v>243932000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f>'[8](Tab 6) HSCRC_total By Category'!$C$97</f>
        <v>230182000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f>'[8](Tab 6) HSCRC_total By Category'!$C$99</f>
        <v>13750000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f>'[8](Tab 6) HSCRC_total By Category'!$C$101</f>
        <v>-15020000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f>'[8](Tab 6) HSCRC_total By Category'!$C$103</f>
        <v>-1270000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3">SUM(F131:F135)</f>
        <v>0</v>
      </c>
      <c r="G137" s="18">
        <f t="shared" si="13"/>
        <v>0</v>
      </c>
      <c r="H137" s="16">
        <f t="shared" si="13"/>
        <v>0</v>
      </c>
      <c r="I137" s="16">
        <f t="shared" si="13"/>
        <v>0</v>
      </c>
      <c r="J137" s="16">
        <f t="shared" si="13"/>
        <v>0</v>
      </c>
      <c r="K137" s="16">
        <f t="shared" si="13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4">F36</f>
        <v>14580</v>
      </c>
      <c r="G141" s="41">
        <f t="shared" si="14"/>
        <v>1045124</v>
      </c>
      <c r="H141" s="41">
        <f t="shared" si="14"/>
        <v>1741984.9542719997</v>
      </c>
      <c r="I141" s="41">
        <f t="shared" si="14"/>
        <v>1107277.4539266606</v>
      </c>
      <c r="J141" s="41">
        <f t="shared" si="14"/>
        <v>438884</v>
      </c>
      <c r="K141" s="41">
        <f t="shared" si="14"/>
        <v>2410378.4081986602</v>
      </c>
    </row>
    <row r="142" spans="1:11" ht="18" customHeight="1">
      <c r="A142" s="5" t="s">
        <v>142</v>
      </c>
      <c r="B142" s="2" t="s">
        <v>65</v>
      </c>
      <c r="F142" s="41">
        <f t="shared" ref="F142:K142" si="15">F49</f>
        <v>7409</v>
      </c>
      <c r="G142" s="41">
        <f t="shared" si="15"/>
        <v>15050</v>
      </c>
      <c r="H142" s="41">
        <f t="shared" si="15"/>
        <v>793727.87663999991</v>
      </c>
      <c r="I142" s="41">
        <f t="shared" si="15"/>
        <v>0</v>
      </c>
      <c r="J142" s="41">
        <f t="shared" si="15"/>
        <v>0</v>
      </c>
      <c r="K142" s="41">
        <f t="shared" si="15"/>
        <v>793727.87663999991</v>
      </c>
    </row>
    <row r="143" spans="1:11" ht="18" customHeight="1">
      <c r="A143" s="5" t="s">
        <v>144</v>
      </c>
      <c r="B143" s="2" t="s">
        <v>66</v>
      </c>
      <c r="F143" s="41">
        <f t="shared" ref="F143:K143" si="16">F64</f>
        <v>2704</v>
      </c>
      <c r="G143" s="41">
        <f t="shared" si="16"/>
        <v>11898</v>
      </c>
      <c r="H143" s="41">
        <f t="shared" si="16"/>
        <v>9718662</v>
      </c>
      <c r="I143" s="41">
        <f t="shared" si="16"/>
        <v>0</v>
      </c>
      <c r="J143" s="41">
        <f t="shared" si="16"/>
        <v>0</v>
      </c>
      <c r="K143" s="41">
        <f t="shared" si="16"/>
        <v>9718662</v>
      </c>
    </row>
    <row r="144" spans="1:11" ht="18" customHeight="1">
      <c r="A144" s="5" t="s">
        <v>146</v>
      </c>
      <c r="B144" s="2" t="s">
        <v>67</v>
      </c>
      <c r="F144" s="41">
        <f t="shared" ref="F144:K144" si="17">F74</f>
        <v>0</v>
      </c>
      <c r="G144" s="41">
        <f t="shared" si="17"/>
        <v>0</v>
      </c>
      <c r="H144" s="41">
        <f t="shared" si="17"/>
        <v>136700</v>
      </c>
      <c r="I144" s="41">
        <f t="shared" si="17"/>
        <v>0</v>
      </c>
      <c r="J144" s="41">
        <f t="shared" si="17"/>
        <v>0</v>
      </c>
      <c r="K144" s="41">
        <f t="shared" si="17"/>
        <v>136700</v>
      </c>
    </row>
    <row r="145" spans="1:11" ht="18" customHeight="1">
      <c r="A145" s="5" t="s">
        <v>148</v>
      </c>
      <c r="B145" s="2" t="s">
        <v>68</v>
      </c>
      <c r="F145" s="41">
        <f t="shared" ref="F145:K145" si="18">F82</f>
        <v>712</v>
      </c>
      <c r="G145" s="41">
        <f t="shared" si="18"/>
        <v>33067</v>
      </c>
      <c r="H145" s="41">
        <f t="shared" si="18"/>
        <v>831371.00508000003</v>
      </c>
      <c r="I145" s="41">
        <f t="shared" si="18"/>
        <v>46616.20791060492</v>
      </c>
      <c r="J145" s="41">
        <f t="shared" si="18"/>
        <v>0</v>
      </c>
      <c r="K145" s="41">
        <f t="shared" si="18"/>
        <v>877987.21299060492</v>
      </c>
    </row>
    <row r="146" spans="1:11" ht="18" customHeight="1">
      <c r="A146" s="5" t="s">
        <v>150</v>
      </c>
      <c r="B146" s="2" t="s">
        <v>69</v>
      </c>
      <c r="F146" s="41">
        <f t="shared" ref="F146:K146" si="19">F98</f>
        <v>1252</v>
      </c>
      <c r="G146" s="41">
        <f t="shared" si="19"/>
        <v>300325</v>
      </c>
      <c r="H146" s="41">
        <f t="shared" si="19"/>
        <v>194807.03704000002</v>
      </c>
      <c r="I146" s="41">
        <f t="shared" si="19"/>
        <v>132293.31823998317</v>
      </c>
      <c r="J146" s="41">
        <f t="shared" si="19"/>
        <v>0</v>
      </c>
      <c r="K146" s="41">
        <f t="shared" si="19"/>
        <v>327100.35527998325</v>
      </c>
    </row>
    <row r="147" spans="1:11" ht="18" customHeight="1">
      <c r="A147" s="5" t="s">
        <v>153</v>
      </c>
      <c r="B147" s="2" t="s">
        <v>61</v>
      </c>
      <c r="F147" s="18">
        <f t="shared" ref="F147:K147" si="20">F108</f>
        <v>1515</v>
      </c>
      <c r="G147" s="18">
        <f t="shared" si="20"/>
        <v>0</v>
      </c>
      <c r="H147" s="18">
        <f t="shared" si="20"/>
        <v>45000.739199999996</v>
      </c>
      <c r="I147" s="18">
        <f t="shared" si="20"/>
        <v>30559.969508687136</v>
      </c>
      <c r="J147" s="18">
        <f t="shared" si="20"/>
        <v>0</v>
      </c>
      <c r="K147" s="18">
        <f t="shared" si="20"/>
        <v>75560.708708687132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6269194</v>
      </c>
    </row>
    <row r="149" spans="1:11" ht="18" customHeight="1">
      <c r="A149" s="5" t="s">
        <v>163</v>
      </c>
      <c r="B149" s="2" t="s">
        <v>71</v>
      </c>
      <c r="F149" s="18">
        <f t="shared" ref="F149:K149" si="21">F137</f>
        <v>0</v>
      </c>
      <c r="G149" s="18">
        <f t="shared" si="21"/>
        <v>0</v>
      </c>
      <c r="H149" s="18">
        <f t="shared" si="21"/>
        <v>0</v>
      </c>
      <c r="I149" s="18">
        <f t="shared" si="21"/>
        <v>0</v>
      </c>
      <c r="J149" s="18">
        <f t="shared" si="21"/>
        <v>0</v>
      </c>
      <c r="K149" s="18">
        <f t="shared" si="21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7048587</v>
      </c>
      <c r="I150" s="18">
        <f>I18</f>
        <v>0</v>
      </c>
      <c r="J150" s="18">
        <f>J18</f>
        <v>6027423</v>
      </c>
      <c r="K150" s="18">
        <f>K18</f>
        <v>1021164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2">SUM(F141:F150)</f>
        <v>28172</v>
      </c>
      <c r="G152" s="49">
        <f t="shared" si="22"/>
        <v>1405464</v>
      </c>
      <c r="H152" s="49">
        <f t="shared" si="22"/>
        <v>20510840.612232</v>
      </c>
      <c r="I152" s="49">
        <f t="shared" si="22"/>
        <v>1316746.9495859358</v>
      </c>
      <c r="J152" s="49">
        <f t="shared" si="22"/>
        <v>6466307</v>
      </c>
      <c r="K152" s="49">
        <f t="shared" si="22"/>
        <v>21630474.561817937</v>
      </c>
    </row>
    <row r="154" spans="1:11" ht="18" customHeight="1">
      <c r="A154" s="6" t="s">
        <v>168</v>
      </c>
      <c r="B154" s="2" t="s">
        <v>28</v>
      </c>
      <c r="F154" s="64">
        <f>K152/F121</f>
        <v>9.3971181768417761E-2</v>
      </c>
    </row>
    <row r="155" spans="1:11" ht="18" customHeight="1">
      <c r="A155" s="6" t="s">
        <v>169</v>
      </c>
      <c r="B155" s="2" t="s">
        <v>72</v>
      </c>
      <c r="F155" s="64">
        <f>K152/F127</f>
        <v>-17.03186973371491</v>
      </c>
      <c r="G155" s="2"/>
    </row>
    <row r="156" spans="1:11" ht="18" customHeight="1">
      <c r="G156" s="2"/>
    </row>
  </sheetData>
  <sheetProtection password="EF72" sheet="1" objects="1" scenarios="1"/>
  <mergeCells count="37">
    <mergeCell ref="B59:D59"/>
    <mergeCell ref="B62:D62"/>
    <mergeCell ref="B95:D95"/>
    <mergeCell ref="B57:D57"/>
    <mergeCell ref="B54:D54"/>
    <mergeCell ref="C10:G10"/>
    <mergeCell ref="B30:D30"/>
    <mergeCell ref="B134:D134"/>
    <mergeCell ref="B135:D135"/>
    <mergeCell ref="B133:D133"/>
    <mergeCell ref="B104:D104"/>
    <mergeCell ref="B105:D105"/>
    <mergeCell ref="B106:D106"/>
    <mergeCell ref="B53:D53"/>
    <mergeCell ref="B55:D55"/>
    <mergeCell ref="B58:D58"/>
    <mergeCell ref="B60:D60"/>
    <mergeCell ref="B103:C103"/>
    <mergeCell ref="B94:D94"/>
    <mergeCell ref="B96:D96"/>
    <mergeCell ref="B56:D56"/>
    <mergeCell ref="B52:C52"/>
    <mergeCell ref="B90:C90"/>
    <mergeCell ref="D2:H2"/>
    <mergeCell ref="B45:D45"/>
    <mergeCell ref="B46:D46"/>
    <mergeCell ref="B47:D47"/>
    <mergeCell ref="B34:D34"/>
    <mergeCell ref="C11:G11"/>
    <mergeCell ref="B41:C41"/>
    <mergeCell ref="B44:D44"/>
    <mergeCell ref="B31:D31"/>
    <mergeCell ref="B13:H13"/>
    <mergeCell ref="C5:G5"/>
    <mergeCell ref="C6:G6"/>
    <mergeCell ref="C7:G7"/>
    <mergeCell ref="C9:G9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view="pageBreakPreview" zoomScaleNormal="70" zoomScaleSheetLayoutView="100" workbookViewId="0"/>
  </sheetViews>
  <sheetFormatPr defaultRowHeight="12.75"/>
  <cols>
    <col min="1" max="1" width="61.5703125" style="95" bestFit="1" customWidth="1"/>
    <col min="2" max="2" width="19.140625" style="95" bestFit="1" customWidth="1"/>
    <col min="3" max="3" width="18.85546875" style="95" bestFit="1" customWidth="1"/>
    <col min="4" max="4" width="21.5703125" style="95" bestFit="1" customWidth="1"/>
    <col min="5" max="5" width="20" style="95" bestFit="1" customWidth="1"/>
    <col min="6" max="6" width="23.28515625" style="95" bestFit="1" customWidth="1"/>
    <col min="7" max="8" width="27.5703125" style="95" bestFit="1" customWidth="1"/>
    <col min="9" max="9" width="12.140625" style="95" bestFit="1" customWidth="1"/>
    <col min="10" max="10" width="12.140625" style="95" customWidth="1"/>
    <col min="11" max="11" width="12.140625" style="95" bestFit="1" customWidth="1"/>
    <col min="12" max="12" width="12.140625" style="95" customWidth="1"/>
    <col min="13" max="13" width="12.140625" style="95" bestFit="1" customWidth="1"/>
    <col min="14" max="256" width="9.140625" style="95"/>
    <col min="257" max="257" width="61.5703125" style="95" bestFit="1" customWidth="1"/>
    <col min="258" max="258" width="19.140625" style="95" bestFit="1" customWidth="1"/>
    <col min="259" max="259" width="18.85546875" style="95" bestFit="1" customWidth="1"/>
    <col min="260" max="260" width="21.5703125" style="95" bestFit="1" customWidth="1"/>
    <col min="261" max="261" width="20" style="95" bestFit="1" customWidth="1"/>
    <col min="262" max="262" width="23.28515625" style="95" bestFit="1" customWidth="1"/>
    <col min="263" max="264" width="27.5703125" style="95" bestFit="1" customWidth="1"/>
    <col min="265" max="265" width="12.140625" style="95" bestFit="1" customWidth="1"/>
    <col min="266" max="266" width="12.140625" style="95" customWidth="1"/>
    <col min="267" max="267" width="12.140625" style="95" bestFit="1" customWidth="1"/>
    <col min="268" max="268" width="12.140625" style="95" customWidth="1"/>
    <col min="269" max="269" width="12.140625" style="95" bestFit="1" customWidth="1"/>
    <col min="270" max="512" width="9.140625" style="95"/>
    <col min="513" max="513" width="61.5703125" style="95" bestFit="1" customWidth="1"/>
    <col min="514" max="514" width="19.140625" style="95" bestFit="1" customWidth="1"/>
    <col min="515" max="515" width="18.85546875" style="95" bestFit="1" customWidth="1"/>
    <col min="516" max="516" width="21.5703125" style="95" bestFit="1" customWidth="1"/>
    <col min="517" max="517" width="20" style="95" bestFit="1" customWidth="1"/>
    <col min="518" max="518" width="23.28515625" style="95" bestFit="1" customWidth="1"/>
    <col min="519" max="520" width="27.5703125" style="95" bestFit="1" customWidth="1"/>
    <col min="521" max="521" width="12.140625" style="95" bestFit="1" customWidth="1"/>
    <col min="522" max="522" width="12.140625" style="95" customWidth="1"/>
    <col min="523" max="523" width="12.140625" style="95" bestFit="1" customWidth="1"/>
    <col min="524" max="524" width="12.140625" style="95" customWidth="1"/>
    <col min="525" max="525" width="12.140625" style="95" bestFit="1" customWidth="1"/>
    <col min="526" max="768" width="9.140625" style="95"/>
    <col min="769" max="769" width="61.5703125" style="95" bestFit="1" customWidth="1"/>
    <col min="770" max="770" width="19.140625" style="95" bestFit="1" customWidth="1"/>
    <col min="771" max="771" width="18.85546875" style="95" bestFit="1" customWidth="1"/>
    <col min="772" max="772" width="21.5703125" style="95" bestFit="1" customWidth="1"/>
    <col min="773" max="773" width="20" style="95" bestFit="1" customWidth="1"/>
    <col min="774" max="774" width="23.28515625" style="95" bestFit="1" customWidth="1"/>
    <col min="775" max="776" width="27.5703125" style="95" bestFit="1" customWidth="1"/>
    <col min="777" max="777" width="12.140625" style="95" bestFit="1" customWidth="1"/>
    <col min="778" max="778" width="12.140625" style="95" customWidth="1"/>
    <col min="779" max="779" width="12.140625" style="95" bestFit="1" customWidth="1"/>
    <col min="780" max="780" width="12.140625" style="95" customWidth="1"/>
    <col min="781" max="781" width="12.140625" style="95" bestFit="1" customWidth="1"/>
    <col min="782" max="1024" width="9.140625" style="95"/>
    <col min="1025" max="1025" width="61.5703125" style="95" bestFit="1" customWidth="1"/>
    <col min="1026" max="1026" width="19.140625" style="95" bestFit="1" customWidth="1"/>
    <col min="1027" max="1027" width="18.85546875" style="95" bestFit="1" customWidth="1"/>
    <col min="1028" max="1028" width="21.5703125" style="95" bestFit="1" customWidth="1"/>
    <col min="1029" max="1029" width="20" style="95" bestFit="1" customWidth="1"/>
    <col min="1030" max="1030" width="23.28515625" style="95" bestFit="1" customWidth="1"/>
    <col min="1031" max="1032" width="27.5703125" style="95" bestFit="1" customWidth="1"/>
    <col min="1033" max="1033" width="12.140625" style="95" bestFit="1" customWidth="1"/>
    <col min="1034" max="1034" width="12.140625" style="95" customWidth="1"/>
    <col min="1035" max="1035" width="12.140625" style="95" bestFit="1" customWidth="1"/>
    <col min="1036" max="1036" width="12.140625" style="95" customWidth="1"/>
    <col min="1037" max="1037" width="12.140625" style="95" bestFit="1" customWidth="1"/>
    <col min="1038" max="1280" width="9.140625" style="95"/>
    <col min="1281" max="1281" width="61.5703125" style="95" bestFit="1" customWidth="1"/>
    <col min="1282" max="1282" width="19.140625" style="95" bestFit="1" customWidth="1"/>
    <col min="1283" max="1283" width="18.85546875" style="95" bestFit="1" customWidth="1"/>
    <col min="1284" max="1284" width="21.5703125" style="95" bestFit="1" customWidth="1"/>
    <col min="1285" max="1285" width="20" style="95" bestFit="1" customWidth="1"/>
    <col min="1286" max="1286" width="23.28515625" style="95" bestFit="1" customWidth="1"/>
    <col min="1287" max="1288" width="27.5703125" style="95" bestFit="1" customWidth="1"/>
    <col min="1289" max="1289" width="12.140625" style="95" bestFit="1" customWidth="1"/>
    <col min="1290" max="1290" width="12.140625" style="95" customWidth="1"/>
    <col min="1291" max="1291" width="12.140625" style="95" bestFit="1" customWidth="1"/>
    <col min="1292" max="1292" width="12.140625" style="95" customWidth="1"/>
    <col min="1293" max="1293" width="12.140625" style="95" bestFit="1" customWidth="1"/>
    <col min="1294" max="1536" width="9.140625" style="95"/>
    <col min="1537" max="1537" width="61.5703125" style="95" bestFit="1" customWidth="1"/>
    <col min="1538" max="1538" width="19.140625" style="95" bestFit="1" customWidth="1"/>
    <col min="1539" max="1539" width="18.85546875" style="95" bestFit="1" customWidth="1"/>
    <col min="1540" max="1540" width="21.5703125" style="95" bestFit="1" customWidth="1"/>
    <col min="1541" max="1541" width="20" style="95" bestFit="1" customWidth="1"/>
    <col min="1542" max="1542" width="23.28515625" style="95" bestFit="1" customWidth="1"/>
    <col min="1543" max="1544" width="27.5703125" style="95" bestFit="1" customWidth="1"/>
    <col min="1545" max="1545" width="12.140625" style="95" bestFit="1" customWidth="1"/>
    <col min="1546" max="1546" width="12.140625" style="95" customWidth="1"/>
    <col min="1547" max="1547" width="12.140625" style="95" bestFit="1" customWidth="1"/>
    <col min="1548" max="1548" width="12.140625" style="95" customWidth="1"/>
    <col min="1549" max="1549" width="12.140625" style="95" bestFit="1" customWidth="1"/>
    <col min="1550" max="1792" width="9.140625" style="95"/>
    <col min="1793" max="1793" width="61.5703125" style="95" bestFit="1" customWidth="1"/>
    <col min="1794" max="1794" width="19.140625" style="95" bestFit="1" customWidth="1"/>
    <col min="1795" max="1795" width="18.85546875" style="95" bestFit="1" customWidth="1"/>
    <col min="1796" max="1796" width="21.5703125" style="95" bestFit="1" customWidth="1"/>
    <col min="1797" max="1797" width="20" style="95" bestFit="1" customWidth="1"/>
    <col min="1798" max="1798" width="23.28515625" style="95" bestFit="1" customWidth="1"/>
    <col min="1799" max="1800" width="27.5703125" style="95" bestFit="1" customWidth="1"/>
    <col min="1801" max="1801" width="12.140625" style="95" bestFit="1" customWidth="1"/>
    <col min="1802" max="1802" width="12.140625" style="95" customWidth="1"/>
    <col min="1803" max="1803" width="12.140625" style="95" bestFit="1" customWidth="1"/>
    <col min="1804" max="1804" width="12.140625" style="95" customWidth="1"/>
    <col min="1805" max="1805" width="12.140625" style="95" bestFit="1" customWidth="1"/>
    <col min="1806" max="2048" width="9.140625" style="95"/>
    <col min="2049" max="2049" width="61.5703125" style="95" bestFit="1" customWidth="1"/>
    <col min="2050" max="2050" width="19.140625" style="95" bestFit="1" customWidth="1"/>
    <col min="2051" max="2051" width="18.85546875" style="95" bestFit="1" customWidth="1"/>
    <col min="2052" max="2052" width="21.5703125" style="95" bestFit="1" customWidth="1"/>
    <col min="2053" max="2053" width="20" style="95" bestFit="1" customWidth="1"/>
    <col min="2054" max="2054" width="23.28515625" style="95" bestFit="1" customWidth="1"/>
    <col min="2055" max="2056" width="27.5703125" style="95" bestFit="1" customWidth="1"/>
    <col min="2057" max="2057" width="12.140625" style="95" bestFit="1" customWidth="1"/>
    <col min="2058" max="2058" width="12.140625" style="95" customWidth="1"/>
    <col min="2059" max="2059" width="12.140625" style="95" bestFit="1" customWidth="1"/>
    <col min="2060" max="2060" width="12.140625" style="95" customWidth="1"/>
    <col min="2061" max="2061" width="12.140625" style="95" bestFit="1" customWidth="1"/>
    <col min="2062" max="2304" width="9.140625" style="95"/>
    <col min="2305" max="2305" width="61.5703125" style="95" bestFit="1" customWidth="1"/>
    <col min="2306" max="2306" width="19.140625" style="95" bestFit="1" customWidth="1"/>
    <col min="2307" max="2307" width="18.85546875" style="95" bestFit="1" customWidth="1"/>
    <col min="2308" max="2308" width="21.5703125" style="95" bestFit="1" customWidth="1"/>
    <col min="2309" max="2309" width="20" style="95" bestFit="1" customWidth="1"/>
    <col min="2310" max="2310" width="23.28515625" style="95" bestFit="1" customWidth="1"/>
    <col min="2311" max="2312" width="27.5703125" style="95" bestFit="1" customWidth="1"/>
    <col min="2313" max="2313" width="12.140625" style="95" bestFit="1" customWidth="1"/>
    <col min="2314" max="2314" width="12.140625" style="95" customWidth="1"/>
    <col min="2315" max="2315" width="12.140625" style="95" bestFit="1" customWidth="1"/>
    <col min="2316" max="2316" width="12.140625" style="95" customWidth="1"/>
    <col min="2317" max="2317" width="12.140625" style="95" bestFit="1" customWidth="1"/>
    <col min="2318" max="2560" width="9.140625" style="95"/>
    <col min="2561" max="2561" width="61.5703125" style="95" bestFit="1" customWidth="1"/>
    <col min="2562" max="2562" width="19.140625" style="95" bestFit="1" customWidth="1"/>
    <col min="2563" max="2563" width="18.85546875" style="95" bestFit="1" customWidth="1"/>
    <col min="2564" max="2564" width="21.5703125" style="95" bestFit="1" customWidth="1"/>
    <col min="2565" max="2565" width="20" style="95" bestFit="1" customWidth="1"/>
    <col min="2566" max="2566" width="23.28515625" style="95" bestFit="1" customWidth="1"/>
    <col min="2567" max="2568" width="27.5703125" style="95" bestFit="1" customWidth="1"/>
    <col min="2569" max="2569" width="12.140625" style="95" bestFit="1" customWidth="1"/>
    <col min="2570" max="2570" width="12.140625" style="95" customWidth="1"/>
    <col min="2571" max="2571" width="12.140625" style="95" bestFit="1" customWidth="1"/>
    <col min="2572" max="2572" width="12.140625" style="95" customWidth="1"/>
    <col min="2573" max="2573" width="12.140625" style="95" bestFit="1" customWidth="1"/>
    <col min="2574" max="2816" width="9.140625" style="95"/>
    <col min="2817" max="2817" width="61.5703125" style="95" bestFit="1" customWidth="1"/>
    <col min="2818" max="2818" width="19.140625" style="95" bestFit="1" customWidth="1"/>
    <col min="2819" max="2819" width="18.85546875" style="95" bestFit="1" customWidth="1"/>
    <col min="2820" max="2820" width="21.5703125" style="95" bestFit="1" customWidth="1"/>
    <col min="2821" max="2821" width="20" style="95" bestFit="1" customWidth="1"/>
    <col min="2822" max="2822" width="23.28515625" style="95" bestFit="1" customWidth="1"/>
    <col min="2823" max="2824" width="27.5703125" style="95" bestFit="1" customWidth="1"/>
    <col min="2825" max="2825" width="12.140625" style="95" bestFit="1" customWidth="1"/>
    <col min="2826" max="2826" width="12.140625" style="95" customWidth="1"/>
    <col min="2827" max="2827" width="12.140625" style="95" bestFit="1" customWidth="1"/>
    <col min="2828" max="2828" width="12.140625" style="95" customWidth="1"/>
    <col min="2829" max="2829" width="12.140625" style="95" bestFit="1" customWidth="1"/>
    <col min="2830" max="3072" width="9.140625" style="95"/>
    <col min="3073" max="3073" width="61.5703125" style="95" bestFit="1" customWidth="1"/>
    <col min="3074" max="3074" width="19.140625" style="95" bestFit="1" customWidth="1"/>
    <col min="3075" max="3075" width="18.85546875" style="95" bestFit="1" customWidth="1"/>
    <col min="3076" max="3076" width="21.5703125" style="95" bestFit="1" customWidth="1"/>
    <col min="3077" max="3077" width="20" style="95" bestFit="1" customWidth="1"/>
    <col min="3078" max="3078" width="23.28515625" style="95" bestFit="1" customWidth="1"/>
    <col min="3079" max="3080" width="27.5703125" style="95" bestFit="1" customWidth="1"/>
    <col min="3081" max="3081" width="12.140625" style="95" bestFit="1" customWidth="1"/>
    <col min="3082" max="3082" width="12.140625" style="95" customWidth="1"/>
    <col min="3083" max="3083" width="12.140625" style="95" bestFit="1" customWidth="1"/>
    <col min="3084" max="3084" width="12.140625" style="95" customWidth="1"/>
    <col min="3085" max="3085" width="12.140625" style="95" bestFit="1" customWidth="1"/>
    <col min="3086" max="3328" width="9.140625" style="95"/>
    <col min="3329" max="3329" width="61.5703125" style="95" bestFit="1" customWidth="1"/>
    <col min="3330" max="3330" width="19.140625" style="95" bestFit="1" customWidth="1"/>
    <col min="3331" max="3331" width="18.85546875" style="95" bestFit="1" customWidth="1"/>
    <col min="3332" max="3332" width="21.5703125" style="95" bestFit="1" customWidth="1"/>
    <col min="3333" max="3333" width="20" style="95" bestFit="1" customWidth="1"/>
    <col min="3334" max="3334" width="23.28515625" style="95" bestFit="1" customWidth="1"/>
    <col min="3335" max="3336" width="27.5703125" style="95" bestFit="1" customWidth="1"/>
    <col min="3337" max="3337" width="12.140625" style="95" bestFit="1" customWidth="1"/>
    <col min="3338" max="3338" width="12.140625" style="95" customWidth="1"/>
    <col min="3339" max="3339" width="12.140625" style="95" bestFit="1" customWidth="1"/>
    <col min="3340" max="3340" width="12.140625" style="95" customWidth="1"/>
    <col min="3341" max="3341" width="12.140625" style="95" bestFit="1" customWidth="1"/>
    <col min="3342" max="3584" width="9.140625" style="95"/>
    <col min="3585" max="3585" width="61.5703125" style="95" bestFit="1" customWidth="1"/>
    <col min="3586" max="3586" width="19.140625" style="95" bestFit="1" customWidth="1"/>
    <col min="3587" max="3587" width="18.85546875" style="95" bestFit="1" customWidth="1"/>
    <col min="3588" max="3588" width="21.5703125" style="95" bestFit="1" customWidth="1"/>
    <col min="3589" max="3589" width="20" style="95" bestFit="1" customWidth="1"/>
    <col min="3590" max="3590" width="23.28515625" style="95" bestFit="1" customWidth="1"/>
    <col min="3591" max="3592" width="27.5703125" style="95" bestFit="1" customWidth="1"/>
    <col min="3593" max="3593" width="12.140625" style="95" bestFit="1" customWidth="1"/>
    <col min="3594" max="3594" width="12.140625" style="95" customWidth="1"/>
    <col min="3595" max="3595" width="12.140625" style="95" bestFit="1" customWidth="1"/>
    <col min="3596" max="3596" width="12.140625" style="95" customWidth="1"/>
    <col min="3597" max="3597" width="12.140625" style="95" bestFit="1" customWidth="1"/>
    <col min="3598" max="3840" width="9.140625" style="95"/>
    <col min="3841" max="3841" width="61.5703125" style="95" bestFit="1" customWidth="1"/>
    <col min="3842" max="3842" width="19.140625" style="95" bestFit="1" customWidth="1"/>
    <col min="3843" max="3843" width="18.85546875" style="95" bestFit="1" customWidth="1"/>
    <col min="3844" max="3844" width="21.5703125" style="95" bestFit="1" customWidth="1"/>
    <col min="3845" max="3845" width="20" style="95" bestFit="1" customWidth="1"/>
    <col min="3846" max="3846" width="23.28515625" style="95" bestFit="1" customWidth="1"/>
    <col min="3847" max="3848" width="27.5703125" style="95" bestFit="1" customWidth="1"/>
    <col min="3849" max="3849" width="12.140625" style="95" bestFit="1" customWidth="1"/>
    <col min="3850" max="3850" width="12.140625" style="95" customWidth="1"/>
    <col min="3851" max="3851" width="12.140625" style="95" bestFit="1" customWidth="1"/>
    <col min="3852" max="3852" width="12.140625" style="95" customWidth="1"/>
    <col min="3853" max="3853" width="12.140625" style="95" bestFit="1" customWidth="1"/>
    <col min="3854" max="4096" width="9.140625" style="95"/>
    <col min="4097" max="4097" width="61.5703125" style="95" bestFit="1" customWidth="1"/>
    <col min="4098" max="4098" width="19.140625" style="95" bestFit="1" customWidth="1"/>
    <col min="4099" max="4099" width="18.85546875" style="95" bestFit="1" customWidth="1"/>
    <col min="4100" max="4100" width="21.5703125" style="95" bestFit="1" customWidth="1"/>
    <col min="4101" max="4101" width="20" style="95" bestFit="1" customWidth="1"/>
    <col min="4102" max="4102" width="23.28515625" style="95" bestFit="1" customWidth="1"/>
    <col min="4103" max="4104" width="27.5703125" style="95" bestFit="1" customWidth="1"/>
    <col min="4105" max="4105" width="12.140625" style="95" bestFit="1" customWidth="1"/>
    <col min="4106" max="4106" width="12.140625" style="95" customWidth="1"/>
    <col min="4107" max="4107" width="12.140625" style="95" bestFit="1" customWidth="1"/>
    <col min="4108" max="4108" width="12.140625" style="95" customWidth="1"/>
    <col min="4109" max="4109" width="12.140625" style="95" bestFit="1" customWidth="1"/>
    <col min="4110" max="4352" width="9.140625" style="95"/>
    <col min="4353" max="4353" width="61.5703125" style="95" bestFit="1" customWidth="1"/>
    <col min="4354" max="4354" width="19.140625" style="95" bestFit="1" customWidth="1"/>
    <col min="4355" max="4355" width="18.85546875" style="95" bestFit="1" customWidth="1"/>
    <col min="4356" max="4356" width="21.5703125" style="95" bestFit="1" customWidth="1"/>
    <col min="4357" max="4357" width="20" style="95" bestFit="1" customWidth="1"/>
    <col min="4358" max="4358" width="23.28515625" style="95" bestFit="1" customWidth="1"/>
    <col min="4359" max="4360" width="27.5703125" style="95" bestFit="1" customWidth="1"/>
    <col min="4361" max="4361" width="12.140625" style="95" bestFit="1" customWidth="1"/>
    <col min="4362" max="4362" width="12.140625" style="95" customWidth="1"/>
    <col min="4363" max="4363" width="12.140625" style="95" bestFit="1" customWidth="1"/>
    <col min="4364" max="4364" width="12.140625" style="95" customWidth="1"/>
    <col min="4365" max="4365" width="12.140625" style="95" bestFit="1" customWidth="1"/>
    <col min="4366" max="4608" width="9.140625" style="95"/>
    <col min="4609" max="4609" width="61.5703125" style="95" bestFit="1" customWidth="1"/>
    <col min="4610" max="4610" width="19.140625" style="95" bestFit="1" customWidth="1"/>
    <col min="4611" max="4611" width="18.85546875" style="95" bestFit="1" customWidth="1"/>
    <col min="4612" max="4612" width="21.5703125" style="95" bestFit="1" customWidth="1"/>
    <col min="4613" max="4613" width="20" style="95" bestFit="1" customWidth="1"/>
    <col min="4614" max="4614" width="23.28515625" style="95" bestFit="1" customWidth="1"/>
    <col min="4615" max="4616" width="27.5703125" style="95" bestFit="1" customWidth="1"/>
    <col min="4617" max="4617" width="12.140625" style="95" bestFit="1" customWidth="1"/>
    <col min="4618" max="4618" width="12.140625" style="95" customWidth="1"/>
    <col min="4619" max="4619" width="12.140625" style="95" bestFit="1" customWidth="1"/>
    <col min="4620" max="4620" width="12.140625" style="95" customWidth="1"/>
    <col min="4621" max="4621" width="12.140625" style="95" bestFit="1" customWidth="1"/>
    <col min="4622" max="4864" width="9.140625" style="95"/>
    <col min="4865" max="4865" width="61.5703125" style="95" bestFit="1" customWidth="1"/>
    <col min="4866" max="4866" width="19.140625" style="95" bestFit="1" customWidth="1"/>
    <col min="4867" max="4867" width="18.85546875" style="95" bestFit="1" customWidth="1"/>
    <col min="4868" max="4868" width="21.5703125" style="95" bestFit="1" customWidth="1"/>
    <col min="4869" max="4869" width="20" style="95" bestFit="1" customWidth="1"/>
    <col min="4870" max="4870" width="23.28515625" style="95" bestFit="1" customWidth="1"/>
    <col min="4871" max="4872" width="27.5703125" style="95" bestFit="1" customWidth="1"/>
    <col min="4873" max="4873" width="12.140625" style="95" bestFit="1" customWidth="1"/>
    <col min="4874" max="4874" width="12.140625" style="95" customWidth="1"/>
    <col min="4875" max="4875" width="12.140625" style="95" bestFit="1" customWidth="1"/>
    <col min="4876" max="4876" width="12.140625" style="95" customWidth="1"/>
    <col min="4877" max="4877" width="12.140625" style="95" bestFit="1" customWidth="1"/>
    <col min="4878" max="5120" width="9.140625" style="95"/>
    <col min="5121" max="5121" width="61.5703125" style="95" bestFit="1" customWidth="1"/>
    <col min="5122" max="5122" width="19.140625" style="95" bestFit="1" customWidth="1"/>
    <col min="5123" max="5123" width="18.85546875" style="95" bestFit="1" customWidth="1"/>
    <col min="5124" max="5124" width="21.5703125" style="95" bestFit="1" customWidth="1"/>
    <col min="5125" max="5125" width="20" style="95" bestFit="1" customWidth="1"/>
    <col min="5126" max="5126" width="23.28515625" style="95" bestFit="1" customWidth="1"/>
    <col min="5127" max="5128" width="27.5703125" style="95" bestFit="1" customWidth="1"/>
    <col min="5129" max="5129" width="12.140625" style="95" bestFit="1" customWidth="1"/>
    <col min="5130" max="5130" width="12.140625" style="95" customWidth="1"/>
    <col min="5131" max="5131" width="12.140625" style="95" bestFit="1" customWidth="1"/>
    <col min="5132" max="5132" width="12.140625" style="95" customWidth="1"/>
    <col min="5133" max="5133" width="12.140625" style="95" bestFit="1" customWidth="1"/>
    <col min="5134" max="5376" width="9.140625" style="95"/>
    <col min="5377" max="5377" width="61.5703125" style="95" bestFit="1" customWidth="1"/>
    <col min="5378" max="5378" width="19.140625" style="95" bestFit="1" customWidth="1"/>
    <col min="5379" max="5379" width="18.85546875" style="95" bestFit="1" customWidth="1"/>
    <col min="5380" max="5380" width="21.5703125" style="95" bestFit="1" customWidth="1"/>
    <col min="5381" max="5381" width="20" style="95" bestFit="1" customWidth="1"/>
    <col min="5382" max="5382" width="23.28515625" style="95" bestFit="1" customWidth="1"/>
    <col min="5383" max="5384" width="27.5703125" style="95" bestFit="1" customWidth="1"/>
    <col min="5385" max="5385" width="12.140625" style="95" bestFit="1" customWidth="1"/>
    <col min="5386" max="5386" width="12.140625" style="95" customWidth="1"/>
    <col min="5387" max="5387" width="12.140625" style="95" bestFit="1" customWidth="1"/>
    <col min="5388" max="5388" width="12.140625" style="95" customWidth="1"/>
    <col min="5389" max="5389" width="12.140625" style="95" bestFit="1" customWidth="1"/>
    <col min="5390" max="5632" width="9.140625" style="95"/>
    <col min="5633" max="5633" width="61.5703125" style="95" bestFit="1" customWidth="1"/>
    <col min="5634" max="5634" width="19.140625" style="95" bestFit="1" customWidth="1"/>
    <col min="5635" max="5635" width="18.85546875" style="95" bestFit="1" customWidth="1"/>
    <col min="5636" max="5636" width="21.5703125" style="95" bestFit="1" customWidth="1"/>
    <col min="5637" max="5637" width="20" style="95" bestFit="1" customWidth="1"/>
    <col min="5638" max="5638" width="23.28515625" style="95" bestFit="1" customWidth="1"/>
    <col min="5639" max="5640" width="27.5703125" style="95" bestFit="1" customWidth="1"/>
    <col min="5641" max="5641" width="12.140625" style="95" bestFit="1" customWidth="1"/>
    <col min="5642" max="5642" width="12.140625" style="95" customWidth="1"/>
    <col min="5643" max="5643" width="12.140625" style="95" bestFit="1" customWidth="1"/>
    <col min="5644" max="5644" width="12.140625" style="95" customWidth="1"/>
    <col min="5645" max="5645" width="12.140625" style="95" bestFit="1" customWidth="1"/>
    <col min="5646" max="5888" width="9.140625" style="95"/>
    <col min="5889" max="5889" width="61.5703125" style="95" bestFit="1" customWidth="1"/>
    <col min="5890" max="5890" width="19.140625" style="95" bestFit="1" customWidth="1"/>
    <col min="5891" max="5891" width="18.85546875" style="95" bestFit="1" customWidth="1"/>
    <col min="5892" max="5892" width="21.5703125" style="95" bestFit="1" customWidth="1"/>
    <col min="5893" max="5893" width="20" style="95" bestFit="1" customWidth="1"/>
    <col min="5894" max="5894" width="23.28515625" style="95" bestFit="1" customWidth="1"/>
    <col min="5895" max="5896" width="27.5703125" style="95" bestFit="1" customWidth="1"/>
    <col min="5897" max="5897" width="12.140625" style="95" bestFit="1" customWidth="1"/>
    <col min="5898" max="5898" width="12.140625" style="95" customWidth="1"/>
    <col min="5899" max="5899" width="12.140625" style="95" bestFit="1" customWidth="1"/>
    <col min="5900" max="5900" width="12.140625" style="95" customWidth="1"/>
    <col min="5901" max="5901" width="12.140625" style="95" bestFit="1" customWidth="1"/>
    <col min="5902" max="6144" width="9.140625" style="95"/>
    <col min="6145" max="6145" width="61.5703125" style="95" bestFit="1" customWidth="1"/>
    <col min="6146" max="6146" width="19.140625" style="95" bestFit="1" customWidth="1"/>
    <col min="6147" max="6147" width="18.85546875" style="95" bestFit="1" customWidth="1"/>
    <col min="6148" max="6148" width="21.5703125" style="95" bestFit="1" customWidth="1"/>
    <col min="6149" max="6149" width="20" style="95" bestFit="1" customWidth="1"/>
    <col min="6150" max="6150" width="23.28515625" style="95" bestFit="1" customWidth="1"/>
    <col min="6151" max="6152" width="27.5703125" style="95" bestFit="1" customWidth="1"/>
    <col min="6153" max="6153" width="12.140625" style="95" bestFit="1" customWidth="1"/>
    <col min="6154" max="6154" width="12.140625" style="95" customWidth="1"/>
    <col min="6155" max="6155" width="12.140625" style="95" bestFit="1" customWidth="1"/>
    <col min="6156" max="6156" width="12.140625" style="95" customWidth="1"/>
    <col min="6157" max="6157" width="12.140625" style="95" bestFit="1" customWidth="1"/>
    <col min="6158" max="6400" width="9.140625" style="95"/>
    <col min="6401" max="6401" width="61.5703125" style="95" bestFit="1" customWidth="1"/>
    <col min="6402" max="6402" width="19.140625" style="95" bestFit="1" customWidth="1"/>
    <col min="6403" max="6403" width="18.85546875" style="95" bestFit="1" customWidth="1"/>
    <col min="6404" max="6404" width="21.5703125" style="95" bestFit="1" customWidth="1"/>
    <col min="6405" max="6405" width="20" style="95" bestFit="1" customWidth="1"/>
    <col min="6406" max="6406" width="23.28515625" style="95" bestFit="1" customWidth="1"/>
    <col min="6407" max="6408" width="27.5703125" style="95" bestFit="1" customWidth="1"/>
    <col min="6409" max="6409" width="12.140625" style="95" bestFit="1" customWidth="1"/>
    <col min="6410" max="6410" width="12.140625" style="95" customWidth="1"/>
    <col min="6411" max="6411" width="12.140625" style="95" bestFit="1" customWidth="1"/>
    <col min="6412" max="6412" width="12.140625" style="95" customWidth="1"/>
    <col min="6413" max="6413" width="12.140625" style="95" bestFit="1" customWidth="1"/>
    <col min="6414" max="6656" width="9.140625" style="95"/>
    <col min="6657" max="6657" width="61.5703125" style="95" bestFit="1" customWidth="1"/>
    <col min="6658" max="6658" width="19.140625" style="95" bestFit="1" customWidth="1"/>
    <col min="6659" max="6659" width="18.85546875" style="95" bestFit="1" customWidth="1"/>
    <col min="6660" max="6660" width="21.5703125" style="95" bestFit="1" customWidth="1"/>
    <col min="6661" max="6661" width="20" style="95" bestFit="1" customWidth="1"/>
    <col min="6662" max="6662" width="23.28515625" style="95" bestFit="1" customWidth="1"/>
    <col min="6663" max="6664" width="27.5703125" style="95" bestFit="1" customWidth="1"/>
    <col min="6665" max="6665" width="12.140625" style="95" bestFit="1" customWidth="1"/>
    <col min="6666" max="6666" width="12.140625" style="95" customWidth="1"/>
    <col min="6667" max="6667" width="12.140625" style="95" bestFit="1" customWidth="1"/>
    <col min="6668" max="6668" width="12.140625" style="95" customWidth="1"/>
    <col min="6669" max="6669" width="12.140625" style="95" bestFit="1" customWidth="1"/>
    <col min="6670" max="6912" width="9.140625" style="95"/>
    <col min="6913" max="6913" width="61.5703125" style="95" bestFit="1" customWidth="1"/>
    <col min="6914" max="6914" width="19.140625" style="95" bestFit="1" customWidth="1"/>
    <col min="6915" max="6915" width="18.85546875" style="95" bestFit="1" customWidth="1"/>
    <col min="6916" max="6916" width="21.5703125" style="95" bestFit="1" customWidth="1"/>
    <col min="6917" max="6917" width="20" style="95" bestFit="1" customWidth="1"/>
    <col min="6918" max="6918" width="23.28515625" style="95" bestFit="1" customWidth="1"/>
    <col min="6919" max="6920" width="27.5703125" style="95" bestFit="1" customWidth="1"/>
    <col min="6921" max="6921" width="12.140625" style="95" bestFit="1" customWidth="1"/>
    <col min="6922" max="6922" width="12.140625" style="95" customWidth="1"/>
    <col min="6923" max="6923" width="12.140625" style="95" bestFit="1" customWidth="1"/>
    <col min="6924" max="6924" width="12.140625" style="95" customWidth="1"/>
    <col min="6925" max="6925" width="12.140625" style="95" bestFit="1" customWidth="1"/>
    <col min="6926" max="7168" width="9.140625" style="95"/>
    <col min="7169" max="7169" width="61.5703125" style="95" bestFit="1" customWidth="1"/>
    <col min="7170" max="7170" width="19.140625" style="95" bestFit="1" customWidth="1"/>
    <col min="7171" max="7171" width="18.85546875" style="95" bestFit="1" customWidth="1"/>
    <col min="7172" max="7172" width="21.5703125" style="95" bestFit="1" customWidth="1"/>
    <col min="7173" max="7173" width="20" style="95" bestFit="1" customWidth="1"/>
    <col min="7174" max="7174" width="23.28515625" style="95" bestFit="1" customWidth="1"/>
    <col min="7175" max="7176" width="27.5703125" style="95" bestFit="1" customWidth="1"/>
    <col min="7177" max="7177" width="12.140625" style="95" bestFit="1" customWidth="1"/>
    <col min="7178" max="7178" width="12.140625" style="95" customWidth="1"/>
    <col min="7179" max="7179" width="12.140625" style="95" bestFit="1" customWidth="1"/>
    <col min="7180" max="7180" width="12.140625" style="95" customWidth="1"/>
    <col min="7181" max="7181" width="12.140625" style="95" bestFit="1" customWidth="1"/>
    <col min="7182" max="7424" width="9.140625" style="95"/>
    <col min="7425" max="7425" width="61.5703125" style="95" bestFit="1" customWidth="1"/>
    <col min="7426" max="7426" width="19.140625" style="95" bestFit="1" customWidth="1"/>
    <col min="7427" max="7427" width="18.85546875" style="95" bestFit="1" customWidth="1"/>
    <col min="7428" max="7428" width="21.5703125" style="95" bestFit="1" customWidth="1"/>
    <col min="7429" max="7429" width="20" style="95" bestFit="1" customWidth="1"/>
    <col min="7430" max="7430" width="23.28515625" style="95" bestFit="1" customWidth="1"/>
    <col min="7431" max="7432" width="27.5703125" style="95" bestFit="1" customWidth="1"/>
    <col min="7433" max="7433" width="12.140625" style="95" bestFit="1" customWidth="1"/>
    <col min="7434" max="7434" width="12.140625" style="95" customWidth="1"/>
    <col min="7435" max="7435" width="12.140625" style="95" bestFit="1" customWidth="1"/>
    <col min="7436" max="7436" width="12.140625" style="95" customWidth="1"/>
    <col min="7437" max="7437" width="12.140625" style="95" bestFit="1" customWidth="1"/>
    <col min="7438" max="7680" width="9.140625" style="95"/>
    <col min="7681" max="7681" width="61.5703125" style="95" bestFit="1" customWidth="1"/>
    <col min="7682" max="7682" width="19.140625" style="95" bestFit="1" customWidth="1"/>
    <col min="7683" max="7683" width="18.85546875" style="95" bestFit="1" customWidth="1"/>
    <col min="7684" max="7684" width="21.5703125" style="95" bestFit="1" customWidth="1"/>
    <col min="7685" max="7685" width="20" style="95" bestFit="1" customWidth="1"/>
    <col min="7686" max="7686" width="23.28515625" style="95" bestFit="1" customWidth="1"/>
    <col min="7687" max="7688" width="27.5703125" style="95" bestFit="1" customWidth="1"/>
    <col min="7689" max="7689" width="12.140625" style="95" bestFit="1" customWidth="1"/>
    <col min="7690" max="7690" width="12.140625" style="95" customWidth="1"/>
    <col min="7691" max="7691" width="12.140625" style="95" bestFit="1" customWidth="1"/>
    <col min="7692" max="7692" width="12.140625" style="95" customWidth="1"/>
    <col min="7693" max="7693" width="12.140625" style="95" bestFit="1" customWidth="1"/>
    <col min="7694" max="7936" width="9.140625" style="95"/>
    <col min="7937" max="7937" width="61.5703125" style="95" bestFit="1" customWidth="1"/>
    <col min="7938" max="7938" width="19.140625" style="95" bestFit="1" customWidth="1"/>
    <col min="7939" max="7939" width="18.85546875" style="95" bestFit="1" customWidth="1"/>
    <col min="7940" max="7940" width="21.5703125" style="95" bestFit="1" customWidth="1"/>
    <col min="7941" max="7941" width="20" style="95" bestFit="1" customWidth="1"/>
    <col min="7942" max="7942" width="23.28515625" style="95" bestFit="1" customWidth="1"/>
    <col min="7943" max="7944" width="27.5703125" style="95" bestFit="1" customWidth="1"/>
    <col min="7945" max="7945" width="12.140625" style="95" bestFit="1" customWidth="1"/>
    <col min="7946" max="7946" width="12.140625" style="95" customWidth="1"/>
    <col min="7947" max="7947" width="12.140625" style="95" bestFit="1" customWidth="1"/>
    <col min="7948" max="7948" width="12.140625" style="95" customWidth="1"/>
    <col min="7949" max="7949" width="12.140625" style="95" bestFit="1" customWidth="1"/>
    <col min="7950" max="8192" width="9.140625" style="95"/>
    <col min="8193" max="8193" width="61.5703125" style="95" bestFit="1" customWidth="1"/>
    <col min="8194" max="8194" width="19.140625" style="95" bestFit="1" customWidth="1"/>
    <col min="8195" max="8195" width="18.85546875" style="95" bestFit="1" customWidth="1"/>
    <col min="8196" max="8196" width="21.5703125" style="95" bestFit="1" customWidth="1"/>
    <col min="8197" max="8197" width="20" style="95" bestFit="1" customWidth="1"/>
    <col min="8198" max="8198" width="23.28515625" style="95" bestFit="1" customWidth="1"/>
    <col min="8199" max="8200" width="27.5703125" style="95" bestFit="1" customWidth="1"/>
    <col min="8201" max="8201" width="12.140625" style="95" bestFit="1" customWidth="1"/>
    <col min="8202" max="8202" width="12.140625" style="95" customWidth="1"/>
    <col min="8203" max="8203" width="12.140625" style="95" bestFit="1" customWidth="1"/>
    <col min="8204" max="8204" width="12.140625" style="95" customWidth="1"/>
    <col min="8205" max="8205" width="12.140625" style="95" bestFit="1" customWidth="1"/>
    <col min="8206" max="8448" width="9.140625" style="95"/>
    <col min="8449" max="8449" width="61.5703125" style="95" bestFit="1" customWidth="1"/>
    <col min="8450" max="8450" width="19.140625" style="95" bestFit="1" customWidth="1"/>
    <col min="8451" max="8451" width="18.85546875" style="95" bestFit="1" customWidth="1"/>
    <col min="8452" max="8452" width="21.5703125" style="95" bestFit="1" customWidth="1"/>
    <col min="8453" max="8453" width="20" style="95" bestFit="1" customWidth="1"/>
    <col min="8454" max="8454" width="23.28515625" style="95" bestFit="1" customWidth="1"/>
    <col min="8455" max="8456" width="27.5703125" style="95" bestFit="1" customWidth="1"/>
    <col min="8457" max="8457" width="12.140625" style="95" bestFit="1" customWidth="1"/>
    <col min="8458" max="8458" width="12.140625" style="95" customWidth="1"/>
    <col min="8459" max="8459" width="12.140625" style="95" bestFit="1" customWidth="1"/>
    <col min="8460" max="8460" width="12.140625" style="95" customWidth="1"/>
    <col min="8461" max="8461" width="12.140625" style="95" bestFit="1" customWidth="1"/>
    <col min="8462" max="8704" width="9.140625" style="95"/>
    <col min="8705" max="8705" width="61.5703125" style="95" bestFit="1" customWidth="1"/>
    <col min="8706" max="8706" width="19.140625" style="95" bestFit="1" customWidth="1"/>
    <col min="8707" max="8707" width="18.85546875" style="95" bestFit="1" customWidth="1"/>
    <col min="8708" max="8708" width="21.5703125" style="95" bestFit="1" customWidth="1"/>
    <col min="8709" max="8709" width="20" style="95" bestFit="1" customWidth="1"/>
    <col min="8710" max="8710" width="23.28515625" style="95" bestFit="1" customWidth="1"/>
    <col min="8711" max="8712" width="27.5703125" style="95" bestFit="1" customWidth="1"/>
    <col min="8713" max="8713" width="12.140625" style="95" bestFit="1" customWidth="1"/>
    <col min="8714" max="8714" width="12.140625" style="95" customWidth="1"/>
    <col min="8715" max="8715" width="12.140625" style="95" bestFit="1" customWidth="1"/>
    <col min="8716" max="8716" width="12.140625" style="95" customWidth="1"/>
    <col min="8717" max="8717" width="12.140625" style="95" bestFit="1" customWidth="1"/>
    <col min="8718" max="8960" width="9.140625" style="95"/>
    <col min="8961" max="8961" width="61.5703125" style="95" bestFit="1" customWidth="1"/>
    <col min="8962" max="8962" width="19.140625" style="95" bestFit="1" customWidth="1"/>
    <col min="8963" max="8963" width="18.85546875" style="95" bestFit="1" customWidth="1"/>
    <col min="8964" max="8964" width="21.5703125" style="95" bestFit="1" customWidth="1"/>
    <col min="8965" max="8965" width="20" style="95" bestFit="1" customWidth="1"/>
    <col min="8966" max="8966" width="23.28515625" style="95" bestFit="1" customWidth="1"/>
    <col min="8967" max="8968" width="27.5703125" style="95" bestFit="1" customWidth="1"/>
    <col min="8969" max="8969" width="12.140625" style="95" bestFit="1" customWidth="1"/>
    <col min="8970" max="8970" width="12.140625" style="95" customWidth="1"/>
    <col min="8971" max="8971" width="12.140625" style="95" bestFit="1" customWidth="1"/>
    <col min="8972" max="8972" width="12.140625" style="95" customWidth="1"/>
    <col min="8973" max="8973" width="12.140625" style="95" bestFit="1" customWidth="1"/>
    <col min="8974" max="9216" width="9.140625" style="95"/>
    <col min="9217" max="9217" width="61.5703125" style="95" bestFit="1" customWidth="1"/>
    <col min="9218" max="9218" width="19.140625" style="95" bestFit="1" customWidth="1"/>
    <col min="9219" max="9219" width="18.85546875" style="95" bestFit="1" customWidth="1"/>
    <col min="9220" max="9220" width="21.5703125" style="95" bestFit="1" customWidth="1"/>
    <col min="9221" max="9221" width="20" style="95" bestFit="1" customWidth="1"/>
    <col min="9222" max="9222" width="23.28515625" style="95" bestFit="1" customWidth="1"/>
    <col min="9223" max="9224" width="27.5703125" style="95" bestFit="1" customWidth="1"/>
    <col min="9225" max="9225" width="12.140625" style="95" bestFit="1" customWidth="1"/>
    <col min="9226" max="9226" width="12.140625" style="95" customWidth="1"/>
    <col min="9227" max="9227" width="12.140625" style="95" bestFit="1" customWidth="1"/>
    <col min="9228" max="9228" width="12.140625" style="95" customWidth="1"/>
    <col min="9229" max="9229" width="12.140625" style="95" bestFit="1" customWidth="1"/>
    <col min="9230" max="9472" width="9.140625" style="95"/>
    <col min="9473" max="9473" width="61.5703125" style="95" bestFit="1" customWidth="1"/>
    <col min="9474" max="9474" width="19.140625" style="95" bestFit="1" customWidth="1"/>
    <col min="9475" max="9475" width="18.85546875" style="95" bestFit="1" customWidth="1"/>
    <col min="9476" max="9476" width="21.5703125" style="95" bestFit="1" customWidth="1"/>
    <col min="9477" max="9477" width="20" style="95" bestFit="1" customWidth="1"/>
    <col min="9478" max="9478" width="23.28515625" style="95" bestFit="1" customWidth="1"/>
    <col min="9479" max="9480" width="27.5703125" style="95" bestFit="1" customWidth="1"/>
    <col min="9481" max="9481" width="12.140625" style="95" bestFit="1" customWidth="1"/>
    <col min="9482" max="9482" width="12.140625" style="95" customWidth="1"/>
    <col min="9483" max="9483" width="12.140625" style="95" bestFit="1" customWidth="1"/>
    <col min="9484" max="9484" width="12.140625" style="95" customWidth="1"/>
    <col min="9485" max="9485" width="12.140625" style="95" bestFit="1" customWidth="1"/>
    <col min="9486" max="9728" width="9.140625" style="95"/>
    <col min="9729" max="9729" width="61.5703125" style="95" bestFit="1" customWidth="1"/>
    <col min="9730" max="9730" width="19.140625" style="95" bestFit="1" customWidth="1"/>
    <col min="9731" max="9731" width="18.85546875" style="95" bestFit="1" customWidth="1"/>
    <col min="9732" max="9732" width="21.5703125" style="95" bestFit="1" customWidth="1"/>
    <col min="9733" max="9733" width="20" style="95" bestFit="1" customWidth="1"/>
    <col min="9734" max="9734" width="23.28515625" style="95" bestFit="1" customWidth="1"/>
    <col min="9735" max="9736" width="27.5703125" style="95" bestFit="1" customWidth="1"/>
    <col min="9737" max="9737" width="12.140625" style="95" bestFit="1" customWidth="1"/>
    <col min="9738" max="9738" width="12.140625" style="95" customWidth="1"/>
    <col min="9739" max="9739" width="12.140625" style="95" bestFit="1" customWidth="1"/>
    <col min="9740" max="9740" width="12.140625" style="95" customWidth="1"/>
    <col min="9741" max="9741" width="12.140625" style="95" bestFit="1" customWidth="1"/>
    <col min="9742" max="9984" width="9.140625" style="95"/>
    <col min="9985" max="9985" width="61.5703125" style="95" bestFit="1" customWidth="1"/>
    <col min="9986" max="9986" width="19.140625" style="95" bestFit="1" customWidth="1"/>
    <col min="9987" max="9987" width="18.85546875" style="95" bestFit="1" customWidth="1"/>
    <col min="9988" max="9988" width="21.5703125" style="95" bestFit="1" customWidth="1"/>
    <col min="9989" max="9989" width="20" style="95" bestFit="1" customWidth="1"/>
    <col min="9990" max="9990" width="23.28515625" style="95" bestFit="1" customWidth="1"/>
    <col min="9991" max="9992" width="27.5703125" style="95" bestFit="1" customWidth="1"/>
    <col min="9993" max="9993" width="12.140625" style="95" bestFit="1" customWidth="1"/>
    <col min="9994" max="9994" width="12.140625" style="95" customWidth="1"/>
    <col min="9995" max="9995" width="12.140625" style="95" bestFit="1" customWidth="1"/>
    <col min="9996" max="9996" width="12.140625" style="95" customWidth="1"/>
    <col min="9997" max="9997" width="12.140625" style="95" bestFit="1" customWidth="1"/>
    <col min="9998" max="10240" width="9.140625" style="95"/>
    <col min="10241" max="10241" width="61.5703125" style="95" bestFit="1" customWidth="1"/>
    <col min="10242" max="10242" width="19.140625" style="95" bestFit="1" customWidth="1"/>
    <col min="10243" max="10243" width="18.85546875" style="95" bestFit="1" customWidth="1"/>
    <col min="10244" max="10244" width="21.5703125" style="95" bestFit="1" customWidth="1"/>
    <col min="10245" max="10245" width="20" style="95" bestFit="1" customWidth="1"/>
    <col min="10246" max="10246" width="23.28515625" style="95" bestFit="1" customWidth="1"/>
    <col min="10247" max="10248" width="27.5703125" style="95" bestFit="1" customWidth="1"/>
    <col min="10249" max="10249" width="12.140625" style="95" bestFit="1" customWidth="1"/>
    <col min="10250" max="10250" width="12.140625" style="95" customWidth="1"/>
    <col min="10251" max="10251" width="12.140625" style="95" bestFit="1" customWidth="1"/>
    <col min="10252" max="10252" width="12.140625" style="95" customWidth="1"/>
    <col min="10253" max="10253" width="12.140625" style="95" bestFit="1" customWidth="1"/>
    <col min="10254" max="10496" width="9.140625" style="95"/>
    <col min="10497" max="10497" width="61.5703125" style="95" bestFit="1" customWidth="1"/>
    <col min="10498" max="10498" width="19.140625" style="95" bestFit="1" customWidth="1"/>
    <col min="10499" max="10499" width="18.85546875" style="95" bestFit="1" customWidth="1"/>
    <col min="10500" max="10500" width="21.5703125" style="95" bestFit="1" customWidth="1"/>
    <col min="10501" max="10501" width="20" style="95" bestFit="1" customWidth="1"/>
    <col min="10502" max="10502" width="23.28515625" style="95" bestFit="1" customWidth="1"/>
    <col min="10503" max="10504" width="27.5703125" style="95" bestFit="1" customWidth="1"/>
    <col min="10505" max="10505" width="12.140625" style="95" bestFit="1" customWidth="1"/>
    <col min="10506" max="10506" width="12.140625" style="95" customWidth="1"/>
    <col min="10507" max="10507" width="12.140625" style="95" bestFit="1" customWidth="1"/>
    <col min="10508" max="10508" width="12.140625" style="95" customWidth="1"/>
    <col min="10509" max="10509" width="12.140625" style="95" bestFit="1" customWidth="1"/>
    <col min="10510" max="10752" width="9.140625" style="95"/>
    <col min="10753" max="10753" width="61.5703125" style="95" bestFit="1" customWidth="1"/>
    <col min="10754" max="10754" width="19.140625" style="95" bestFit="1" customWidth="1"/>
    <col min="10755" max="10755" width="18.85546875" style="95" bestFit="1" customWidth="1"/>
    <col min="10756" max="10756" width="21.5703125" style="95" bestFit="1" customWidth="1"/>
    <col min="10757" max="10757" width="20" style="95" bestFit="1" customWidth="1"/>
    <col min="10758" max="10758" width="23.28515625" style="95" bestFit="1" customWidth="1"/>
    <col min="10759" max="10760" width="27.5703125" style="95" bestFit="1" customWidth="1"/>
    <col min="10761" max="10761" width="12.140625" style="95" bestFit="1" customWidth="1"/>
    <col min="10762" max="10762" width="12.140625" style="95" customWidth="1"/>
    <col min="10763" max="10763" width="12.140625" style="95" bestFit="1" customWidth="1"/>
    <col min="10764" max="10764" width="12.140625" style="95" customWidth="1"/>
    <col min="10765" max="10765" width="12.140625" style="95" bestFit="1" customWidth="1"/>
    <col min="10766" max="11008" width="9.140625" style="95"/>
    <col min="11009" max="11009" width="61.5703125" style="95" bestFit="1" customWidth="1"/>
    <col min="11010" max="11010" width="19.140625" style="95" bestFit="1" customWidth="1"/>
    <col min="11011" max="11011" width="18.85546875" style="95" bestFit="1" customWidth="1"/>
    <col min="11012" max="11012" width="21.5703125" style="95" bestFit="1" customWidth="1"/>
    <col min="11013" max="11013" width="20" style="95" bestFit="1" customWidth="1"/>
    <col min="11014" max="11014" width="23.28515625" style="95" bestFit="1" customWidth="1"/>
    <col min="11015" max="11016" width="27.5703125" style="95" bestFit="1" customWidth="1"/>
    <col min="11017" max="11017" width="12.140625" style="95" bestFit="1" customWidth="1"/>
    <col min="11018" max="11018" width="12.140625" style="95" customWidth="1"/>
    <col min="11019" max="11019" width="12.140625" style="95" bestFit="1" customWidth="1"/>
    <col min="11020" max="11020" width="12.140625" style="95" customWidth="1"/>
    <col min="11021" max="11021" width="12.140625" style="95" bestFit="1" customWidth="1"/>
    <col min="11022" max="11264" width="9.140625" style="95"/>
    <col min="11265" max="11265" width="61.5703125" style="95" bestFit="1" customWidth="1"/>
    <col min="11266" max="11266" width="19.140625" style="95" bestFit="1" customWidth="1"/>
    <col min="11267" max="11267" width="18.85546875" style="95" bestFit="1" customWidth="1"/>
    <col min="11268" max="11268" width="21.5703125" style="95" bestFit="1" customWidth="1"/>
    <col min="11269" max="11269" width="20" style="95" bestFit="1" customWidth="1"/>
    <col min="11270" max="11270" width="23.28515625" style="95" bestFit="1" customWidth="1"/>
    <col min="11271" max="11272" width="27.5703125" style="95" bestFit="1" customWidth="1"/>
    <col min="11273" max="11273" width="12.140625" style="95" bestFit="1" customWidth="1"/>
    <col min="11274" max="11274" width="12.140625" style="95" customWidth="1"/>
    <col min="11275" max="11275" width="12.140625" style="95" bestFit="1" customWidth="1"/>
    <col min="11276" max="11276" width="12.140625" style="95" customWidth="1"/>
    <col min="11277" max="11277" width="12.140625" style="95" bestFit="1" customWidth="1"/>
    <col min="11278" max="11520" width="9.140625" style="95"/>
    <col min="11521" max="11521" width="61.5703125" style="95" bestFit="1" customWidth="1"/>
    <col min="11522" max="11522" width="19.140625" style="95" bestFit="1" customWidth="1"/>
    <col min="11523" max="11523" width="18.85546875" style="95" bestFit="1" customWidth="1"/>
    <col min="11524" max="11524" width="21.5703125" style="95" bestFit="1" customWidth="1"/>
    <col min="11525" max="11525" width="20" style="95" bestFit="1" customWidth="1"/>
    <col min="11526" max="11526" width="23.28515625" style="95" bestFit="1" customWidth="1"/>
    <col min="11527" max="11528" width="27.5703125" style="95" bestFit="1" customWidth="1"/>
    <col min="11529" max="11529" width="12.140625" style="95" bestFit="1" customWidth="1"/>
    <col min="11530" max="11530" width="12.140625" style="95" customWidth="1"/>
    <col min="11531" max="11531" width="12.140625" style="95" bestFit="1" customWidth="1"/>
    <col min="11532" max="11532" width="12.140625" style="95" customWidth="1"/>
    <col min="11533" max="11533" width="12.140625" style="95" bestFit="1" customWidth="1"/>
    <col min="11534" max="11776" width="9.140625" style="95"/>
    <col min="11777" max="11777" width="61.5703125" style="95" bestFit="1" customWidth="1"/>
    <col min="11778" max="11778" width="19.140625" style="95" bestFit="1" customWidth="1"/>
    <col min="11779" max="11779" width="18.85546875" style="95" bestFit="1" customWidth="1"/>
    <col min="11780" max="11780" width="21.5703125" style="95" bestFit="1" customWidth="1"/>
    <col min="11781" max="11781" width="20" style="95" bestFit="1" customWidth="1"/>
    <col min="11782" max="11782" width="23.28515625" style="95" bestFit="1" customWidth="1"/>
    <col min="11783" max="11784" width="27.5703125" style="95" bestFit="1" customWidth="1"/>
    <col min="11785" max="11785" width="12.140625" style="95" bestFit="1" customWidth="1"/>
    <col min="11786" max="11786" width="12.140625" style="95" customWidth="1"/>
    <col min="11787" max="11787" width="12.140625" style="95" bestFit="1" customWidth="1"/>
    <col min="11788" max="11788" width="12.140625" style="95" customWidth="1"/>
    <col min="11789" max="11789" width="12.140625" style="95" bestFit="1" customWidth="1"/>
    <col min="11790" max="12032" width="9.140625" style="95"/>
    <col min="12033" max="12033" width="61.5703125" style="95" bestFit="1" customWidth="1"/>
    <col min="12034" max="12034" width="19.140625" style="95" bestFit="1" customWidth="1"/>
    <col min="12035" max="12035" width="18.85546875" style="95" bestFit="1" customWidth="1"/>
    <col min="12036" max="12036" width="21.5703125" style="95" bestFit="1" customWidth="1"/>
    <col min="12037" max="12037" width="20" style="95" bestFit="1" customWidth="1"/>
    <col min="12038" max="12038" width="23.28515625" style="95" bestFit="1" customWidth="1"/>
    <col min="12039" max="12040" width="27.5703125" style="95" bestFit="1" customWidth="1"/>
    <col min="12041" max="12041" width="12.140625" style="95" bestFit="1" customWidth="1"/>
    <col min="12042" max="12042" width="12.140625" style="95" customWidth="1"/>
    <col min="12043" max="12043" width="12.140625" style="95" bestFit="1" customWidth="1"/>
    <col min="12044" max="12044" width="12.140625" style="95" customWidth="1"/>
    <col min="12045" max="12045" width="12.140625" style="95" bestFit="1" customWidth="1"/>
    <col min="12046" max="12288" width="9.140625" style="95"/>
    <col min="12289" max="12289" width="61.5703125" style="95" bestFit="1" customWidth="1"/>
    <col min="12290" max="12290" width="19.140625" style="95" bestFit="1" customWidth="1"/>
    <col min="12291" max="12291" width="18.85546875" style="95" bestFit="1" customWidth="1"/>
    <col min="12292" max="12292" width="21.5703125" style="95" bestFit="1" customWidth="1"/>
    <col min="12293" max="12293" width="20" style="95" bestFit="1" customWidth="1"/>
    <col min="12294" max="12294" width="23.28515625" style="95" bestFit="1" customWidth="1"/>
    <col min="12295" max="12296" width="27.5703125" style="95" bestFit="1" customWidth="1"/>
    <col min="12297" max="12297" width="12.140625" style="95" bestFit="1" customWidth="1"/>
    <col min="12298" max="12298" width="12.140625" style="95" customWidth="1"/>
    <col min="12299" max="12299" width="12.140625" style="95" bestFit="1" customWidth="1"/>
    <col min="12300" max="12300" width="12.140625" style="95" customWidth="1"/>
    <col min="12301" max="12301" width="12.140625" style="95" bestFit="1" customWidth="1"/>
    <col min="12302" max="12544" width="9.140625" style="95"/>
    <col min="12545" max="12545" width="61.5703125" style="95" bestFit="1" customWidth="1"/>
    <col min="12546" max="12546" width="19.140625" style="95" bestFit="1" customWidth="1"/>
    <col min="12547" max="12547" width="18.85546875" style="95" bestFit="1" customWidth="1"/>
    <col min="12548" max="12548" width="21.5703125" style="95" bestFit="1" customWidth="1"/>
    <col min="12549" max="12549" width="20" style="95" bestFit="1" customWidth="1"/>
    <col min="12550" max="12550" width="23.28515625" style="95" bestFit="1" customWidth="1"/>
    <col min="12551" max="12552" width="27.5703125" style="95" bestFit="1" customWidth="1"/>
    <col min="12553" max="12553" width="12.140625" style="95" bestFit="1" customWidth="1"/>
    <col min="12554" max="12554" width="12.140625" style="95" customWidth="1"/>
    <col min="12555" max="12555" width="12.140625" style="95" bestFit="1" customWidth="1"/>
    <col min="12556" max="12556" width="12.140625" style="95" customWidth="1"/>
    <col min="12557" max="12557" width="12.140625" style="95" bestFit="1" customWidth="1"/>
    <col min="12558" max="12800" width="9.140625" style="95"/>
    <col min="12801" max="12801" width="61.5703125" style="95" bestFit="1" customWidth="1"/>
    <col min="12802" max="12802" width="19.140625" style="95" bestFit="1" customWidth="1"/>
    <col min="12803" max="12803" width="18.85546875" style="95" bestFit="1" customWidth="1"/>
    <col min="12804" max="12804" width="21.5703125" style="95" bestFit="1" customWidth="1"/>
    <col min="12805" max="12805" width="20" style="95" bestFit="1" customWidth="1"/>
    <col min="12806" max="12806" width="23.28515625" style="95" bestFit="1" customWidth="1"/>
    <col min="12807" max="12808" width="27.5703125" style="95" bestFit="1" customWidth="1"/>
    <col min="12809" max="12809" width="12.140625" style="95" bestFit="1" customWidth="1"/>
    <col min="12810" max="12810" width="12.140625" style="95" customWidth="1"/>
    <col min="12811" max="12811" width="12.140625" style="95" bestFit="1" customWidth="1"/>
    <col min="12812" max="12812" width="12.140625" style="95" customWidth="1"/>
    <col min="12813" max="12813" width="12.140625" style="95" bestFit="1" customWidth="1"/>
    <col min="12814" max="13056" width="9.140625" style="95"/>
    <col min="13057" max="13057" width="61.5703125" style="95" bestFit="1" customWidth="1"/>
    <col min="13058" max="13058" width="19.140625" style="95" bestFit="1" customWidth="1"/>
    <col min="13059" max="13059" width="18.85546875" style="95" bestFit="1" customWidth="1"/>
    <col min="13060" max="13060" width="21.5703125" style="95" bestFit="1" customWidth="1"/>
    <col min="13061" max="13061" width="20" style="95" bestFit="1" customWidth="1"/>
    <col min="13062" max="13062" width="23.28515625" style="95" bestFit="1" customWidth="1"/>
    <col min="13063" max="13064" width="27.5703125" style="95" bestFit="1" customWidth="1"/>
    <col min="13065" max="13065" width="12.140625" style="95" bestFit="1" customWidth="1"/>
    <col min="13066" max="13066" width="12.140625" style="95" customWidth="1"/>
    <col min="13067" max="13067" width="12.140625" style="95" bestFit="1" customWidth="1"/>
    <col min="13068" max="13068" width="12.140625" style="95" customWidth="1"/>
    <col min="13069" max="13069" width="12.140625" style="95" bestFit="1" customWidth="1"/>
    <col min="13070" max="13312" width="9.140625" style="95"/>
    <col min="13313" max="13313" width="61.5703125" style="95" bestFit="1" customWidth="1"/>
    <col min="13314" max="13314" width="19.140625" style="95" bestFit="1" customWidth="1"/>
    <col min="13315" max="13315" width="18.85546875" style="95" bestFit="1" customWidth="1"/>
    <col min="13316" max="13316" width="21.5703125" style="95" bestFit="1" customWidth="1"/>
    <col min="13317" max="13317" width="20" style="95" bestFit="1" customWidth="1"/>
    <col min="13318" max="13318" width="23.28515625" style="95" bestFit="1" customWidth="1"/>
    <col min="13319" max="13320" width="27.5703125" style="95" bestFit="1" customWidth="1"/>
    <col min="13321" max="13321" width="12.140625" style="95" bestFit="1" customWidth="1"/>
    <col min="13322" max="13322" width="12.140625" style="95" customWidth="1"/>
    <col min="13323" max="13323" width="12.140625" style="95" bestFit="1" customWidth="1"/>
    <col min="13324" max="13324" width="12.140625" style="95" customWidth="1"/>
    <col min="13325" max="13325" width="12.140625" style="95" bestFit="1" customWidth="1"/>
    <col min="13326" max="13568" width="9.140625" style="95"/>
    <col min="13569" max="13569" width="61.5703125" style="95" bestFit="1" customWidth="1"/>
    <col min="13570" max="13570" width="19.140625" style="95" bestFit="1" customWidth="1"/>
    <col min="13571" max="13571" width="18.85546875" style="95" bestFit="1" customWidth="1"/>
    <col min="13572" max="13572" width="21.5703125" style="95" bestFit="1" customWidth="1"/>
    <col min="13573" max="13573" width="20" style="95" bestFit="1" customWidth="1"/>
    <col min="13574" max="13574" width="23.28515625" style="95" bestFit="1" customWidth="1"/>
    <col min="13575" max="13576" width="27.5703125" style="95" bestFit="1" customWidth="1"/>
    <col min="13577" max="13577" width="12.140625" style="95" bestFit="1" customWidth="1"/>
    <col min="13578" max="13578" width="12.140625" style="95" customWidth="1"/>
    <col min="13579" max="13579" width="12.140625" style="95" bestFit="1" customWidth="1"/>
    <col min="13580" max="13580" width="12.140625" style="95" customWidth="1"/>
    <col min="13581" max="13581" width="12.140625" style="95" bestFit="1" customWidth="1"/>
    <col min="13582" max="13824" width="9.140625" style="95"/>
    <col min="13825" max="13825" width="61.5703125" style="95" bestFit="1" customWidth="1"/>
    <col min="13826" max="13826" width="19.140625" style="95" bestFit="1" customWidth="1"/>
    <col min="13827" max="13827" width="18.85546875" style="95" bestFit="1" customWidth="1"/>
    <col min="13828" max="13828" width="21.5703125" style="95" bestFit="1" customWidth="1"/>
    <col min="13829" max="13829" width="20" style="95" bestFit="1" customWidth="1"/>
    <col min="13830" max="13830" width="23.28515625" style="95" bestFit="1" customWidth="1"/>
    <col min="13831" max="13832" width="27.5703125" style="95" bestFit="1" customWidth="1"/>
    <col min="13833" max="13833" width="12.140625" style="95" bestFit="1" customWidth="1"/>
    <col min="13834" max="13834" width="12.140625" style="95" customWidth="1"/>
    <col min="13835" max="13835" width="12.140625" style="95" bestFit="1" customWidth="1"/>
    <col min="13836" max="13836" width="12.140625" style="95" customWidth="1"/>
    <col min="13837" max="13837" width="12.140625" style="95" bestFit="1" customWidth="1"/>
    <col min="13838" max="14080" width="9.140625" style="95"/>
    <col min="14081" max="14081" width="61.5703125" style="95" bestFit="1" customWidth="1"/>
    <col min="14082" max="14082" width="19.140625" style="95" bestFit="1" customWidth="1"/>
    <col min="14083" max="14083" width="18.85546875" style="95" bestFit="1" customWidth="1"/>
    <col min="14084" max="14084" width="21.5703125" style="95" bestFit="1" customWidth="1"/>
    <col min="14085" max="14085" width="20" style="95" bestFit="1" customWidth="1"/>
    <col min="14086" max="14086" width="23.28515625" style="95" bestFit="1" customWidth="1"/>
    <col min="14087" max="14088" width="27.5703125" style="95" bestFit="1" customWidth="1"/>
    <col min="14089" max="14089" width="12.140625" style="95" bestFit="1" customWidth="1"/>
    <col min="14090" max="14090" width="12.140625" style="95" customWidth="1"/>
    <col min="14091" max="14091" width="12.140625" style="95" bestFit="1" customWidth="1"/>
    <col min="14092" max="14092" width="12.140625" style="95" customWidth="1"/>
    <col min="14093" max="14093" width="12.140625" style="95" bestFit="1" customWidth="1"/>
    <col min="14094" max="14336" width="9.140625" style="95"/>
    <col min="14337" max="14337" width="61.5703125" style="95" bestFit="1" customWidth="1"/>
    <col min="14338" max="14338" width="19.140625" style="95" bestFit="1" customWidth="1"/>
    <col min="14339" max="14339" width="18.85546875" style="95" bestFit="1" customWidth="1"/>
    <col min="14340" max="14340" width="21.5703125" style="95" bestFit="1" customWidth="1"/>
    <col min="14341" max="14341" width="20" style="95" bestFit="1" customWidth="1"/>
    <col min="14342" max="14342" width="23.28515625" style="95" bestFit="1" customWidth="1"/>
    <col min="14343" max="14344" width="27.5703125" style="95" bestFit="1" customWidth="1"/>
    <col min="14345" max="14345" width="12.140625" style="95" bestFit="1" customWidth="1"/>
    <col min="14346" max="14346" width="12.140625" style="95" customWidth="1"/>
    <col min="14347" max="14347" width="12.140625" style="95" bestFit="1" customWidth="1"/>
    <col min="14348" max="14348" width="12.140625" style="95" customWidth="1"/>
    <col min="14349" max="14349" width="12.140625" style="95" bestFit="1" customWidth="1"/>
    <col min="14350" max="14592" width="9.140625" style="95"/>
    <col min="14593" max="14593" width="61.5703125" style="95" bestFit="1" customWidth="1"/>
    <col min="14594" max="14594" width="19.140625" style="95" bestFit="1" customWidth="1"/>
    <col min="14595" max="14595" width="18.85546875" style="95" bestFit="1" customWidth="1"/>
    <col min="14596" max="14596" width="21.5703125" style="95" bestFit="1" customWidth="1"/>
    <col min="14597" max="14597" width="20" style="95" bestFit="1" customWidth="1"/>
    <col min="14598" max="14598" width="23.28515625" style="95" bestFit="1" customWidth="1"/>
    <col min="14599" max="14600" width="27.5703125" style="95" bestFit="1" customWidth="1"/>
    <col min="14601" max="14601" width="12.140625" style="95" bestFit="1" customWidth="1"/>
    <col min="14602" max="14602" width="12.140625" style="95" customWidth="1"/>
    <col min="14603" max="14603" width="12.140625" style="95" bestFit="1" customWidth="1"/>
    <col min="14604" max="14604" width="12.140625" style="95" customWidth="1"/>
    <col min="14605" max="14605" width="12.140625" style="95" bestFit="1" customWidth="1"/>
    <col min="14606" max="14848" width="9.140625" style="95"/>
    <col min="14849" max="14849" width="61.5703125" style="95" bestFit="1" customWidth="1"/>
    <col min="14850" max="14850" width="19.140625" style="95" bestFit="1" customWidth="1"/>
    <col min="14851" max="14851" width="18.85546875" style="95" bestFit="1" customWidth="1"/>
    <col min="14852" max="14852" width="21.5703125" style="95" bestFit="1" customWidth="1"/>
    <col min="14853" max="14853" width="20" style="95" bestFit="1" customWidth="1"/>
    <col min="14854" max="14854" width="23.28515625" style="95" bestFit="1" customWidth="1"/>
    <col min="14855" max="14856" width="27.5703125" style="95" bestFit="1" customWidth="1"/>
    <col min="14857" max="14857" width="12.140625" style="95" bestFit="1" customWidth="1"/>
    <col min="14858" max="14858" width="12.140625" style="95" customWidth="1"/>
    <col min="14859" max="14859" width="12.140625" style="95" bestFit="1" customWidth="1"/>
    <col min="14860" max="14860" width="12.140625" style="95" customWidth="1"/>
    <col min="14861" max="14861" width="12.140625" style="95" bestFit="1" customWidth="1"/>
    <col min="14862" max="15104" width="9.140625" style="95"/>
    <col min="15105" max="15105" width="61.5703125" style="95" bestFit="1" customWidth="1"/>
    <col min="15106" max="15106" width="19.140625" style="95" bestFit="1" customWidth="1"/>
    <col min="15107" max="15107" width="18.85546875" style="95" bestFit="1" customWidth="1"/>
    <col min="15108" max="15108" width="21.5703125" style="95" bestFit="1" customWidth="1"/>
    <col min="15109" max="15109" width="20" style="95" bestFit="1" customWidth="1"/>
    <col min="15110" max="15110" width="23.28515625" style="95" bestFit="1" customWidth="1"/>
    <col min="15111" max="15112" width="27.5703125" style="95" bestFit="1" customWidth="1"/>
    <col min="15113" max="15113" width="12.140625" style="95" bestFit="1" customWidth="1"/>
    <col min="15114" max="15114" width="12.140625" style="95" customWidth="1"/>
    <col min="15115" max="15115" width="12.140625" style="95" bestFit="1" customWidth="1"/>
    <col min="15116" max="15116" width="12.140625" style="95" customWidth="1"/>
    <col min="15117" max="15117" width="12.140625" style="95" bestFit="1" customWidth="1"/>
    <col min="15118" max="15360" width="9.140625" style="95"/>
    <col min="15361" max="15361" width="61.5703125" style="95" bestFit="1" customWidth="1"/>
    <col min="15362" max="15362" width="19.140625" style="95" bestFit="1" customWidth="1"/>
    <col min="15363" max="15363" width="18.85546875" style="95" bestFit="1" customWidth="1"/>
    <col min="15364" max="15364" width="21.5703125" style="95" bestFit="1" customWidth="1"/>
    <col min="15365" max="15365" width="20" style="95" bestFit="1" customWidth="1"/>
    <col min="15366" max="15366" width="23.28515625" style="95" bestFit="1" customWidth="1"/>
    <col min="15367" max="15368" width="27.5703125" style="95" bestFit="1" customWidth="1"/>
    <col min="15369" max="15369" width="12.140625" style="95" bestFit="1" customWidth="1"/>
    <col min="15370" max="15370" width="12.140625" style="95" customWidth="1"/>
    <col min="15371" max="15371" width="12.140625" style="95" bestFit="1" customWidth="1"/>
    <col min="15372" max="15372" width="12.140625" style="95" customWidth="1"/>
    <col min="15373" max="15373" width="12.140625" style="95" bestFit="1" customWidth="1"/>
    <col min="15374" max="15616" width="9.140625" style="95"/>
    <col min="15617" max="15617" width="61.5703125" style="95" bestFit="1" customWidth="1"/>
    <col min="15618" max="15618" width="19.140625" style="95" bestFit="1" customWidth="1"/>
    <col min="15619" max="15619" width="18.85546875" style="95" bestFit="1" customWidth="1"/>
    <col min="15620" max="15620" width="21.5703125" style="95" bestFit="1" customWidth="1"/>
    <col min="15621" max="15621" width="20" style="95" bestFit="1" customWidth="1"/>
    <col min="15622" max="15622" width="23.28515625" style="95" bestFit="1" customWidth="1"/>
    <col min="15623" max="15624" width="27.5703125" style="95" bestFit="1" customWidth="1"/>
    <col min="15625" max="15625" width="12.140625" style="95" bestFit="1" customWidth="1"/>
    <col min="15626" max="15626" width="12.140625" style="95" customWidth="1"/>
    <col min="15627" max="15627" width="12.140625" style="95" bestFit="1" customWidth="1"/>
    <col min="15628" max="15628" width="12.140625" style="95" customWidth="1"/>
    <col min="15629" max="15629" width="12.140625" style="95" bestFit="1" customWidth="1"/>
    <col min="15630" max="15872" width="9.140625" style="95"/>
    <col min="15873" max="15873" width="61.5703125" style="95" bestFit="1" customWidth="1"/>
    <col min="15874" max="15874" width="19.140625" style="95" bestFit="1" customWidth="1"/>
    <col min="15875" max="15875" width="18.85546875" style="95" bestFit="1" customWidth="1"/>
    <col min="15876" max="15876" width="21.5703125" style="95" bestFit="1" customWidth="1"/>
    <col min="15877" max="15877" width="20" style="95" bestFit="1" customWidth="1"/>
    <col min="15878" max="15878" width="23.28515625" style="95" bestFit="1" customWidth="1"/>
    <col min="15879" max="15880" width="27.5703125" style="95" bestFit="1" customWidth="1"/>
    <col min="15881" max="15881" width="12.140625" style="95" bestFit="1" customWidth="1"/>
    <col min="15882" max="15882" width="12.140625" style="95" customWidth="1"/>
    <col min="15883" max="15883" width="12.140625" style="95" bestFit="1" customWidth="1"/>
    <col min="15884" max="15884" width="12.140625" style="95" customWidth="1"/>
    <col min="15885" max="15885" width="12.140625" style="95" bestFit="1" customWidth="1"/>
    <col min="15886" max="16128" width="9.140625" style="95"/>
    <col min="16129" max="16129" width="61.5703125" style="95" bestFit="1" customWidth="1"/>
    <col min="16130" max="16130" width="19.140625" style="95" bestFit="1" customWidth="1"/>
    <col min="16131" max="16131" width="18.85546875" style="95" bestFit="1" customWidth="1"/>
    <col min="16132" max="16132" width="21.5703125" style="95" bestFit="1" customWidth="1"/>
    <col min="16133" max="16133" width="20" style="95" bestFit="1" customWidth="1"/>
    <col min="16134" max="16134" width="23.28515625" style="95" bestFit="1" customWidth="1"/>
    <col min="16135" max="16136" width="27.5703125" style="95" bestFit="1" customWidth="1"/>
    <col min="16137" max="16137" width="12.140625" style="95" bestFit="1" customWidth="1"/>
    <col min="16138" max="16138" width="12.140625" style="95" customWidth="1"/>
    <col min="16139" max="16139" width="12.140625" style="95" bestFit="1" customWidth="1"/>
    <col min="16140" max="16140" width="12.140625" style="95" customWidth="1"/>
    <col min="16141" max="16141" width="12.140625" style="95" bestFit="1" customWidth="1"/>
    <col min="16142" max="16384" width="9.140625" style="95"/>
  </cols>
  <sheetData>
    <row r="1" spans="1:8" ht="20.25">
      <c r="A1" s="493">
        <v>2012</v>
      </c>
    </row>
    <row r="2" spans="1:8" ht="25.5">
      <c r="A2" s="495" t="s">
        <v>26</v>
      </c>
      <c r="B2" s="470" t="s">
        <v>755</v>
      </c>
      <c r="C2" s="470" t="s">
        <v>754</v>
      </c>
      <c r="D2" s="498" t="s">
        <v>682</v>
      </c>
      <c r="E2" s="498" t="s">
        <v>683</v>
      </c>
      <c r="F2" s="498" t="s">
        <v>679</v>
      </c>
      <c r="G2" s="498" t="s">
        <v>680</v>
      </c>
      <c r="H2" s="498" t="s">
        <v>681</v>
      </c>
    </row>
    <row r="3" spans="1:8">
      <c r="A3" s="99" t="s">
        <v>64</v>
      </c>
      <c r="B3" s="484">
        <v>899742.42095238087</v>
      </c>
      <c r="C3" s="484">
        <v>14862012.734072013</v>
      </c>
      <c r="D3" s="497">
        <v>68212459.497874007</v>
      </c>
      <c r="E3" s="484">
        <v>30127914.913788751</v>
      </c>
      <c r="F3" s="484">
        <v>5485549.1275000004</v>
      </c>
      <c r="G3" s="484">
        <v>92854825.28416273</v>
      </c>
      <c r="H3" s="484">
        <v>62726910.370373979</v>
      </c>
    </row>
    <row r="4" spans="1:8">
      <c r="A4" s="99" t="s">
        <v>65</v>
      </c>
      <c r="B4" s="484">
        <v>5275841.7422922943</v>
      </c>
      <c r="C4" s="484">
        <v>258411.60843637632</v>
      </c>
      <c r="D4" s="481">
        <v>300120169.59377426</v>
      </c>
      <c r="E4" s="481">
        <v>70999665.263400212</v>
      </c>
      <c r="F4" s="482">
        <v>582890.38249999995</v>
      </c>
      <c r="G4" s="482">
        <v>370536944.4746744</v>
      </c>
      <c r="H4" s="482">
        <v>299537279.21127427</v>
      </c>
    </row>
    <row r="5" spans="1:8">
      <c r="A5" s="99" t="s">
        <v>66</v>
      </c>
      <c r="B5" s="484">
        <v>2200955.6576033058</v>
      </c>
      <c r="C5" s="484">
        <v>892487.93295619823</v>
      </c>
      <c r="D5" s="481">
        <v>363387868.44998145</v>
      </c>
      <c r="E5" s="481">
        <v>83681981.350069374</v>
      </c>
      <c r="F5" s="482">
        <v>130950081.89</v>
      </c>
      <c r="G5" s="482">
        <v>316119767.91005087</v>
      </c>
      <c r="H5" s="482">
        <v>232437786.5599815</v>
      </c>
    </row>
    <row r="6" spans="1:8">
      <c r="A6" s="99" t="s">
        <v>67</v>
      </c>
      <c r="B6" s="484">
        <v>108646.23</v>
      </c>
      <c r="C6" s="484">
        <v>7600</v>
      </c>
      <c r="D6" s="481">
        <v>6244416.2750000013</v>
      </c>
      <c r="E6" s="481">
        <v>2119487.892491594</v>
      </c>
      <c r="F6" s="482">
        <v>1619302.6</v>
      </c>
      <c r="G6" s="482">
        <v>6744601.5674915928</v>
      </c>
      <c r="H6" s="482">
        <v>4625113.6749999989</v>
      </c>
    </row>
    <row r="7" spans="1:8">
      <c r="A7" s="99" t="s">
        <v>743</v>
      </c>
      <c r="B7" s="484">
        <v>41135.93</v>
      </c>
      <c r="C7" s="484">
        <v>280903.66000000003</v>
      </c>
      <c r="D7" s="481">
        <v>13771502.405005351</v>
      </c>
      <c r="E7" s="481">
        <v>1141434.7103303552</v>
      </c>
      <c r="F7" s="482">
        <v>639789</v>
      </c>
      <c r="G7" s="482">
        <v>14273148.115335705</v>
      </c>
      <c r="H7" s="482">
        <v>13131713.405005349</v>
      </c>
    </row>
    <row r="8" spans="1:8">
      <c r="A8" s="99" t="s">
        <v>69</v>
      </c>
      <c r="B8" s="484">
        <v>109327.22946455172</v>
      </c>
      <c r="C8" s="484">
        <v>609035.5107287867</v>
      </c>
      <c r="D8" s="481">
        <v>20974392.963737786</v>
      </c>
      <c r="E8" s="481">
        <v>5628821.0218159463</v>
      </c>
      <c r="F8" s="482">
        <v>3358654</v>
      </c>
      <c r="G8" s="482">
        <v>23244559.985553727</v>
      </c>
      <c r="H8" s="482">
        <v>17615738.963737786</v>
      </c>
    </row>
    <row r="9" spans="1:8">
      <c r="A9" s="99" t="s">
        <v>61</v>
      </c>
      <c r="B9" s="484">
        <v>68591.850000000006</v>
      </c>
      <c r="C9" s="484">
        <v>9480</v>
      </c>
      <c r="D9" s="481">
        <v>6076411.6280900538</v>
      </c>
      <c r="E9" s="481">
        <v>2567107.1385787437</v>
      </c>
      <c r="F9" s="482">
        <v>10355</v>
      </c>
      <c r="G9" s="482">
        <v>8633163.7666687965</v>
      </c>
      <c r="H9" s="482">
        <v>6066056.6280900519</v>
      </c>
    </row>
    <row r="10" spans="1:8">
      <c r="A10" s="99" t="s">
        <v>70</v>
      </c>
      <c r="B10" s="484">
        <v>0</v>
      </c>
      <c r="C10" s="484">
        <v>0</v>
      </c>
      <c r="D10" s="481">
        <v>487132405.96700001</v>
      </c>
      <c r="E10" s="481">
        <v>0</v>
      </c>
      <c r="F10" s="482">
        <v>0</v>
      </c>
      <c r="G10" s="482">
        <v>487132405.96700001</v>
      </c>
      <c r="H10" s="482">
        <v>487132405.96700001</v>
      </c>
    </row>
    <row r="11" spans="1:8">
      <c r="A11" s="99" t="s">
        <v>71</v>
      </c>
      <c r="B11" s="484">
        <v>56197.495000100134</v>
      </c>
      <c r="C11" s="484">
        <v>43155.666666666664</v>
      </c>
      <c r="D11" s="481">
        <v>2147979.3231461621</v>
      </c>
      <c r="E11" s="481">
        <v>146727.00105053216</v>
      </c>
      <c r="F11" s="482">
        <v>8078</v>
      </c>
      <c r="G11" s="482">
        <v>2286628.3241966944</v>
      </c>
      <c r="H11" s="482">
        <v>2139901.3231461621</v>
      </c>
    </row>
    <row r="12" spans="1:8">
      <c r="A12" s="97" t="s">
        <v>183</v>
      </c>
      <c r="B12" s="484">
        <v>0</v>
      </c>
      <c r="C12" s="484">
        <v>0</v>
      </c>
      <c r="D12" s="481">
        <v>389825000</v>
      </c>
      <c r="E12" s="481">
        <v>0</v>
      </c>
      <c r="F12" s="481">
        <v>333349115</v>
      </c>
      <c r="G12" s="481">
        <v>56475885</v>
      </c>
      <c r="H12" s="481">
        <v>56475885</v>
      </c>
    </row>
    <row r="13" spans="1:8">
      <c r="A13" s="99"/>
      <c r="D13" s="496"/>
      <c r="E13" s="496"/>
      <c r="F13" s="496"/>
      <c r="G13" s="496"/>
      <c r="H13" s="496"/>
    </row>
    <row r="14" spans="1:8">
      <c r="A14" s="495" t="s">
        <v>753</v>
      </c>
      <c r="B14" s="487">
        <f t="shared" ref="B14:H14" si="0">SUM(B3:B12)</f>
        <v>8760438.5553126317</v>
      </c>
      <c r="C14" s="487">
        <f t="shared" si="0"/>
        <v>16963087.112860043</v>
      </c>
      <c r="D14" s="465">
        <f t="shared" si="0"/>
        <v>1657892606.1036088</v>
      </c>
      <c r="E14" s="465">
        <f t="shared" si="0"/>
        <v>196413139.29152551</v>
      </c>
      <c r="F14" s="465">
        <f t="shared" si="0"/>
        <v>476003815</v>
      </c>
      <c r="G14" s="465">
        <f t="shared" si="0"/>
        <v>1378301930.3951344</v>
      </c>
      <c r="H14" s="465">
        <f t="shared" si="0"/>
        <v>1181888791.1036088</v>
      </c>
    </row>
    <row r="15" spans="1:8">
      <c r="A15" s="495"/>
      <c r="B15" s="494"/>
      <c r="C15" s="494"/>
      <c r="D15" s="494"/>
      <c r="E15" s="494"/>
      <c r="F15" s="494"/>
      <c r="G15" s="494"/>
      <c r="H15" s="494"/>
    </row>
    <row r="16" spans="1:8" ht="27">
      <c r="A16" s="493">
        <v>2011</v>
      </c>
      <c r="B16" s="108" t="s">
        <v>9</v>
      </c>
      <c r="C16" s="108" t="s">
        <v>37</v>
      </c>
      <c r="D16" s="108" t="s">
        <v>682</v>
      </c>
      <c r="E16" s="108" t="s">
        <v>683</v>
      </c>
      <c r="F16" s="492" t="s">
        <v>679</v>
      </c>
      <c r="G16" s="491" t="s">
        <v>680</v>
      </c>
      <c r="H16" s="108" t="s">
        <v>681</v>
      </c>
    </row>
    <row r="17" spans="1:8">
      <c r="A17" s="97" t="s">
        <v>26</v>
      </c>
      <c r="F17" s="490"/>
      <c r="G17" s="489"/>
    </row>
    <row r="18" spans="1:8">
      <c r="A18" s="97" t="s">
        <v>64</v>
      </c>
      <c r="B18" s="487">
        <v>860437.35279510706</v>
      </c>
      <c r="C18" s="487">
        <v>11104242.624987107</v>
      </c>
      <c r="D18" s="465">
        <v>60495988.657291435</v>
      </c>
      <c r="E18" s="465">
        <v>27932578.636619672</v>
      </c>
      <c r="F18" s="466">
        <v>5474312.9799999995</v>
      </c>
      <c r="G18" s="466">
        <v>82954254.31391108</v>
      </c>
      <c r="H18" s="466">
        <v>55021675.677291423</v>
      </c>
    </row>
    <row r="19" spans="1:8">
      <c r="A19" s="97" t="s">
        <v>65</v>
      </c>
      <c r="B19" s="487">
        <v>6048079.7754437942</v>
      </c>
      <c r="C19" s="487">
        <v>279316.12724159361</v>
      </c>
      <c r="D19" s="465">
        <v>279656729.97193551</v>
      </c>
      <c r="E19" s="465">
        <v>68716814.321946695</v>
      </c>
      <c r="F19" s="466">
        <v>288560.24</v>
      </c>
      <c r="G19" s="466">
        <v>348084984.0538823</v>
      </c>
      <c r="H19" s="466">
        <v>279368169.73193556</v>
      </c>
    </row>
    <row r="20" spans="1:8">
      <c r="A20" s="97" t="s">
        <v>66</v>
      </c>
      <c r="B20" s="487">
        <v>1896144.8713771969</v>
      </c>
      <c r="C20" s="487">
        <v>977078.54205041332</v>
      </c>
      <c r="D20" s="465">
        <v>350623897.26139188</v>
      </c>
      <c r="E20" s="465">
        <v>83703435.409001917</v>
      </c>
      <c r="F20" s="466">
        <v>148990699.79020041</v>
      </c>
      <c r="G20" s="466">
        <v>285336632.88019341</v>
      </c>
      <c r="H20" s="466">
        <v>201633197.4711915</v>
      </c>
    </row>
    <row r="21" spans="1:8">
      <c r="A21" s="97" t="s">
        <v>67</v>
      </c>
      <c r="B21" s="487">
        <v>72040.350000000006</v>
      </c>
      <c r="C21" s="487">
        <v>23333.281729114693</v>
      </c>
      <c r="D21" s="465">
        <v>6478326.3199400008</v>
      </c>
      <c r="E21" s="465">
        <v>1653810.4714763935</v>
      </c>
      <c r="F21" s="466">
        <v>1879099.39</v>
      </c>
      <c r="G21" s="466">
        <v>6253037.401416393</v>
      </c>
      <c r="H21" s="466">
        <v>4599226.9299400002</v>
      </c>
    </row>
    <row r="22" spans="1:8">
      <c r="A22" s="97" t="s">
        <v>68</v>
      </c>
      <c r="B22" s="487">
        <v>45514.881800216011</v>
      </c>
      <c r="C22" s="487">
        <v>1156123.5</v>
      </c>
      <c r="D22" s="465">
        <v>13499299.192253541</v>
      </c>
      <c r="E22" s="465">
        <v>1034005.7758807952</v>
      </c>
      <c r="F22" s="466">
        <v>490668</v>
      </c>
      <c r="G22" s="466">
        <v>14042638.968134334</v>
      </c>
      <c r="H22" s="466">
        <v>13008633.192253541</v>
      </c>
    </row>
    <row r="23" spans="1:8">
      <c r="A23" s="97" t="s">
        <v>69</v>
      </c>
      <c r="B23" s="487">
        <v>156750.73779788509</v>
      </c>
      <c r="C23" s="487">
        <v>528869.5107287867</v>
      </c>
      <c r="D23" s="465">
        <v>24467322.057272036</v>
      </c>
      <c r="E23" s="465">
        <v>7026808.7224077089</v>
      </c>
      <c r="F23" s="466">
        <v>3217761</v>
      </c>
      <c r="G23" s="466">
        <v>28276369.779679753</v>
      </c>
      <c r="H23" s="466">
        <v>21249561.057272043</v>
      </c>
    </row>
    <row r="24" spans="1:8">
      <c r="A24" s="97" t="s">
        <v>61</v>
      </c>
      <c r="B24" s="487">
        <v>57254.837500000001</v>
      </c>
      <c r="C24" s="487">
        <v>38437.960294512406</v>
      </c>
      <c r="D24" s="465">
        <v>4342451.8280814877</v>
      </c>
      <c r="E24" s="465">
        <v>2086258.8077579318</v>
      </c>
      <c r="F24" s="466">
        <v>18626</v>
      </c>
      <c r="G24" s="466">
        <v>6410084.6358394194</v>
      </c>
      <c r="H24" s="466">
        <v>4323825.8280814886</v>
      </c>
    </row>
    <row r="25" spans="1:8">
      <c r="A25" s="97" t="s">
        <v>70</v>
      </c>
      <c r="B25" s="487">
        <v>0</v>
      </c>
      <c r="C25" s="487">
        <v>0</v>
      </c>
      <c r="D25" s="465">
        <v>0</v>
      </c>
      <c r="E25" s="465">
        <v>0</v>
      </c>
      <c r="F25" s="466">
        <v>0</v>
      </c>
      <c r="G25" s="466">
        <v>395094660.20599997</v>
      </c>
      <c r="H25" s="466">
        <v>395094660.20599997</v>
      </c>
    </row>
    <row r="26" spans="1:8">
      <c r="A26" s="97" t="s">
        <v>71</v>
      </c>
      <c r="B26" s="487">
        <v>57333</v>
      </c>
      <c r="C26" s="487">
        <v>22183</v>
      </c>
      <c r="D26" s="465">
        <v>2706632.9</v>
      </c>
      <c r="E26" s="465">
        <v>395972.6746312544</v>
      </c>
      <c r="F26" s="466">
        <v>411332</v>
      </c>
      <c r="G26" s="466">
        <v>2691273.5746312542</v>
      </c>
      <c r="H26" s="466">
        <v>2295300.9</v>
      </c>
    </row>
    <row r="27" spans="1:8">
      <c r="A27" s="97" t="s">
        <v>183</v>
      </c>
      <c r="B27" s="487">
        <v>0</v>
      </c>
      <c r="C27" s="487">
        <v>0</v>
      </c>
      <c r="D27" s="465">
        <v>129529099.87439223</v>
      </c>
      <c r="E27" s="465">
        <v>0</v>
      </c>
      <c r="F27" s="465">
        <v>95655342.878487289</v>
      </c>
      <c r="G27" s="465">
        <v>33873756.995904952</v>
      </c>
      <c r="H27" s="465">
        <v>33873756.995904952</v>
      </c>
    </row>
    <row r="28" spans="1:8">
      <c r="A28" s="97"/>
      <c r="B28" s="101"/>
      <c r="C28" s="101"/>
      <c r="D28" s="462"/>
      <c r="E28" s="462"/>
      <c r="F28" s="462"/>
      <c r="G28" s="462"/>
      <c r="H28" s="488"/>
    </row>
    <row r="29" spans="1:8">
      <c r="A29" s="97" t="s">
        <v>26</v>
      </c>
      <c r="B29" s="487">
        <f t="shared" ref="B29:H29" si="1">SUM(B18:B27)</f>
        <v>9193555.8067141976</v>
      </c>
      <c r="C29" s="487">
        <f t="shared" si="1"/>
        <v>14129584.547031527</v>
      </c>
      <c r="D29" s="465">
        <f t="shared" si="1"/>
        <v>871799748.06255817</v>
      </c>
      <c r="E29" s="465">
        <f t="shared" si="1"/>
        <v>192549684.81972238</v>
      </c>
      <c r="F29" s="465">
        <f t="shared" si="1"/>
        <v>256426402.27868769</v>
      </c>
      <c r="G29" s="465">
        <f t="shared" si="1"/>
        <v>1203017692.8095927</v>
      </c>
      <c r="H29" s="465">
        <f t="shared" si="1"/>
        <v>1010468007.9898705</v>
      </c>
    </row>
    <row r="30" spans="1:8">
      <c r="A30" s="97"/>
      <c r="B30" s="486"/>
      <c r="C30" s="486"/>
      <c r="D30" s="485"/>
      <c r="E30" s="485"/>
      <c r="F30" s="485"/>
      <c r="G30" s="485"/>
      <c r="H30" s="485"/>
    </row>
    <row r="31" spans="1:8">
      <c r="A31" s="97"/>
      <c r="B31" s="486"/>
      <c r="C31" s="486"/>
      <c r="D31" s="485"/>
      <c r="E31" s="485"/>
      <c r="F31" s="485"/>
      <c r="G31" s="485"/>
      <c r="H31" s="485"/>
    </row>
    <row r="32" spans="1:8">
      <c r="A32" s="97"/>
      <c r="B32" s="486"/>
      <c r="C32" s="486"/>
      <c r="D32" s="485"/>
      <c r="E32" s="485"/>
      <c r="F32" s="485"/>
      <c r="G32" s="485"/>
      <c r="H32" s="485"/>
    </row>
    <row r="35" spans="1:5">
      <c r="E35" s="462"/>
    </row>
    <row r="39" spans="1:5">
      <c r="A39" s="97" t="s">
        <v>752</v>
      </c>
    </row>
    <row r="40" spans="1:5">
      <c r="B40" s="97">
        <v>2012</v>
      </c>
      <c r="C40" s="97">
        <v>2011</v>
      </c>
      <c r="D40" s="97" t="s">
        <v>751</v>
      </c>
      <c r="E40" s="97" t="s">
        <v>750</v>
      </c>
    </row>
    <row r="41" spans="1:5">
      <c r="A41" s="97" t="s">
        <v>64</v>
      </c>
      <c r="B41" s="484">
        <v>92854825.28416273</v>
      </c>
      <c r="C41" s="466">
        <v>82954254.31391108</v>
      </c>
      <c r="D41" s="483">
        <f t="shared" ref="D41:D50" si="2">B41-C41</f>
        <v>9900570.9702516496</v>
      </c>
      <c r="E41" s="467">
        <f t="shared" ref="E41:E50" si="3" xml:space="preserve"> (B41-C41)/ABS(C41)</f>
        <v>0.11934976755726638</v>
      </c>
    </row>
    <row r="42" spans="1:5">
      <c r="A42" s="97" t="s">
        <v>65</v>
      </c>
      <c r="B42" s="482">
        <v>370536944.4746744</v>
      </c>
      <c r="C42" s="466">
        <v>348084984.0538823</v>
      </c>
      <c r="D42" s="483">
        <f t="shared" si="2"/>
        <v>22451960.420792103</v>
      </c>
      <c r="E42" s="467">
        <f t="shared" si="3"/>
        <v>6.4501375955121981E-2</v>
      </c>
    </row>
    <row r="43" spans="1:5">
      <c r="A43" s="97" t="s">
        <v>66</v>
      </c>
      <c r="B43" s="482">
        <v>316119767.91005087</v>
      </c>
      <c r="C43" s="466">
        <v>285336632.88019341</v>
      </c>
      <c r="D43" s="483">
        <f t="shared" si="2"/>
        <v>30783135.029857457</v>
      </c>
      <c r="E43" s="467">
        <f t="shared" si="3"/>
        <v>0.10788357148232915</v>
      </c>
    </row>
    <row r="44" spans="1:5">
      <c r="A44" s="97" t="s">
        <v>67</v>
      </c>
      <c r="B44" s="482">
        <v>6744601.5674915928</v>
      </c>
      <c r="C44" s="466">
        <v>6253037.401416393</v>
      </c>
      <c r="D44" s="483">
        <f t="shared" si="2"/>
        <v>491564.16607519984</v>
      </c>
      <c r="E44" s="467">
        <f t="shared" si="3"/>
        <v>7.8612062349707718E-2</v>
      </c>
    </row>
    <row r="45" spans="1:5">
      <c r="A45" s="97" t="s">
        <v>68</v>
      </c>
      <c r="B45" s="482">
        <v>14273148.115335705</v>
      </c>
      <c r="C45" s="466">
        <v>14042638.968134334</v>
      </c>
      <c r="D45" s="483">
        <f t="shared" si="2"/>
        <v>230509.14720137045</v>
      </c>
      <c r="E45" s="467">
        <f t="shared" si="3"/>
        <v>1.6414945062993045E-2</v>
      </c>
    </row>
    <row r="46" spans="1:5">
      <c r="A46" s="97" t="s">
        <v>69</v>
      </c>
      <c r="B46" s="482">
        <v>23244559.985553727</v>
      </c>
      <c r="C46" s="466">
        <v>28276369.779679753</v>
      </c>
      <c r="D46" s="483">
        <f t="shared" si="2"/>
        <v>-5031809.7941260263</v>
      </c>
      <c r="E46" s="467">
        <f t="shared" si="3"/>
        <v>-0.1779510535946533</v>
      </c>
    </row>
    <row r="47" spans="1:5">
      <c r="A47" s="97" t="s">
        <v>61</v>
      </c>
      <c r="B47" s="482">
        <v>8633163.7666687965</v>
      </c>
      <c r="C47" s="466">
        <v>6410084.6358394194</v>
      </c>
      <c r="D47" s="483">
        <f t="shared" si="2"/>
        <v>2223079.1308293771</v>
      </c>
      <c r="E47" s="467">
        <f t="shared" si="3"/>
        <v>0.34680963780102386</v>
      </c>
    </row>
    <row r="48" spans="1:5">
      <c r="A48" s="97" t="s">
        <v>70</v>
      </c>
      <c r="B48" s="482">
        <v>487132405.96700001</v>
      </c>
      <c r="C48" s="466">
        <v>395094660.20599997</v>
      </c>
      <c r="D48" s="483">
        <f t="shared" si="2"/>
        <v>92037745.761000037</v>
      </c>
      <c r="E48" s="467">
        <f t="shared" si="3"/>
        <v>0.23295112546702634</v>
      </c>
    </row>
    <row r="49" spans="1:5">
      <c r="A49" s="97" t="s">
        <v>71</v>
      </c>
      <c r="B49" s="482">
        <v>2286628.3241966944</v>
      </c>
      <c r="C49" s="466">
        <v>2691273.5746312542</v>
      </c>
      <c r="D49" s="480">
        <f t="shared" si="2"/>
        <v>-404645.25043455977</v>
      </c>
      <c r="E49" s="463">
        <f t="shared" si="3"/>
        <v>-0.15035455861821939</v>
      </c>
    </row>
    <row r="50" spans="1:5">
      <c r="A50" s="97" t="s">
        <v>742</v>
      </c>
      <c r="B50" s="481">
        <v>56475885</v>
      </c>
      <c r="C50" s="465">
        <v>33873756.995904952</v>
      </c>
      <c r="D50" s="480">
        <f t="shared" si="2"/>
        <v>22602128.004095048</v>
      </c>
      <c r="E50" s="463">
        <f t="shared" si="3"/>
        <v>0.66724597471805247</v>
      </c>
    </row>
    <row r="51" spans="1:5">
      <c r="B51" s="462"/>
      <c r="C51" s="479"/>
      <c r="D51" s="478"/>
      <c r="E51" s="477"/>
    </row>
    <row r="52" spans="1:5">
      <c r="A52" s="97" t="s">
        <v>26</v>
      </c>
      <c r="B52" s="460">
        <f>SUM(B41:B50)</f>
        <v>1378301930.3951344</v>
      </c>
      <c r="C52" s="460">
        <f>SUM(C41:C50)</f>
        <v>1203017692.8095927</v>
      </c>
      <c r="D52" s="460">
        <f>B52-C52</f>
        <v>175284237.58554173</v>
      </c>
      <c r="E52" s="459">
        <f xml:space="preserve"> (B52-C52)/ABS(C52)</f>
        <v>0.145703790254467</v>
      </c>
    </row>
    <row r="53" spans="1:5">
      <c r="D53" s="472"/>
      <c r="E53" s="471"/>
    </row>
    <row r="54" spans="1:5">
      <c r="D54" s="472"/>
      <c r="E54" s="471"/>
    </row>
    <row r="55" spans="1:5">
      <c r="A55" s="97" t="s">
        <v>749</v>
      </c>
      <c r="D55" s="472"/>
      <c r="E55" s="471"/>
    </row>
    <row r="56" spans="1:5">
      <c r="A56" s="97"/>
      <c r="B56" s="97">
        <v>2012</v>
      </c>
      <c r="C56" s="97">
        <v>2011</v>
      </c>
      <c r="D56" s="472" t="s">
        <v>751</v>
      </c>
      <c r="E56" s="471" t="s">
        <v>750</v>
      </c>
    </row>
    <row r="57" spans="1:5">
      <c r="A57" s="97" t="s">
        <v>64</v>
      </c>
      <c r="B57" s="466">
        <v>62726910.370373979</v>
      </c>
      <c r="C57" s="466">
        <v>55021675.677291423</v>
      </c>
      <c r="D57" s="474">
        <f t="shared" ref="D57:D65" si="4">B57-C57</f>
        <v>7705234.6930825561</v>
      </c>
      <c r="E57" s="473">
        <f t="shared" ref="E57:E65" si="5" xml:space="preserve"> (B57-C57)/ABS(C57)</f>
        <v>0.14003998602795489</v>
      </c>
    </row>
    <row r="58" spans="1:5">
      <c r="A58" s="97" t="s">
        <v>65</v>
      </c>
      <c r="B58" s="466">
        <v>299537279.21127427</v>
      </c>
      <c r="C58" s="466">
        <v>279368169.73193556</v>
      </c>
      <c r="D58" s="474">
        <f t="shared" si="4"/>
        <v>20169109.479338706</v>
      </c>
      <c r="E58" s="473">
        <f t="shared" si="5"/>
        <v>7.2195445525135293E-2</v>
      </c>
    </row>
    <row r="59" spans="1:5">
      <c r="A59" s="97" t="s">
        <v>66</v>
      </c>
      <c r="B59" s="466">
        <v>232437786.5599815</v>
      </c>
      <c r="C59" s="466">
        <v>201633197.4711915</v>
      </c>
      <c r="D59" s="474">
        <f t="shared" si="4"/>
        <v>30804589.088789999</v>
      </c>
      <c r="E59" s="473">
        <f t="shared" si="5"/>
        <v>0.15277538359322615</v>
      </c>
    </row>
    <row r="60" spans="1:5">
      <c r="A60" s="97" t="s">
        <v>67</v>
      </c>
      <c r="B60" s="466">
        <v>4625113.6749999989</v>
      </c>
      <c r="C60" s="466">
        <v>4599226.9299400002</v>
      </c>
      <c r="D60" s="474">
        <f t="shared" si="4"/>
        <v>25886.745059998706</v>
      </c>
      <c r="E60" s="473">
        <f t="shared" si="5"/>
        <v>5.6284991922189009E-3</v>
      </c>
    </row>
    <row r="61" spans="1:5">
      <c r="A61" s="97" t="s">
        <v>743</v>
      </c>
      <c r="B61" s="466">
        <v>13131713.405005349</v>
      </c>
      <c r="C61" s="466">
        <v>13008633.192253541</v>
      </c>
      <c r="D61" s="474">
        <f t="shared" si="4"/>
        <v>123080.21275180764</v>
      </c>
      <c r="E61" s="473">
        <f t="shared" si="5"/>
        <v>9.4614254190132901E-3</v>
      </c>
    </row>
    <row r="62" spans="1:5">
      <c r="A62" s="97" t="s">
        <v>69</v>
      </c>
      <c r="B62" s="466">
        <v>17615738.963737786</v>
      </c>
      <c r="C62" s="466">
        <v>21249561.057272043</v>
      </c>
      <c r="D62" s="474">
        <f t="shared" si="4"/>
        <v>-3633822.0935342573</v>
      </c>
      <c r="E62" s="473">
        <f t="shared" si="5"/>
        <v>-0.17100692497790149</v>
      </c>
    </row>
    <row r="63" spans="1:5">
      <c r="A63" s="97" t="s">
        <v>61</v>
      </c>
      <c r="B63" s="466">
        <v>6066056.6280900519</v>
      </c>
      <c r="C63" s="466">
        <v>4323825.8280814886</v>
      </c>
      <c r="D63" s="474">
        <f t="shared" si="4"/>
        <v>1742230.8000085633</v>
      </c>
      <c r="E63" s="473">
        <f t="shared" si="5"/>
        <v>0.40293732201086441</v>
      </c>
    </row>
    <row r="64" spans="1:5">
      <c r="A64" s="97" t="s">
        <v>70</v>
      </c>
      <c r="B64" s="466">
        <v>487132405.96700001</v>
      </c>
      <c r="C64" s="466">
        <v>395094660.20599997</v>
      </c>
      <c r="D64" s="474">
        <f t="shared" si="4"/>
        <v>92037745.761000037</v>
      </c>
      <c r="E64" s="473">
        <f t="shared" si="5"/>
        <v>0.23295112546702634</v>
      </c>
    </row>
    <row r="65" spans="1:6">
      <c r="A65" s="97" t="s">
        <v>71</v>
      </c>
      <c r="B65" s="466">
        <v>2139901.3231461621</v>
      </c>
      <c r="C65" s="466">
        <v>2295300.9</v>
      </c>
      <c r="D65" s="476">
        <f t="shared" si="4"/>
        <v>-155399.57685383782</v>
      </c>
      <c r="E65" s="475">
        <f t="shared" si="5"/>
        <v>-6.7703357260844463E-2</v>
      </c>
    </row>
    <row r="66" spans="1:6">
      <c r="A66" s="97" t="s">
        <v>742</v>
      </c>
      <c r="B66" s="465">
        <v>56475885</v>
      </c>
      <c r="C66" s="465">
        <v>33873756.995904952</v>
      </c>
      <c r="D66" s="474"/>
      <c r="E66" s="473"/>
    </row>
    <row r="67" spans="1:6">
      <c r="B67" s="462"/>
      <c r="C67" s="462"/>
      <c r="D67" s="472"/>
      <c r="E67" s="471"/>
    </row>
    <row r="68" spans="1:6">
      <c r="A68" s="97" t="s">
        <v>26</v>
      </c>
      <c r="B68" s="460">
        <f>SUM(B57:B66)</f>
        <v>1181888791.1036088</v>
      </c>
      <c r="C68" s="460">
        <f>SUM(C57:C66)</f>
        <v>1010468007.9898705</v>
      </c>
      <c r="D68" s="460">
        <f>B68-C68</f>
        <v>171420783.1137383</v>
      </c>
      <c r="E68" s="459">
        <f xml:space="preserve"> (B68-C68)/ABS(C68)</f>
        <v>0.16964493854164328</v>
      </c>
    </row>
    <row r="72" spans="1:6">
      <c r="A72" s="97" t="s">
        <v>748</v>
      </c>
    </row>
    <row r="73" spans="1:6" ht="38.25">
      <c r="A73" s="97"/>
      <c r="B73" s="470" t="s">
        <v>747</v>
      </c>
      <c r="C73" s="470" t="s">
        <v>746</v>
      </c>
      <c r="D73" s="470" t="s">
        <v>745</v>
      </c>
      <c r="E73" s="470" t="s">
        <v>744</v>
      </c>
    </row>
    <row r="74" spans="1:6">
      <c r="A74" s="97" t="s">
        <v>64</v>
      </c>
      <c r="B74" s="466">
        <v>92854825.28416273</v>
      </c>
      <c r="C74" s="466">
        <v>62726910.370373979</v>
      </c>
      <c r="D74" s="468">
        <f t="shared" ref="D74:D83" si="6">B74-C74</f>
        <v>30127914.913788751</v>
      </c>
      <c r="E74" s="467">
        <f t="shared" ref="E74:E83" si="7">D74/ABS(B74)</f>
        <v>0.32446256639424587</v>
      </c>
    </row>
    <row r="75" spans="1:6">
      <c r="A75" s="97" t="s">
        <v>65</v>
      </c>
      <c r="B75" s="466">
        <v>370536944.4746744</v>
      </c>
      <c r="C75" s="466">
        <v>299537279.21127427</v>
      </c>
      <c r="D75" s="468">
        <f t="shared" si="6"/>
        <v>70999665.263400137</v>
      </c>
      <c r="E75" s="467">
        <f t="shared" si="7"/>
        <v>0.19161291828554183</v>
      </c>
    </row>
    <row r="76" spans="1:6">
      <c r="A76" s="97" t="s">
        <v>66</v>
      </c>
      <c r="B76" s="466">
        <v>316119767.91005087</v>
      </c>
      <c r="C76" s="466">
        <v>232437786.5599815</v>
      </c>
      <c r="D76" s="468">
        <f t="shared" si="6"/>
        <v>83681981.350069374</v>
      </c>
      <c r="E76" s="467">
        <f t="shared" si="7"/>
        <v>0.26471606601293074</v>
      </c>
    </row>
    <row r="77" spans="1:6">
      <c r="A77" s="97" t="s">
        <v>67</v>
      </c>
      <c r="B77" s="466">
        <v>6744601.5674915928</v>
      </c>
      <c r="C77" s="466">
        <v>4625113.6749999989</v>
      </c>
      <c r="D77" s="468">
        <f t="shared" si="6"/>
        <v>2119487.892491594</v>
      </c>
      <c r="E77" s="467">
        <f t="shared" si="7"/>
        <v>0.31424953294607433</v>
      </c>
    </row>
    <row r="78" spans="1:6">
      <c r="A78" s="97" t="s">
        <v>743</v>
      </c>
      <c r="B78" s="466">
        <v>14273148.115335705</v>
      </c>
      <c r="C78" s="466">
        <v>13131713.405005349</v>
      </c>
      <c r="D78" s="468">
        <f t="shared" si="6"/>
        <v>1141434.7103303559</v>
      </c>
      <c r="E78" s="467">
        <f t="shared" si="7"/>
        <v>7.9970774569623343E-2</v>
      </c>
    </row>
    <row r="79" spans="1:6">
      <c r="A79" s="97" t="s">
        <v>69</v>
      </c>
      <c r="B79" s="466">
        <v>23244559.985553727</v>
      </c>
      <c r="C79" s="466">
        <v>17615738.963737786</v>
      </c>
      <c r="D79" s="468">
        <f t="shared" si="6"/>
        <v>5628821.0218159407</v>
      </c>
      <c r="E79" s="467">
        <f t="shared" si="7"/>
        <v>0.24215648845640442</v>
      </c>
      <c r="F79" s="469"/>
    </row>
    <row r="80" spans="1:6">
      <c r="A80" s="97" t="s">
        <v>61</v>
      </c>
      <c r="B80" s="466">
        <v>8633163.7666687965</v>
      </c>
      <c r="C80" s="466">
        <v>6066056.6280900519</v>
      </c>
      <c r="D80" s="468">
        <f t="shared" si="6"/>
        <v>2567107.1385787446</v>
      </c>
      <c r="E80" s="467">
        <f t="shared" si="7"/>
        <v>0.29735415752101407</v>
      </c>
    </row>
    <row r="81" spans="1:5">
      <c r="A81" s="97" t="s">
        <v>70</v>
      </c>
      <c r="B81" s="466">
        <v>487132405.96700001</v>
      </c>
      <c r="C81" s="466">
        <v>487132405.96700001</v>
      </c>
      <c r="D81" s="468">
        <f t="shared" si="6"/>
        <v>0</v>
      </c>
      <c r="E81" s="467">
        <f t="shared" si="7"/>
        <v>0</v>
      </c>
    </row>
    <row r="82" spans="1:5">
      <c r="A82" s="97" t="s">
        <v>71</v>
      </c>
      <c r="B82" s="466">
        <v>2286628.3241966944</v>
      </c>
      <c r="C82" s="466">
        <v>2139901.3231461621</v>
      </c>
      <c r="D82" s="464">
        <f t="shared" si="6"/>
        <v>146727.00105053233</v>
      </c>
      <c r="E82" s="463">
        <f t="shared" si="7"/>
        <v>6.4167402939031795E-2</v>
      </c>
    </row>
    <row r="83" spans="1:5">
      <c r="A83" s="97" t="s">
        <v>742</v>
      </c>
      <c r="B83" s="465">
        <v>56475885</v>
      </c>
      <c r="C83" s="465">
        <v>56475885</v>
      </c>
      <c r="D83" s="464">
        <f t="shared" si="6"/>
        <v>0</v>
      </c>
      <c r="E83" s="463">
        <f t="shared" si="7"/>
        <v>0</v>
      </c>
    </row>
    <row r="84" spans="1:5">
      <c r="B84" s="462"/>
      <c r="C84" s="462"/>
      <c r="D84" s="462"/>
      <c r="E84" s="461"/>
    </row>
    <row r="85" spans="1:5">
      <c r="A85" s="97" t="s">
        <v>26</v>
      </c>
      <c r="B85" s="460">
        <f>SUM(B74:B83)</f>
        <v>1378301930.3951344</v>
      </c>
      <c r="C85" s="460">
        <f>SUM(C74:C83)</f>
        <v>1181888791.1036088</v>
      </c>
      <c r="D85" s="460">
        <f>B85-C85</f>
        <v>196413139.2915256</v>
      </c>
      <c r="E85" s="459">
        <f>D85/ABS(B85)</f>
        <v>0.14250371051516808</v>
      </c>
    </row>
  </sheetData>
  <sheetProtection password="EF72" sheet="1" objects="1" scenarios="1"/>
  <pageMargins left="0.75" right="0.75" top="1" bottom="1" header="0.5" footer="0.5"/>
  <pageSetup scale="4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80" zoomScaleNormal="50" zoomScaleSheetLayoutView="80" workbookViewId="0"/>
  </sheetViews>
  <sheetFormatPr defaultRowHeight="18" customHeight="1"/>
  <cols>
    <col min="1" max="1" width="8.28515625" style="96" customWidth="1"/>
    <col min="2" max="2" width="55.28515625" style="95" bestFit="1" customWidth="1"/>
    <col min="3" max="3" width="9.7109375" style="95" customWidth="1"/>
    <col min="4" max="4" width="8.85546875" style="95"/>
    <col min="5" max="5" width="12.28515625" style="95" customWidth="1"/>
    <col min="6" max="6" width="18.7109375" style="95" customWidth="1"/>
    <col min="7" max="7" width="23.7109375" style="95" customWidth="1"/>
    <col min="8" max="8" width="17.140625" style="95" customWidth="1"/>
    <col min="9" max="9" width="21.140625" style="95" customWidth="1"/>
    <col min="10" max="10" width="19.85546875" style="95" customWidth="1"/>
    <col min="11" max="11" width="17.7109375" style="95" customWidth="1"/>
    <col min="12" max="256" width="8.85546875" style="95"/>
    <col min="257" max="257" width="8.28515625" style="95" customWidth="1"/>
    <col min="258" max="258" width="55.28515625" style="95" bestFit="1" customWidth="1"/>
    <col min="259" max="259" width="9.7109375" style="95" customWidth="1"/>
    <col min="260" max="260" width="8.85546875" style="95"/>
    <col min="261" max="261" width="12.28515625" style="95" customWidth="1"/>
    <col min="262" max="262" width="18.7109375" style="95" customWidth="1"/>
    <col min="263" max="263" width="23.7109375" style="95" customWidth="1"/>
    <col min="264" max="264" width="17.140625" style="95" customWidth="1"/>
    <col min="265" max="265" width="21.140625" style="95" customWidth="1"/>
    <col min="266" max="266" width="19.85546875" style="95" customWidth="1"/>
    <col min="267" max="267" width="17.7109375" style="95" customWidth="1"/>
    <col min="268" max="512" width="8.85546875" style="95"/>
    <col min="513" max="513" width="8.28515625" style="95" customWidth="1"/>
    <col min="514" max="514" width="55.28515625" style="95" bestFit="1" customWidth="1"/>
    <col min="515" max="515" width="9.7109375" style="95" customWidth="1"/>
    <col min="516" max="516" width="8.85546875" style="95"/>
    <col min="517" max="517" width="12.28515625" style="95" customWidth="1"/>
    <col min="518" max="518" width="18.7109375" style="95" customWidth="1"/>
    <col min="519" max="519" width="23.7109375" style="95" customWidth="1"/>
    <col min="520" max="520" width="17.140625" style="95" customWidth="1"/>
    <col min="521" max="521" width="21.140625" style="95" customWidth="1"/>
    <col min="522" max="522" width="19.85546875" style="95" customWidth="1"/>
    <col min="523" max="523" width="17.7109375" style="95" customWidth="1"/>
    <col min="524" max="768" width="8.85546875" style="95"/>
    <col min="769" max="769" width="8.28515625" style="95" customWidth="1"/>
    <col min="770" max="770" width="55.28515625" style="95" bestFit="1" customWidth="1"/>
    <col min="771" max="771" width="9.7109375" style="95" customWidth="1"/>
    <col min="772" max="772" width="8.85546875" style="95"/>
    <col min="773" max="773" width="12.28515625" style="95" customWidth="1"/>
    <col min="774" max="774" width="18.7109375" style="95" customWidth="1"/>
    <col min="775" max="775" width="23.7109375" style="95" customWidth="1"/>
    <col min="776" max="776" width="17.140625" style="95" customWidth="1"/>
    <col min="777" max="777" width="21.140625" style="95" customWidth="1"/>
    <col min="778" max="778" width="19.85546875" style="95" customWidth="1"/>
    <col min="779" max="779" width="17.7109375" style="95" customWidth="1"/>
    <col min="780" max="1024" width="8.85546875" style="95"/>
    <col min="1025" max="1025" width="8.28515625" style="95" customWidth="1"/>
    <col min="1026" max="1026" width="55.28515625" style="95" bestFit="1" customWidth="1"/>
    <col min="1027" max="1027" width="9.7109375" style="95" customWidth="1"/>
    <col min="1028" max="1028" width="8.85546875" style="95"/>
    <col min="1029" max="1029" width="12.28515625" style="95" customWidth="1"/>
    <col min="1030" max="1030" width="18.7109375" style="95" customWidth="1"/>
    <col min="1031" max="1031" width="23.7109375" style="95" customWidth="1"/>
    <col min="1032" max="1032" width="17.140625" style="95" customWidth="1"/>
    <col min="1033" max="1033" width="21.140625" style="95" customWidth="1"/>
    <col min="1034" max="1034" width="19.85546875" style="95" customWidth="1"/>
    <col min="1035" max="1035" width="17.7109375" style="95" customWidth="1"/>
    <col min="1036" max="1280" width="8.85546875" style="95"/>
    <col min="1281" max="1281" width="8.28515625" style="95" customWidth="1"/>
    <col min="1282" max="1282" width="55.28515625" style="95" bestFit="1" customWidth="1"/>
    <col min="1283" max="1283" width="9.7109375" style="95" customWidth="1"/>
    <col min="1284" max="1284" width="8.85546875" style="95"/>
    <col min="1285" max="1285" width="12.28515625" style="95" customWidth="1"/>
    <col min="1286" max="1286" width="18.7109375" style="95" customWidth="1"/>
    <col min="1287" max="1287" width="23.7109375" style="95" customWidth="1"/>
    <col min="1288" max="1288" width="17.140625" style="95" customWidth="1"/>
    <col min="1289" max="1289" width="21.140625" style="95" customWidth="1"/>
    <col min="1290" max="1290" width="19.85546875" style="95" customWidth="1"/>
    <col min="1291" max="1291" width="17.7109375" style="95" customWidth="1"/>
    <col min="1292" max="1536" width="8.85546875" style="95"/>
    <col min="1537" max="1537" width="8.28515625" style="95" customWidth="1"/>
    <col min="1538" max="1538" width="55.28515625" style="95" bestFit="1" customWidth="1"/>
    <col min="1539" max="1539" width="9.7109375" style="95" customWidth="1"/>
    <col min="1540" max="1540" width="8.85546875" style="95"/>
    <col min="1541" max="1541" width="12.28515625" style="95" customWidth="1"/>
    <col min="1542" max="1542" width="18.7109375" style="95" customWidth="1"/>
    <col min="1543" max="1543" width="23.7109375" style="95" customWidth="1"/>
    <col min="1544" max="1544" width="17.140625" style="95" customWidth="1"/>
    <col min="1545" max="1545" width="21.140625" style="95" customWidth="1"/>
    <col min="1546" max="1546" width="19.85546875" style="95" customWidth="1"/>
    <col min="1547" max="1547" width="17.7109375" style="95" customWidth="1"/>
    <col min="1548" max="1792" width="8.85546875" style="95"/>
    <col min="1793" max="1793" width="8.28515625" style="95" customWidth="1"/>
    <col min="1794" max="1794" width="55.28515625" style="95" bestFit="1" customWidth="1"/>
    <col min="1795" max="1795" width="9.7109375" style="95" customWidth="1"/>
    <col min="1796" max="1796" width="8.85546875" style="95"/>
    <col min="1797" max="1797" width="12.28515625" style="95" customWidth="1"/>
    <col min="1798" max="1798" width="18.7109375" style="95" customWidth="1"/>
    <col min="1799" max="1799" width="23.7109375" style="95" customWidth="1"/>
    <col min="1800" max="1800" width="17.140625" style="95" customWidth="1"/>
    <col min="1801" max="1801" width="21.140625" style="95" customWidth="1"/>
    <col min="1802" max="1802" width="19.85546875" style="95" customWidth="1"/>
    <col min="1803" max="1803" width="17.7109375" style="95" customWidth="1"/>
    <col min="1804" max="2048" width="8.85546875" style="95"/>
    <col min="2049" max="2049" width="8.28515625" style="95" customWidth="1"/>
    <col min="2050" max="2050" width="55.28515625" style="95" bestFit="1" customWidth="1"/>
    <col min="2051" max="2051" width="9.7109375" style="95" customWidth="1"/>
    <col min="2052" max="2052" width="8.85546875" style="95"/>
    <col min="2053" max="2053" width="12.28515625" style="95" customWidth="1"/>
    <col min="2054" max="2054" width="18.7109375" style="95" customWidth="1"/>
    <col min="2055" max="2055" width="23.7109375" style="95" customWidth="1"/>
    <col min="2056" max="2056" width="17.140625" style="95" customWidth="1"/>
    <col min="2057" max="2057" width="21.140625" style="95" customWidth="1"/>
    <col min="2058" max="2058" width="19.85546875" style="95" customWidth="1"/>
    <col min="2059" max="2059" width="17.7109375" style="95" customWidth="1"/>
    <col min="2060" max="2304" width="8.85546875" style="95"/>
    <col min="2305" max="2305" width="8.28515625" style="95" customWidth="1"/>
    <col min="2306" max="2306" width="55.28515625" style="95" bestFit="1" customWidth="1"/>
    <col min="2307" max="2307" width="9.7109375" style="95" customWidth="1"/>
    <col min="2308" max="2308" width="8.85546875" style="95"/>
    <col min="2309" max="2309" width="12.28515625" style="95" customWidth="1"/>
    <col min="2310" max="2310" width="18.7109375" style="95" customWidth="1"/>
    <col min="2311" max="2311" width="23.7109375" style="95" customWidth="1"/>
    <col min="2312" max="2312" width="17.140625" style="95" customWidth="1"/>
    <col min="2313" max="2313" width="21.140625" style="95" customWidth="1"/>
    <col min="2314" max="2314" width="19.85546875" style="95" customWidth="1"/>
    <col min="2315" max="2315" width="17.7109375" style="95" customWidth="1"/>
    <col min="2316" max="2560" width="8.85546875" style="95"/>
    <col min="2561" max="2561" width="8.28515625" style="95" customWidth="1"/>
    <col min="2562" max="2562" width="55.28515625" style="95" bestFit="1" customWidth="1"/>
    <col min="2563" max="2563" width="9.7109375" style="95" customWidth="1"/>
    <col min="2564" max="2564" width="8.85546875" style="95"/>
    <col min="2565" max="2565" width="12.28515625" style="95" customWidth="1"/>
    <col min="2566" max="2566" width="18.7109375" style="95" customWidth="1"/>
    <col min="2567" max="2567" width="23.7109375" style="95" customWidth="1"/>
    <col min="2568" max="2568" width="17.140625" style="95" customWidth="1"/>
    <col min="2569" max="2569" width="21.140625" style="95" customWidth="1"/>
    <col min="2570" max="2570" width="19.85546875" style="95" customWidth="1"/>
    <col min="2571" max="2571" width="17.7109375" style="95" customWidth="1"/>
    <col min="2572" max="2816" width="8.85546875" style="95"/>
    <col min="2817" max="2817" width="8.28515625" style="95" customWidth="1"/>
    <col min="2818" max="2818" width="55.28515625" style="95" bestFit="1" customWidth="1"/>
    <col min="2819" max="2819" width="9.7109375" style="95" customWidth="1"/>
    <col min="2820" max="2820" width="8.85546875" style="95"/>
    <col min="2821" max="2821" width="12.28515625" style="95" customWidth="1"/>
    <col min="2822" max="2822" width="18.7109375" style="95" customWidth="1"/>
    <col min="2823" max="2823" width="23.7109375" style="95" customWidth="1"/>
    <col min="2824" max="2824" width="17.140625" style="95" customWidth="1"/>
    <col min="2825" max="2825" width="21.140625" style="95" customWidth="1"/>
    <col min="2826" max="2826" width="19.85546875" style="95" customWidth="1"/>
    <col min="2827" max="2827" width="17.7109375" style="95" customWidth="1"/>
    <col min="2828" max="3072" width="8.85546875" style="95"/>
    <col min="3073" max="3073" width="8.28515625" style="95" customWidth="1"/>
    <col min="3074" max="3074" width="55.28515625" style="95" bestFit="1" customWidth="1"/>
    <col min="3075" max="3075" width="9.7109375" style="95" customWidth="1"/>
    <col min="3076" max="3076" width="8.85546875" style="95"/>
    <col min="3077" max="3077" width="12.28515625" style="95" customWidth="1"/>
    <col min="3078" max="3078" width="18.7109375" style="95" customWidth="1"/>
    <col min="3079" max="3079" width="23.7109375" style="95" customWidth="1"/>
    <col min="3080" max="3080" width="17.140625" style="95" customWidth="1"/>
    <col min="3081" max="3081" width="21.140625" style="95" customWidth="1"/>
    <col min="3082" max="3082" width="19.85546875" style="95" customWidth="1"/>
    <col min="3083" max="3083" width="17.7109375" style="95" customWidth="1"/>
    <col min="3084" max="3328" width="8.85546875" style="95"/>
    <col min="3329" max="3329" width="8.28515625" style="95" customWidth="1"/>
    <col min="3330" max="3330" width="55.28515625" style="95" bestFit="1" customWidth="1"/>
    <col min="3331" max="3331" width="9.7109375" style="95" customWidth="1"/>
    <col min="3332" max="3332" width="8.85546875" style="95"/>
    <col min="3333" max="3333" width="12.28515625" style="95" customWidth="1"/>
    <col min="3334" max="3334" width="18.7109375" style="95" customWidth="1"/>
    <col min="3335" max="3335" width="23.7109375" style="95" customWidth="1"/>
    <col min="3336" max="3336" width="17.140625" style="95" customWidth="1"/>
    <col min="3337" max="3337" width="21.140625" style="95" customWidth="1"/>
    <col min="3338" max="3338" width="19.85546875" style="95" customWidth="1"/>
    <col min="3339" max="3339" width="17.7109375" style="95" customWidth="1"/>
    <col min="3340" max="3584" width="8.85546875" style="95"/>
    <col min="3585" max="3585" width="8.28515625" style="95" customWidth="1"/>
    <col min="3586" max="3586" width="55.28515625" style="95" bestFit="1" customWidth="1"/>
    <col min="3587" max="3587" width="9.7109375" style="95" customWidth="1"/>
    <col min="3588" max="3588" width="8.85546875" style="95"/>
    <col min="3589" max="3589" width="12.28515625" style="95" customWidth="1"/>
    <col min="3590" max="3590" width="18.7109375" style="95" customWidth="1"/>
    <col min="3591" max="3591" width="23.7109375" style="95" customWidth="1"/>
    <col min="3592" max="3592" width="17.140625" style="95" customWidth="1"/>
    <col min="3593" max="3593" width="21.140625" style="95" customWidth="1"/>
    <col min="3594" max="3594" width="19.85546875" style="95" customWidth="1"/>
    <col min="3595" max="3595" width="17.7109375" style="95" customWidth="1"/>
    <col min="3596" max="3840" width="8.85546875" style="95"/>
    <col min="3841" max="3841" width="8.28515625" style="95" customWidth="1"/>
    <col min="3842" max="3842" width="55.28515625" style="95" bestFit="1" customWidth="1"/>
    <col min="3843" max="3843" width="9.7109375" style="95" customWidth="1"/>
    <col min="3844" max="3844" width="8.85546875" style="95"/>
    <col min="3845" max="3845" width="12.28515625" style="95" customWidth="1"/>
    <col min="3846" max="3846" width="18.7109375" style="95" customWidth="1"/>
    <col min="3847" max="3847" width="23.7109375" style="95" customWidth="1"/>
    <col min="3848" max="3848" width="17.140625" style="95" customWidth="1"/>
    <col min="3849" max="3849" width="21.140625" style="95" customWidth="1"/>
    <col min="3850" max="3850" width="19.85546875" style="95" customWidth="1"/>
    <col min="3851" max="3851" width="17.7109375" style="95" customWidth="1"/>
    <col min="3852" max="4096" width="8.85546875" style="95"/>
    <col min="4097" max="4097" width="8.28515625" style="95" customWidth="1"/>
    <col min="4098" max="4098" width="55.28515625" style="95" bestFit="1" customWidth="1"/>
    <col min="4099" max="4099" width="9.7109375" style="95" customWidth="1"/>
    <col min="4100" max="4100" width="8.85546875" style="95"/>
    <col min="4101" max="4101" width="12.28515625" style="95" customWidth="1"/>
    <col min="4102" max="4102" width="18.7109375" style="95" customWidth="1"/>
    <col min="4103" max="4103" width="23.7109375" style="95" customWidth="1"/>
    <col min="4104" max="4104" width="17.140625" style="95" customWidth="1"/>
    <col min="4105" max="4105" width="21.140625" style="95" customWidth="1"/>
    <col min="4106" max="4106" width="19.85546875" style="95" customWidth="1"/>
    <col min="4107" max="4107" width="17.7109375" style="95" customWidth="1"/>
    <col min="4108" max="4352" width="8.85546875" style="95"/>
    <col min="4353" max="4353" width="8.28515625" style="95" customWidth="1"/>
    <col min="4354" max="4354" width="55.28515625" style="95" bestFit="1" customWidth="1"/>
    <col min="4355" max="4355" width="9.7109375" style="95" customWidth="1"/>
    <col min="4356" max="4356" width="8.85546875" style="95"/>
    <col min="4357" max="4357" width="12.28515625" style="95" customWidth="1"/>
    <col min="4358" max="4358" width="18.7109375" style="95" customWidth="1"/>
    <col min="4359" max="4359" width="23.7109375" style="95" customWidth="1"/>
    <col min="4360" max="4360" width="17.140625" style="95" customWidth="1"/>
    <col min="4361" max="4361" width="21.140625" style="95" customWidth="1"/>
    <col min="4362" max="4362" width="19.85546875" style="95" customWidth="1"/>
    <col min="4363" max="4363" width="17.7109375" style="95" customWidth="1"/>
    <col min="4364" max="4608" width="8.85546875" style="95"/>
    <col min="4609" max="4609" width="8.28515625" style="95" customWidth="1"/>
    <col min="4610" max="4610" width="55.28515625" style="95" bestFit="1" customWidth="1"/>
    <col min="4611" max="4611" width="9.7109375" style="95" customWidth="1"/>
    <col min="4612" max="4612" width="8.85546875" style="95"/>
    <col min="4613" max="4613" width="12.28515625" style="95" customWidth="1"/>
    <col min="4614" max="4614" width="18.7109375" style="95" customWidth="1"/>
    <col min="4615" max="4615" width="23.7109375" style="95" customWidth="1"/>
    <col min="4616" max="4616" width="17.140625" style="95" customWidth="1"/>
    <col min="4617" max="4617" width="21.140625" style="95" customWidth="1"/>
    <col min="4618" max="4618" width="19.85546875" style="95" customWidth="1"/>
    <col min="4619" max="4619" width="17.7109375" style="95" customWidth="1"/>
    <col min="4620" max="4864" width="8.85546875" style="95"/>
    <col min="4865" max="4865" width="8.28515625" style="95" customWidth="1"/>
    <col min="4866" max="4866" width="55.28515625" style="95" bestFit="1" customWidth="1"/>
    <col min="4867" max="4867" width="9.7109375" style="95" customWidth="1"/>
    <col min="4868" max="4868" width="8.85546875" style="95"/>
    <col min="4869" max="4869" width="12.28515625" style="95" customWidth="1"/>
    <col min="4870" max="4870" width="18.7109375" style="95" customWidth="1"/>
    <col min="4871" max="4871" width="23.7109375" style="95" customWidth="1"/>
    <col min="4872" max="4872" width="17.140625" style="95" customWidth="1"/>
    <col min="4873" max="4873" width="21.140625" style="95" customWidth="1"/>
    <col min="4874" max="4874" width="19.85546875" style="95" customWidth="1"/>
    <col min="4875" max="4875" width="17.7109375" style="95" customWidth="1"/>
    <col min="4876" max="5120" width="8.85546875" style="95"/>
    <col min="5121" max="5121" width="8.28515625" style="95" customWidth="1"/>
    <col min="5122" max="5122" width="55.28515625" style="95" bestFit="1" customWidth="1"/>
    <col min="5123" max="5123" width="9.7109375" style="95" customWidth="1"/>
    <col min="5124" max="5124" width="8.85546875" style="95"/>
    <col min="5125" max="5125" width="12.28515625" style="95" customWidth="1"/>
    <col min="5126" max="5126" width="18.7109375" style="95" customWidth="1"/>
    <col min="5127" max="5127" width="23.7109375" style="95" customWidth="1"/>
    <col min="5128" max="5128" width="17.140625" style="95" customWidth="1"/>
    <col min="5129" max="5129" width="21.140625" style="95" customWidth="1"/>
    <col min="5130" max="5130" width="19.85546875" style="95" customWidth="1"/>
    <col min="5131" max="5131" width="17.7109375" style="95" customWidth="1"/>
    <col min="5132" max="5376" width="8.85546875" style="95"/>
    <col min="5377" max="5377" width="8.28515625" style="95" customWidth="1"/>
    <col min="5378" max="5378" width="55.28515625" style="95" bestFit="1" customWidth="1"/>
    <col min="5379" max="5379" width="9.7109375" style="95" customWidth="1"/>
    <col min="5380" max="5380" width="8.85546875" style="95"/>
    <col min="5381" max="5381" width="12.28515625" style="95" customWidth="1"/>
    <col min="5382" max="5382" width="18.7109375" style="95" customWidth="1"/>
    <col min="5383" max="5383" width="23.7109375" style="95" customWidth="1"/>
    <col min="5384" max="5384" width="17.140625" style="95" customWidth="1"/>
    <col min="5385" max="5385" width="21.140625" style="95" customWidth="1"/>
    <col min="5386" max="5386" width="19.85546875" style="95" customWidth="1"/>
    <col min="5387" max="5387" width="17.7109375" style="95" customWidth="1"/>
    <col min="5388" max="5632" width="8.85546875" style="95"/>
    <col min="5633" max="5633" width="8.28515625" style="95" customWidth="1"/>
    <col min="5634" max="5634" width="55.28515625" style="95" bestFit="1" customWidth="1"/>
    <col min="5635" max="5635" width="9.7109375" style="95" customWidth="1"/>
    <col min="5636" max="5636" width="8.85546875" style="95"/>
    <col min="5637" max="5637" width="12.28515625" style="95" customWidth="1"/>
    <col min="5638" max="5638" width="18.7109375" style="95" customWidth="1"/>
    <col min="5639" max="5639" width="23.7109375" style="95" customWidth="1"/>
    <col min="5640" max="5640" width="17.140625" style="95" customWidth="1"/>
    <col min="5641" max="5641" width="21.140625" style="95" customWidth="1"/>
    <col min="5642" max="5642" width="19.85546875" style="95" customWidth="1"/>
    <col min="5643" max="5643" width="17.7109375" style="95" customWidth="1"/>
    <col min="5644" max="5888" width="8.85546875" style="95"/>
    <col min="5889" max="5889" width="8.28515625" style="95" customWidth="1"/>
    <col min="5890" max="5890" width="55.28515625" style="95" bestFit="1" customWidth="1"/>
    <col min="5891" max="5891" width="9.7109375" style="95" customWidth="1"/>
    <col min="5892" max="5892" width="8.85546875" style="95"/>
    <col min="5893" max="5893" width="12.28515625" style="95" customWidth="1"/>
    <col min="5894" max="5894" width="18.7109375" style="95" customWidth="1"/>
    <col min="5895" max="5895" width="23.7109375" style="95" customWidth="1"/>
    <col min="5896" max="5896" width="17.140625" style="95" customWidth="1"/>
    <col min="5897" max="5897" width="21.140625" style="95" customWidth="1"/>
    <col min="5898" max="5898" width="19.85546875" style="95" customWidth="1"/>
    <col min="5899" max="5899" width="17.7109375" style="95" customWidth="1"/>
    <col min="5900" max="6144" width="8.85546875" style="95"/>
    <col min="6145" max="6145" width="8.28515625" style="95" customWidth="1"/>
    <col min="6146" max="6146" width="55.28515625" style="95" bestFit="1" customWidth="1"/>
    <col min="6147" max="6147" width="9.7109375" style="95" customWidth="1"/>
    <col min="6148" max="6148" width="8.85546875" style="95"/>
    <col min="6149" max="6149" width="12.28515625" style="95" customWidth="1"/>
    <col min="6150" max="6150" width="18.7109375" style="95" customWidth="1"/>
    <col min="6151" max="6151" width="23.7109375" style="95" customWidth="1"/>
    <col min="6152" max="6152" width="17.140625" style="95" customWidth="1"/>
    <col min="6153" max="6153" width="21.140625" style="95" customWidth="1"/>
    <col min="6154" max="6154" width="19.85546875" style="95" customWidth="1"/>
    <col min="6155" max="6155" width="17.7109375" style="95" customWidth="1"/>
    <col min="6156" max="6400" width="8.85546875" style="95"/>
    <col min="6401" max="6401" width="8.28515625" style="95" customWidth="1"/>
    <col min="6402" max="6402" width="55.28515625" style="95" bestFit="1" customWidth="1"/>
    <col min="6403" max="6403" width="9.7109375" style="95" customWidth="1"/>
    <col min="6404" max="6404" width="8.85546875" style="95"/>
    <col min="6405" max="6405" width="12.28515625" style="95" customWidth="1"/>
    <col min="6406" max="6406" width="18.7109375" style="95" customWidth="1"/>
    <col min="6407" max="6407" width="23.7109375" style="95" customWidth="1"/>
    <col min="6408" max="6408" width="17.140625" style="95" customWidth="1"/>
    <col min="6409" max="6409" width="21.140625" style="95" customWidth="1"/>
    <col min="6410" max="6410" width="19.85546875" style="95" customWidth="1"/>
    <col min="6411" max="6411" width="17.7109375" style="95" customWidth="1"/>
    <col min="6412" max="6656" width="8.85546875" style="95"/>
    <col min="6657" max="6657" width="8.28515625" style="95" customWidth="1"/>
    <col min="6658" max="6658" width="55.28515625" style="95" bestFit="1" customWidth="1"/>
    <col min="6659" max="6659" width="9.7109375" style="95" customWidth="1"/>
    <col min="6660" max="6660" width="8.85546875" style="95"/>
    <col min="6661" max="6661" width="12.28515625" style="95" customWidth="1"/>
    <col min="6662" max="6662" width="18.7109375" style="95" customWidth="1"/>
    <col min="6663" max="6663" width="23.7109375" style="95" customWidth="1"/>
    <col min="6664" max="6664" width="17.140625" style="95" customWidth="1"/>
    <col min="6665" max="6665" width="21.140625" style="95" customWidth="1"/>
    <col min="6666" max="6666" width="19.85546875" style="95" customWidth="1"/>
    <col min="6667" max="6667" width="17.7109375" style="95" customWidth="1"/>
    <col min="6668" max="6912" width="8.85546875" style="95"/>
    <col min="6913" max="6913" width="8.28515625" style="95" customWidth="1"/>
    <col min="6914" max="6914" width="55.28515625" style="95" bestFit="1" customWidth="1"/>
    <col min="6915" max="6915" width="9.7109375" style="95" customWidth="1"/>
    <col min="6916" max="6916" width="8.85546875" style="95"/>
    <col min="6917" max="6917" width="12.28515625" style="95" customWidth="1"/>
    <col min="6918" max="6918" width="18.7109375" style="95" customWidth="1"/>
    <col min="6919" max="6919" width="23.7109375" style="95" customWidth="1"/>
    <col min="6920" max="6920" width="17.140625" style="95" customWidth="1"/>
    <col min="6921" max="6921" width="21.140625" style="95" customWidth="1"/>
    <col min="6922" max="6922" width="19.85546875" style="95" customWidth="1"/>
    <col min="6923" max="6923" width="17.7109375" style="95" customWidth="1"/>
    <col min="6924" max="7168" width="8.85546875" style="95"/>
    <col min="7169" max="7169" width="8.28515625" style="95" customWidth="1"/>
    <col min="7170" max="7170" width="55.28515625" style="95" bestFit="1" customWidth="1"/>
    <col min="7171" max="7171" width="9.7109375" style="95" customWidth="1"/>
    <col min="7172" max="7172" width="8.85546875" style="95"/>
    <col min="7173" max="7173" width="12.28515625" style="95" customWidth="1"/>
    <col min="7174" max="7174" width="18.7109375" style="95" customWidth="1"/>
    <col min="7175" max="7175" width="23.7109375" style="95" customWidth="1"/>
    <col min="7176" max="7176" width="17.140625" style="95" customWidth="1"/>
    <col min="7177" max="7177" width="21.140625" style="95" customWidth="1"/>
    <col min="7178" max="7178" width="19.85546875" style="95" customWidth="1"/>
    <col min="7179" max="7179" width="17.7109375" style="95" customWidth="1"/>
    <col min="7180" max="7424" width="8.85546875" style="95"/>
    <col min="7425" max="7425" width="8.28515625" style="95" customWidth="1"/>
    <col min="7426" max="7426" width="55.28515625" style="95" bestFit="1" customWidth="1"/>
    <col min="7427" max="7427" width="9.7109375" style="95" customWidth="1"/>
    <col min="7428" max="7428" width="8.85546875" style="95"/>
    <col min="7429" max="7429" width="12.28515625" style="95" customWidth="1"/>
    <col min="7430" max="7430" width="18.7109375" style="95" customWidth="1"/>
    <col min="7431" max="7431" width="23.7109375" style="95" customWidth="1"/>
    <col min="7432" max="7432" width="17.140625" style="95" customWidth="1"/>
    <col min="7433" max="7433" width="21.140625" style="95" customWidth="1"/>
    <col min="7434" max="7434" width="19.85546875" style="95" customWidth="1"/>
    <col min="7435" max="7435" width="17.7109375" style="95" customWidth="1"/>
    <col min="7436" max="7680" width="8.85546875" style="95"/>
    <col min="7681" max="7681" width="8.28515625" style="95" customWidth="1"/>
    <col min="7682" max="7682" width="55.28515625" style="95" bestFit="1" customWidth="1"/>
    <col min="7683" max="7683" width="9.7109375" style="95" customWidth="1"/>
    <col min="7684" max="7684" width="8.85546875" style="95"/>
    <col min="7685" max="7685" width="12.28515625" style="95" customWidth="1"/>
    <col min="7686" max="7686" width="18.7109375" style="95" customWidth="1"/>
    <col min="7687" max="7687" width="23.7109375" style="95" customWidth="1"/>
    <col min="7688" max="7688" width="17.140625" style="95" customWidth="1"/>
    <col min="7689" max="7689" width="21.140625" style="95" customWidth="1"/>
    <col min="7690" max="7690" width="19.85546875" style="95" customWidth="1"/>
    <col min="7691" max="7691" width="17.7109375" style="95" customWidth="1"/>
    <col min="7692" max="7936" width="8.85546875" style="95"/>
    <col min="7937" max="7937" width="8.28515625" style="95" customWidth="1"/>
    <col min="7938" max="7938" width="55.28515625" style="95" bestFit="1" customWidth="1"/>
    <col min="7939" max="7939" width="9.7109375" style="95" customWidth="1"/>
    <col min="7940" max="7940" width="8.85546875" style="95"/>
    <col min="7941" max="7941" width="12.28515625" style="95" customWidth="1"/>
    <col min="7942" max="7942" width="18.7109375" style="95" customWidth="1"/>
    <col min="7943" max="7943" width="23.7109375" style="95" customWidth="1"/>
    <col min="7944" max="7944" width="17.140625" style="95" customWidth="1"/>
    <col min="7945" max="7945" width="21.140625" style="95" customWidth="1"/>
    <col min="7946" max="7946" width="19.85546875" style="95" customWidth="1"/>
    <col min="7947" max="7947" width="17.7109375" style="95" customWidth="1"/>
    <col min="7948" max="8192" width="8.85546875" style="95"/>
    <col min="8193" max="8193" width="8.28515625" style="95" customWidth="1"/>
    <col min="8194" max="8194" width="55.28515625" style="95" bestFit="1" customWidth="1"/>
    <col min="8195" max="8195" width="9.7109375" style="95" customWidth="1"/>
    <col min="8196" max="8196" width="8.85546875" style="95"/>
    <col min="8197" max="8197" width="12.28515625" style="95" customWidth="1"/>
    <col min="8198" max="8198" width="18.7109375" style="95" customWidth="1"/>
    <col min="8199" max="8199" width="23.7109375" style="95" customWidth="1"/>
    <col min="8200" max="8200" width="17.140625" style="95" customWidth="1"/>
    <col min="8201" max="8201" width="21.140625" style="95" customWidth="1"/>
    <col min="8202" max="8202" width="19.85546875" style="95" customWidth="1"/>
    <col min="8203" max="8203" width="17.7109375" style="95" customWidth="1"/>
    <col min="8204" max="8448" width="8.85546875" style="95"/>
    <col min="8449" max="8449" width="8.28515625" style="95" customWidth="1"/>
    <col min="8450" max="8450" width="55.28515625" style="95" bestFit="1" customWidth="1"/>
    <col min="8451" max="8451" width="9.7109375" style="95" customWidth="1"/>
    <col min="8452" max="8452" width="8.85546875" style="95"/>
    <col min="8453" max="8453" width="12.28515625" style="95" customWidth="1"/>
    <col min="8454" max="8454" width="18.7109375" style="95" customWidth="1"/>
    <col min="8455" max="8455" width="23.7109375" style="95" customWidth="1"/>
    <col min="8456" max="8456" width="17.140625" style="95" customWidth="1"/>
    <col min="8457" max="8457" width="21.140625" style="95" customWidth="1"/>
    <col min="8458" max="8458" width="19.85546875" style="95" customWidth="1"/>
    <col min="8459" max="8459" width="17.7109375" style="95" customWidth="1"/>
    <col min="8460" max="8704" width="8.85546875" style="95"/>
    <col min="8705" max="8705" width="8.28515625" style="95" customWidth="1"/>
    <col min="8706" max="8706" width="55.28515625" style="95" bestFit="1" customWidth="1"/>
    <col min="8707" max="8707" width="9.7109375" style="95" customWidth="1"/>
    <col min="8708" max="8708" width="8.85546875" style="95"/>
    <col min="8709" max="8709" width="12.28515625" style="95" customWidth="1"/>
    <col min="8710" max="8710" width="18.7109375" style="95" customWidth="1"/>
    <col min="8711" max="8711" width="23.7109375" style="95" customWidth="1"/>
    <col min="8712" max="8712" width="17.140625" style="95" customWidth="1"/>
    <col min="8713" max="8713" width="21.140625" style="95" customWidth="1"/>
    <col min="8714" max="8714" width="19.85546875" style="95" customWidth="1"/>
    <col min="8715" max="8715" width="17.7109375" style="95" customWidth="1"/>
    <col min="8716" max="8960" width="8.85546875" style="95"/>
    <col min="8961" max="8961" width="8.28515625" style="95" customWidth="1"/>
    <col min="8962" max="8962" width="55.28515625" style="95" bestFit="1" customWidth="1"/>
    <col min="8963" max="8963" width="9.7109375" style="95" customWidth="1"/>
    <col min="8964" max="8964" width="8.85546875" style="95"/>
    <col min="8965" max="8965" width="12.28515625" style="95" customWidth="1"/>
    <col min="8966" max="8966" width="18.7109375" style="95" customWidth="1"/>
    <col min="8967" max="8967" width="23.7109375" style="95" customWidth="1"/>
    <col min="8968" max="8968" width="17.140625" style="95" customWidth="1"/>
    <col min="8969" max="8969" width="21.140625" style="95" customWidth="1"/>
    <col min="8970" max="8970" width="19.85546875" style="95" customWidth="1"/>
    <col min="8971" max="8971" width="17.7109375" style="95" customWidth="1"/>
    <col min="8972" max="9216" width="8.85546875" style="95"/>
    <col min="9217" max="9217" width="8.28515625" style="95" customWidth="1"/>
    <col min="9218" max="9218" width="55.28515625" style="95" bestFit="1" customWidth="1"/>
    <col min="9219" max="9219" width="9.7109375" style="95" customWidth="1"/>
    <col min="9220" max="9220" width="8.85546875" style="95"/>
    <col min="9221" max="9221" width="12.28515625" style="95" customWidth="1"/>
    <col min="9222" max="9222" width="18.7109375" style="95" customWidth="1"/>
    <col min="9223" max="9223" width="23.7109375" style="95" customWidth="1"/>
    <col min="9224" max="9224" width="17.140625" style="95" customWidth="1"/>
    <col min="9225" max="9225" width="21.140625" style="95" customWidth="1"/>
    <col min="9226" max="9226" width="19.85546875" style="95" customWidth="1"/>
    <col min="9227" max="9227" width="17.7109375" style="95" customWidth="1"/>
    <col min="9228" max="9472" width="8.85546875" style="95"/>
    <col min="9473" max="9473" width="8.28515625" style="95" customWidth="1"/>
    <col min="9474" max="9474" width="55.28515625" style="95" bestFit="1" customWidth="1"/>
    <col min="9475" max="9475" width="9.7109375" style="95" customWidth="1"/>
    <col min="9476" max="9476" width="8.85546875" style="95"/>
    <col min="9477" max="9477" width="12.28515625" style="95" customWidth="1"/>
    <col min="9478" max="9478" width="18.7109375" style="95" customWidth="1"/>
    <col min="9479" max="9479" width="23.7109375" style="95" customWidth="1"/>
    <col min="9480" max="9480" width="17.140625" style="95" customWidth="1"/>
    <col min="9481" max="9481" width="21.140625" style="95" customWidth="1"/>
    <col min="9482" max="9482" width="19.85546875" style="95" customWidth="1"/>
    <col min="9483" max="9483" width="17.7109375" style="95" customWidth="1"/>
    <col min="9484" max="9728" width="8.85546875" style="95"/>
    <col min="9729" max="9729" width="8.28515625" style="95" customWidth="1"/>
    <col min="9730" max="9730" width="55.28515625" style="95" bestFit="1" customWidth="1"/>
    <col min="9731" max="9731" width="9.7109375" style="95" customWidth="1"/>
    <col min="9732" max="9732" width="8.85546875" style="95"/>
    <col min="9733" max="9733" width="12.28515625" style="95" customWidth="1"/>
    <col min="9734" max="9734" width="18.7109375" style="95" customWidth="1"/>
    <col min="9735" max="9735" width="23.7109375" style="95" customWidth="1"/>
    <col min="9736" max="9736" width="17.140625" style="95" customWidth="1"/>
    <col min="9737" max="9737" width="21.140625" style="95" customWidth="1"/>
    <col min="9738" max="9738" width="19.85546875" style="95" customWidth="1"/>
    <col min="9739" max="9739" width="17.7109375" style="95" customWidth="1"/>
    <col min="9740" max="9984" width="8.85546875" style="95"/>
    <col min="9985" max="9985" width="8.28515625" style="95" customWidth="1"/>
    <col min="9986" max="9986" width="55.28515625" style="95" bestFit="1" customWidth="1"/>
    <col min="9987" max="9987" width="9.7109375" style="95" customWidth="1"/>
    <col min="9988" max="9988" width="8.85546875" style="95"/>
    <col min="9989" max="9989" width="12.28515625" style="95" customWidth="1"/>
    <col min="9990" max="9990" width="18.7109375" style="95" customWidth="1"/>
    <col min="9991" max="9991" width="23.7109375" style="95" customWidth="1"/>
    <col min="9992" max="9992" width="17.140625" style="95" customWidth="1"/>
    <col min="9993" max="9993" width="21.140625" style="95" customWidth="1"/>
    <col min="9994" max="9994" width="19.85546875" style="95" customWidth="1"/>
    <col min="9995" max="9995" width="17.7109375" style="95" customWidth="1"/>
    <col min="9996" max="10240" width="8.85546875" style="95"/>
    <col min="10241" max="10241" width="8.28515625" style="95" customWidth="1"/>
    <col min="10242" max="10242" width="55.28515625" style="95" bestFit="1" customWidth="1"/>
    <col min="10243" max="10243" width="9.7109375" style="95" customWidth="1"/>
    <col min="10244" max="10244" width="8.85546875" style="95"/>
    <col min="10245" max="10245" width="12.28515625" style="95" customWidth="1"/>
    <col min="10246" max="10246" width="18.7109375" style="95" customWidth="1"/>
    <col min="10247" max="10247" width="23.7109375" style="95" customWidth="1"/>
    <col min="10248" max="10248" width="17.140625" style="95" customWidth="1"/>
    <col min="10249" max="10249" width="21.140625" style="95" customWidth="1"/>
    <col min="10250" max="10250" width="19.85546875" style="95" customWidth="1"/>
    <col min="10251" max="10251" width="17.7109375" style="95" customWidth="1"/>
    <col min="10252" max="10496" width="8.85546875" style="95"/>
    <col min="10497" max="10497" width="8.28515625" style="95" customWidth="1"/>
    <col min="10498" max="10498" width="55.28515625" style="95" bestFit="1" customWidth="1"/>
    <col min="10499" max="10499" width="9.7109375" style="95" customWidth="1"/>
    <col min="10500" max="10500" width="8.85546875" style="95"/>
    <col min="10501" max="10501" width="12.28515625" style="95" customWidth="1"/>
    <col min="10502" max="10502" width="18.7109375" style="95" customWidth="1"/>
    <col min="10503" max="10503" width="23.7109375" style="95" customWidth="1"/>
    <col min="10504" max="10504" width="17.140625" style="95" customWidth="1"/>
    <col min="10505" max="10505" width="21.140625" style="95" customWidth="1"/>
    <col min="10506" max="10506" width="19.85546875" style="95" customWidth="1"/>
    <col min="10507" max="10507" width="17.7109375" style="95" customWidth="1"/>
    <col min="10508" max="10752" width="8.85546875" style="95"/>
    <col min="10753" max="10753" width="8.28515625" style="95" customWidth="1"/>
    <col min="10754" max="10754" width="55.28515625" style="95" bestFit="1" customWidth="1"/>
    <col min="10755" max="10755" width="9.7109375" style="95" customWidth="1"/>
    <col min="10756" max="10756" width="8.85546875" style="95"/>
    <col min="10757" max="10757" width="12.28515625" style="95" customWidth="1"/>
    <col min="10758" max="10758" width="18.7109375" style="95" customWidth="1"/>
    <col min="10759" max="10759" width="23.7109375" style="95" customWidth="1"/>
    <col min="10760" max="10760" width="17.140625" style="95" customWidth="1"/>
    <col min="10761" max="10761" width="21.140625" style="95" customWidth="1"/>
    <col min="10762" max="10762" width="19.85546875" style="95" customWidth="1"/>
    <col min="10763" max="10763" width="17.7109375" style="95" customWidth="1"/>
    <col min="10764" max="11008" width="8.85546875" style="95"/>
    <col min="11009" max="11009" width="8.28515625" style="95" customWidth="1"/>
    <col min="11010" max="11010" width="55.28515625" style="95" bestFit="1" customWidth="1"/>
    <col min="11011" max="11011" width="9.7109375" style="95" customWidth="1"/>
    <col min="11012" max="11012" width="8.85546875" style="95"/>
    <col min="11013" max="11013" width="12.28515625" style="95" customWidth="1"/>
    <col min="11014" max="11014" width="18.7109375" style="95" customWidth="1"/>
    <col min="11015" max="11015" width="23.7109375" style="95" customWidth="1"/>
    <col min="11016" max="11016" width="17.140625" style="95" customWidth="1"/>
    <col min="11017" max="11017" width="21.140625" style="95" customWidth="1"/>
    <col min="11018" max="11018" width="19.85546875" style="95" customWidth="1"/>
    <col min="11019" max="11019" width="17.7109375" style="95" customWidth="1"/>
    <col min="11020" max="11264" width="8.85546875" style="95"/>
    <col min="11265" max="11265" width="8.28515625" style="95" customWidth="1"/>
    <col min="11266" max="11266" width="55.28515625" style="95" bestFit="1" customWidth="1"/>
    <col min="11267" max="11267" width="9.7109375" style="95" customWidth="1"/>
    <col min="11268" max="11268" width="8.85546875" style="95"/>
    <col min="11269" max="11269" width="12.28515625" style="95" customWidth="1"/>
    <col min="11270" max="11270" width="18.7109375" style="95" customWidth="1"/>
    <col min="11271" max="11271" width="23.7109375" style="95" customWidth="1"/>
    <col min="11272" max="11272" width="17.140625" style="95" customWidth="1"/>
    <col min="11273" max="11273" width="21.140625" style="95" customWidth="1"/>
    <col min="11274" max="11274" width="19.85546875" style="95" customWidth="1"/>
    <col min="11275" max="11275" width="17.7109375" style="95" customWidth="1"/>
    <col min="11276" max="11520" width="8.85546875" style="95"/>
    <col min="11521" max="11521" width="8.28515625" style="95" customWidth="1"/>
    <col min="11522" max="11522" width="55.28515625" style="95" bestFit="1" customWidth="1"/>
    <col min="11523" max="11523" width="9.7109375" style="95" customWidth="1"/>
    <col min="11524" max="11524" width="8.85546875" style="95"/>
    <col min="11525" max="11525" width="12.28515625" style="95" customWidth="1"/>
    <col min="11526" max="11526" width="18.7109375" style="95" customWidth="1"/>
    <col min="11527" max="11527" width="23.7109375" style="95" customWidth="1"/>
    <col min="11528" max="11528" width="17.140625" style="95" customWidth="1"/>
    <col min="11529" max="11529" width="21.140625" style="95" customWidth="1"/>
    <col min="11530" max="11530" width="19.85546875" style="95" customWidth="1"/>
    <col min="11531" max="11531" width="17.7109375" style="95" customWidth="1"/>
    <col min="11532" max="11776" width="8.85546875" style="95"/>
    <col min="11777" max="11777" width="8.28515625" style="95" customWidth="1"/>
    <col min="11778" max="11778" width="55.28515625" style="95" bestFit="1" customWidth="1"/>
    <col min="11779" max="11779" width="9.7109375" style="95" customWidth="1"/>
    <col min="11780" max="11780" width="8.85546875" style="95"/>
    <col min="11781" max="11781" width="12.28515625" style="95" customWidth="1"/>
    <col min="11782" max="11782" width="18.7109375" style="95" customWidth="1"/>
    <col min="11783" max="11783" width="23.7109375" style="95" customWidth="1"/>
    <col min="11784" max="11784" width="17.140625" style="95" customWidth="1"/>
    <col min="11785" max="11785" width="21.140625" style="95" customWidth="1"/>
    <col min="11786" max="11786" width="19.85546875" style="95" customWidth="1"/>
    <col min="11787" max="11787" width="17.7109375" style="95" customWidth="1"/>
    <col min="11788" max="12032" width="8.85546875" style="95"/>
    <col min="12033" max="12033" width="8.28515625" style="95" customWidth="1"/>
    <col min="12034" max="12034" width="55.28515625" style="95" bestFit="1" customWidth="1"/>
    <col min="12035" max="12035" width="9.7109375" style="95" customWidth="1"/>
    <col min="12036" max="12036" width="8.85546875" style="95"/>
    <col min="12037" max="12037" width="12.28515625" style="95" customWidth="1"/>
    <col min="12038" max="12038" width="18.7109375" style="95" customWidth="1"/>
    <col min="12039" max="12039" width="23.7109375" style="95" customWidth="1"/>
    <col min="12040" max="12040" width="17.140625" style="95" customWidth="1"/>
    <col min="12041" max="12041" width="21.140625" style="95" customWidth="1"/>
    <col min="12042" max="12042" width="19.85546875" style="95" customWidth="1"/>
    <col min="12043" max="12043" width="17.7109375" style="95" customWidth="1"/>
    <col min="12044" max="12288" width="8.85546875" style="95"/>
    <col min="12289" max="12289" width="8.28515625" style="95" customWidth="1"/>
    <col min="12290" max="12290" width="55.28515625" style="95" bestFit="1" customWidth="1"/>
    <col min="12291" max="12291" width="9.7109375" style="95" customWidth="1"/>
    <col min="12292" max="12292" width="8.85546875" style="95"/>
    <col min="12293" max="12293" width="12.28515625" style="95" customWidth="1"/>
    <col min="12294" max="12294" width="18.7109375" style="95" customWidth="1"/>
    <col min="12295" max="12295" width="23.7109375" style="95" customWidth="1"/>
    <col min="12296" max="12296" width="17.140625" style="95" customWidth="1"/>
    <col min="12297" max="12297" width="21.140625" style="95" customWidth="1"/>
    <col min="12298" max="12298" width="19.85546875" style="95" customWidth="1"/>
    <col min="12299" max="12299" width="17.7109375" style="95" customWidth="1"/>
    <col min="12300" max="12544" width="8.85546875" style="95"/>
    <col min="12545" max="12545" width="8.28515625" style="95" customWidth="1"/>
    <col min="12546" max="12546" width="55.28515625" style="95" bestFit="1" customWidth="1"/>
    <col min="12547" max="12547" width="9.7109375" style="95" customWidth="1"/>
    <col min="12548" max="12548" width="8.85546875" style="95"/>
    <col min="12549" max="12549" width="12.28515625" style="95" customWidth="1"/>
    <col min="12550" max="12550" width="18.7109375" style="95" customWidth="1"/>
    <col min="12551" max="12551" width="23.7109375" style="95" customWidth="1"/>
    <col min="12552" max="12552" width="17.140625" style="95" customWidth="1"/>
    <col min="12553" max="12553" width="21.140625" style="95" customWidth="1"/>
    <col min="12554" max="12554" width="19.85546875" style="95" customWidth="1"/>
    <col min="12555" max="12555" width="17.7109375" style="95" customWidth="1"/>
    <col min="12556" max="12800" width="8.85546875" style="95"/>
    <col min="12801" max="12801" width="8.28515625" style="95" customWidth="1"/>
    <col min="12802" max="12802" width="55.28515625" style="95" bestFit="1" customWidth="1"/>
    <col min="12803" max="12803" width="9.7109375" style="95" customWidth="1"/>
    <col min="12804" max="12804" width="8.85546875" style="95"/>
    <col min="12805" max="12805" width="12.28515625" style="95" customWidth="1"/>
    <col min="12806" max="12806" width="18.7109375" style="95" customWidth="1"/>
    <col min="12807" max="12807" width="23.7109375" style="95" customWidth="1"/>
    <col min="12808" max="12808" width="17.140625" style="95" customWidth="1"/>
    <col min="12809" max="12809" width="21.140625" style="95" customWidth="1"/>
    <col min="12810" max="12810" width="19.85546875" style="95" customWidth="1"/>
    <col min="12811" max="12811" width="17.7109375" style="95" customWidth="1"/>
    <col min="12812" max="13056" width="8.85546875" style="95"/>
    <col min="13057" max="13057" width="8.28515625" style="95" customWidth="1"/>
    <col min="13058" max="13058" width="55.28515625" style="95" bestFit="1" customWidth="1"/>
    <col min="13059" max="13059" width="9.7109375" style="95" customWidth="1"/>
    <col min="13060" max="13060" width="8.85546875" style="95"/>
    <col min="13061" max="13061" width="12.28515625" style="95" customWidth="1"/>
    <col min="13062" max="13062" width="18.7109375" style="95" customWidth="1"/>
    <col min="13063" max="13063" width="23.7109375" style="95" customWidth="1"/>
    <col min="13064" max="13064" width="17.140625" style="95" customWidth="1"/>
    <col min="13065" max="13065" width="21.140625" style="95" customWidth="1"/>
    <col min="13066" max="13066" width="19.85546875" style="95" customWidth="1"/>
    <col min="13067" max="13067" width="17.7109375" style="95" customWidth="1"/>
    <col min="13068" max="13312" width="8.85546875" style="95"/>
    <col min="13313" max="13313" width="8.28515625" style="95" customWidth="1"/>
    <col min="13314" max="13314" width="55.28515625" style="95" bestFit="1" customWidth="1"/>
    <col min="13315" max="13315" width="9.7109375" style="95" customWidth="1"/>
    <col min="13316" max="13316" width="8.85546875" style="95"/>
    <col min="13317" max="13317" width="12.28515625" style="95" customWidth="1"/>
    <col min="13318" max="13318" width="18.7109375" style="95" customWidth="1"/>
    <col min="13319" max="13319" width="23.7109375" style="95" customWidth="1"/>
    <col min="13320" max="13320" width="17.140625" style="95" customWidth="1"/>
    <col min="13321" max="13321" width="21.140625" style="95" customWidth="1"/>
    <col min="13322" max="13322" width="19.85546875" style="95" customWidth="1"/>
    <col min="13323" max="13323" width="17.7109375" style="95" customWidth="1"/>
    <col min="13324" max="13568" width="8.85546875" style="95"/>
    <col min="13569" max="13569" width="8.28515625" style="95" customWidth="1"/>
    <col min="13570" max="13570" width="55.28515625" style="95" bestFit="1" customWidth="1"/>
    <col min="13571" max="13571" width="9.7109375" style="95" customWidth="1"/>
    <col min="13572" max="13572" width="8.85546875" style="95"/>
    <col min="13573" max="13573" width="12.28515625" style="95" customWidth="1"/>
    <col min="13574" max="13574" width="18.7109375" style="95" customWidth="1"/>
    <col min="13575" max="13575" width="23.7109375" style="95" customWidth="1"/>
    <col min="13576" max="13576" width="17.140625" style="95" customWidth="1"/>
    <col min="13577" max="13577" width="21.140625" style="95" customWidth="1"/>
    <col min="13578" max="13578" width="19.85546875" style="95" customWidth="1"/>
    <col min="13579" max="13579" width="17.7109375" style="95" customWidth="1"/>
    <col min="13580" max="13824" width="8.85546875" style="95"/>
    <col min="13825" max="13825" width="8.28515625" style="95" customWidth="1"/>
    <col min="13826" max="13826" width="55.28515625" style="95" bestFit="1" customWidth="1"/>
    <col min="13827" max="13827" width="9.7109375" style="95" customWidth="1"/>
    <col min="13828" max="13828" width="8.85546875" style="95"/>
    <col min="13829" max="13829" width="12.28515625" style="95" customWidth="1"/>
    <col min="13830" max="13830" width="18.7109375" style="95" customWidth="1"/>
    <col min="13831" max="13831" width="23.7109375" style="95" customWidth="1"/>
    <col min="13832" max="13832" width="17.140625" style="95" customWidth="1"/>
    <col min="13833" max="13833" width="21.140625" style="95" customWidth="1"/>
    <col min="13834" max="13834" width="19.85546875" style="95" customWidth="1"/>
    <col min="13835" max="13835" width="17.7109375" style="95" customWidth="1"/>
    <col min="13836" max="14080" width="8.85546875" style="95"/>
    <col min="14081" max="14081" width="8.28515625" style="95" customWidth="1"/>
    <col min="14082" max="14082" width="55.28515625" style="95" bestFit="1" customWidth="1"/>
    <col min="14083" max="14083" width="9.7109375" style="95" customWidth="1"/>
    <col min="14084" max="14084" width="8.85546875" style="95"/>
    <col min="14085" max="14085" width="12.28515625" style="95" customWidth="1"/>
    <col min="14086" max="14086" width="18.7109375" style="95" customWidth="1"/>
    <col min="14087" max="14087" width="23.7109375" style="95" customWidth="1"/>
    <col min="14088" max="14088" width="17.140625" style="95" customWidth="1"/>
    <col min="14089" max="14089" width="21.140625" style="95" customWidth="1"/>
    <col min="14090" max="14090" width="19.85546875" style="95" customWidth="1"/>
    <col min="14091" max="14091" width="17.7109375" style="95" customWidth="1"/>
    <col min="14092" max="14336" width="8.85546875" style="95"/>
    <col min="14337" max="14337" width="8.28515625" style="95" customWidth="1"/>
    <col min="14338" max="14338" width="55.28515625" style="95" bestFit="1" customWidth="1"/>
    <col min="14339" max="14339" width="9.7109375" style="95" customWidth="1"/>
    <col min="14340" max="14340" width="8.85546875" style="95"/>
    <col min="14341" max="14341" width="12.28515625" style="95" customWidth="1"/>
    <col min="14342" max="14342" width="18.7109375" style="95" customWidth="1"/>
    <col min="14343" max="14343" width="23.7109375" style="95" customWidth="1"/>
    <col min="14344" max="14344" width="17.140625" style="95" customWidth="1"/>
    <col min="14345" max="14345" width="21.140625" style="95" customWidth="1"/>
    <col min="14346" max="14346" width="19.85546875" style="95" customWidth="1"/>
    <col min="14347" max="14347" width="17.7109375" style="95" customWidth="1"/>
    <col min="14348" max="14592" width="8.85546875" style="95"/>
    <col min="14593" max="14593" width="8.28515625" style="95" customWidth="1"/>
    <col min="14594" max="14594" width="55.28515625" style="95" bestFit="1" customWidth="1"/>
    <col min="14595" max="14595" width="9.7109375" style="95" customWidth="1"/>
    <col min="14596" max="14596" width="8.85546875" style="95"/>
    <col min="14597" max="14597" width="12.28515625" style="95" customWidth="1"/>
    <col min="14598" max="14598" width="18.7109375" style="95" customWidth="1"/>
    <col min="14599" max="14599" width="23.7109375" style="95" customWidth="1"/>
    <col min="14600" max="14600" width="17.140625" style="95" customWidth="1"/>
    <col min="14601" max="14601" width="21.140625" style="95" customWidth="1"/>
    <col min="14602" max="14602" width="19.85546875" style="95" customWidth="1"/>
    <col min="14603" max="14603" width="17.7109375" style="95" customWidth="1"/>
    <col min="14604" max="14848" width="8.85546875" style="95"/>
    <col min="14849" max="14849" width="8.28515625" style="95" customWidth="1"/>
    <col min="14850" max="14850" width="55.28515625" style="95" bestFit="1" customWidth="1"/>
    <col min="14851" max="14851" width="9.7109375" style="95" customWidth="1"/>
    <col min="14852" max="14852" width="8.85546875" style="95"/>
    <col min="14853" max="14853" width="12.28515625" style="95" customWidth="1"/>
    <col min="14854" max="14854" width="18.7109375" style="95" customWidth="1"/>
    <col min="14855" max="14855" width="23.7109375" style="95" customWidth="1"/>
    <col min="14856" max="14856" width="17.140625" style="95" customWidth="1"/>
    <col min="14857" max="14857" width="21.140625" style="95" customWidth="1"/>
    <col min="14858" max="14858" width="19.85546875" style="95" customWidth="1"/>
    <col min="14859" max="14859" width="17.7109375" style="95" customWidth="1"/>
    <col min="14860" max="15104" width="8.85546875" style="95"/>
    <col min="15105" max="15105" width="8.28515625" style="95" customWidth="1"/>
    <col min="15106" max="15106" width="55.28515625" style="95" bestFit="1" customWidth="1"/>
    <col min="15107" max="15107" width="9.7109375" style="95" customWidth="1"/>
    <col min="15108" max="15108" width="8.85546875" style="95"/>
    <col min="15109" max="15109" width="12.28515625" style="95" customWidth="1"/>
    <col min="15110" max="15110" width="18.7109375" style="95" customWidth="1"/>
    <col min="15111" max="15111" width="23.7109375" style="95" customWidth="1"/>
    <col min="15112" max="15112" width="17.140625" style="95" customWidth="1"/>
    <col min="15113" max="15113" width="21.140625" style="95" customWidth="1"/>
    <col min="15114" max="15114" width="19.85546875" style="95" customWidth="1"/>
    <col min="15115" max="15115" width="17.7109375" style="95" customWidth="1"/>
    <col min="15116" max="15360" width="8.85546875" style="95"/>
    <col min="15361" max="15361" width="8.28515625" style="95" customWidth="1"/>
    <col min="15362" max="15362" width="55.28515625" style="95" bestFit="1" customWidth="1"/>
    <col min="15363" max="15363" width="9.7109375" style="95" customWidth="1"/>
    <col min="15364" max="15364" width="8.85546875" style="95"/>
    <col min="15365" max="15365" width="12.28515625" style="95" customWidth="1"/>
    <col min="15366" max="15366" width="18.7109375" style="95" customWidth="1"/>
    <col min="15367" max="15367" width="23.7109375" style="95" customWidth="1"/>
    <col min="15368" max="15368" width="17.140625" style="95" customWidth="1"/>
    <col min="15369" max="15369" width="21.140625" style="95" customWidth="1"/>
    <col min="15370" max="15370" width="19.85546875" style="95" customWidth="1"/>
    <col min="15371" max="15371" width="17.7109375" style="95" customWidth="1"/>
    <col min="15372" max="15616" width="8.85546875" style="95"/>
    <col min="15617" max="15617" width="8.28515625" style="95" customWidth="1"/>
    <col min="15618" max="15618" width="55.28515625" style="95" bestFit="1" customWidth="1"/>
    <col min="15619" max="15619" width="9.7109375" style="95" customWidth="1"/>
    <col min="15620" max="15620" width="8.85546875" style="95"/>
    <col min="15621" max="15621" width="12.28515625" style="95" customWidth="1"/>
    <col min="15622" max="15622" width="18.7109375" style="95" customWidth="1"/>
    <col min="15623" max="15623" width="23.7109375" style="95" customWidth="1"/>
    <col min="15624" max="15624" width="17.140625" style="95" customWidth="1"/>
    <col min="15625" max="15625" width="21.140625" style="95" customWidth="1"/>
    <col min="15626" max="15626" width="19.85546875" style="95" customWidth="1"/>
    <col min="15627" max="15627" width="17.7109375" style="95" customWidth="1"/>
    <col min="15628" max="15872" width="8.85546875" style="95"/>
    <col min="15873" max="15873" width="8.28515625" style="95" customWidth="1"/>
    <col min="15874" max="15874" width="55.28515625" style="95" bestFit="1" customWidth="1"/>
    <col min="15875" max="15875" width="9.7109375" style="95" customWidth="1"/>
    <col min="15876" max="15876" width="8.85546875" style="95"/>
    <col min="15877" max="15877" width="12.28515625" style="95" customWidth="1"/>
    <col min="15878" max="15878" width="18.7109375" style="95" customWidth="1"/>
    <col min="15879" max="15879" width="23.7109375" style="95" customWidth="1"/>
    <col min="15880" max="15880" width="17.140625" style="95" customWidth="1"/>
    <col min="15881" max="15881" width="21.140625" style="95" customWidth="1"/>
    <col min="15882" max="15882" width="19.85546875" style="95" customWidth="1"/>
    <col min="15883" max="15883" width="17.7109375" style="95" customWidth="1"/>
    <col min="15884" max="16128" width="8.85546875" style="95"/>
    <col min="16129" max="16129" width="8.28515625" style="95" customWidth="1"/>
    <col min="16130" max="16130" width="55.28515625" style="95" bestFit="1" customWidth="1"/>
    <col min="16131" max="16131" width="9.7109375" style="95" customWidth="1"/>
    <col min="16132" max="16132" width="8.85546875" style="95"/>
    <col min="16133" max="16133" width="12.28515625" style="95" customWidth="1"/>
    <col min="16134" max="16134" width="18.7109375" style="95" customWidth="1"/>
    <col min="16135" max="16135" width="23.7109375" style="95" customWidth="1"/>
    <col min="16136" max="16136" width="17.140625" style="95" customWidth="1"/>
    <col min="16137" max="16137" width="21.140625" style="95" customWidth="1"/>
    <col min="16138" max="16138" width="19.85546875" style="95" customWidth="1"/>
    <col min="16139" max="16139" width="17.7109375" style="95" customWidth="1"/>
    <col min="16140" max="16384" width="8.85546875" style="95"/>
  </cols>
  <sheetData>
    <row r="1" spans="1:11" ht="18" customHeight="1">
      <c r="C1" s="158"/>
      <c r="D1" s="159"/>
      <c r="E1" s="158"/>
      <c r="F1" s="158"/>
      <c r="G1" s="158"/>
      <c r="H1" s="158"/>
      <c r="I1" s="158"/>
      <c r="J1" s="158"/>
      <c r="K1" s="158"/>
    </row>
    <row r="2" spans="1:11" ht="18" customHeight="1">
      <c r="D2" s="600" t="s">
        <v>187</v>
      </c>
      <c r="E2" s="601"/>
      <c r="F2" s="601"/>
      <c r="G2" s="601"/>
      <c r="H2" s="601"/>
    </row>
    <row r="3" spans="1:11" ht="18" customHeight="1">
      <c r="B3" s="97" t="s">
        <v>0</v>
      </c>
    </row>
    <row r="5" spans="1:11" ht="18" customHeight="1">
      <c r="B5" s="104" t="s">
        <v>40</v>
      </c>
      <c r="C5" s="602" t="s">
        <v>344</v>
      </c>
      <c r="D5" s="603"/>
      <c r="E5" s="603"/>
      <c r="F5" s="603"/>
      <c r="G5" s="604"/>
    </row>
    <row r="6" spans="1:11" ht="18" customHeight="1">
      <c r="B6" s="104" t="s">
        <v>3</v>
      </c>
      <c r="C6" s="605" t="s">
        <v>343</v>
      </c>
      <c r="D6" s="606"/>
      <c r="E6" s="606"/>
      <c r="F6" s="606"/>
      <c r="G6" s="607"/>
    </row>
    <row r="7" spans="1:11" ht="18" customHeight="1">
      <c r="B7" s="104" t="s">
        <v>4</v>
      </c>
      <c r="C7" s="608" t="s">
        <v>342</v>
      </c>
      <c r="D7" s="609"/>
      <c r="E7" s="609"/>
      <c r="F7" s="609"/>
      <c r="G7" s="610"/>
    </row>
    <row r="9" spans="1:11" ht="18" customHeight="1">
      <c r="B9" s="104" t="s">
        <v>1</v>
      </c>
      <c r="C9" s="602" t="s">
        <v>341</v>
      </c>
      <c r="D9" s="603"/>
      <c r="E9" s="603"/>
      <c r="F9" s="603"/>
      <c r="G9" s="604"/>
    </row>
    <row r="10" spans="1:11" ht="18" customHeight="1">
      <c r="B10" s="104" t="s">
        <v>2</v>
      </c>
      <c r="C10" s="611" t="s">
        <v>340</v>
      </c>
      <c r="D10" s="612"/>
      <c r="E10" s="612"/>
      <c r="F10" s="612"/>
      <c r="G10" s="613"/>
    </row>
    <row r="11" spans="1:11" ht="18" customHeight="1">
      <c r="B11" s="104" t="s">
        <v>32</v>
      </c>
      <c r="C11" s="602" t="s">
        <v>339</v>
      </c>
      <c r="D11" s="614"/>
      <c r="E11" s="614"/>
      <c r="F11" s="614"/>
      <c r="G11" s="614"/>
    </row>
    <row r="12" spans="1:11" ht="18" customHeight="1">
      <c r="B12" s="104"/>
      <c r="C12" s="104"/>
      <c r="D12" s="104"/>
      <c r="E12" s="104"/>
      <c r="F12" s="104"/>
      <c r="G12" s="104"/>
    </row>
    <row r="13" spans="1:11" ht="24.6" customHeight="1">
      <c r="B13" s="615"/>
      <c r="C13" s="616"/>
      <c r="D13" s="616"/>
      <c r="E13" s="616"/>
      <c r="F13" s="616"/>
      <c r="G13" s="616"/>
      <c r="H13" s="617"/>
      <c r="I13" s="158"/>
    </row>
    <row r="14" spans="1:11" ht="18" customHeight="1">
      <c r="B14" s="160"/>
    </row>
    <row r="15" spans="1:11" ht="18" customHeight="1">
      <c r="B15" s="160"/>
    </row>
    <row r="16" spans="1:11" ht="45" customHeight="1">
      <c r="A16" s="159" t="s">
        <v>181</v>
      </c>
      <c r="B16" s="158"/>
      <c r="C16" s="158"/>
      <c r="D16" s="158"/>
      <c r="E16" s="158"/>
      <c r="F16" s="108" t="s">
        <v>9</v>
      </c>
      <c r="G16" s="108" t="s">
        <v>37</v>
      </c>
      <c r="H16" s="108" t="s">
        <v>29</v>
      </c>
      <c r="I16" s="108" t="s">
        <v>30</v>
      </c>
      <c r="J16" s="108" t="s">
        <v>33</v>
      </c>
      <c r="K16" s="108" t="s">
        <v>34</v>
      </c>
    </row>
    <row r="17" spans="1:11" ht="18" customHeight="1">
      <c r="A17" s="99" t="s">
        <v>184</v>
      </c>
      <c r="B17" s="97" t="s">
        <v>182</v>
      </c>
    </row>
    <row r="18" spans="1:11" ht="18" customHeight="1">
      <c r="A18" s="104" t="s">
        <v>185</v>
      </c>
      <c r="B18" s="114" t="s">
        <v>183</v>
      </c>
      <c r="F18" s="112" t="s">
        <v>73</v>
      </c>
      <c r="G18" s="112" t="s">
        <v>73</v>
      </c>
      <c r="H18" s="110">
        <f>'[9]FY2012 Variance by CATEGORY'!AX365</f>
        <v>49179773</v>
      </c>
      <c r="I18" s="111">
        <f>'[9]FY2012 Variance by CATEGORY'!AY365</f>
        <v>0</v>
      </c>
      <c r="J18" s="110">
        <f>'[9]FY2012 Variance by CATEGORY'!AZ365</f>
        <v>42054855</v>
      </c>
      <c r="K18" s="109">
        <f>(H18+I18)-J18</f>
        <v>7124918</v>
      </c>
    </row>
    <row r="19" spans="1:11" ht="45" customHeight="1">
      <c r="A19" s="159" t="s">
        <v>8</v>
      </c>
      <c r="B19" s="158"/>
      <c r="C19" s="158"/>
      <c r="D19" s="158"/>
      <c r="E19" s="158"/>
      <c r="F19" s="108" t="s">
        <v>9</v>
      </c>
      <c r="G19" s="108" t="s">
        <v>37</v>
      </c>
      <c r="H19" s="108" t="s">
        <v>29</v>
      </c>
      <c r="I19" s="108" t="s">
        <v>30</v>
      </c>
      <c r="J19" s="108" t="s">
        <v>33</v>
      </c>
      <c r="K19" s="108" t="s">
        <v>34</v>
      </c>
    </row>
    <row r="20" spans="1:11" ht="18" customHeight="1">
      <c r="A20" s="99" t="s">
        <v>74</v>
      </c>
      <c r="B20" s="97" t="s">
        <v>41</v>
      </c>
    </row>
    <row r="21" spans="1:11" ht="18" customHeight="1">
      <c r="A21" s="104" t="s">
        <v>75</v>
      </c>
      <c r="B21" s="114" t="s">
        <v>42</v>
      </c>
      <c r="F21" s="112">
        <f>'[9]FY2012 Variance by CATEGORY'!AW80</f>
        <v>14187</v>
      </c>
      <c r="G21" s="112">
        <f>'[9]FY2012 Variance by CATEGORY'!AV80</f>
        <v>10477919</v>
      </c>
      <c r="H21" s="110">
        <f>'[9]FY2012 Variance by CATEGORY'!AX80</f>
        <v>1073415.94</v>
      </c>
      <c r="I21" s="111">
        <f t="shared" ref="I21:I28" si="0">H21*0.408</f>
        <v>437953.70351999992</v>
      </c>
      <c r="J21" s="110">
        <f>'[9]FY2012 Variance by CATEGORY'!AZ80</f>
        <v>176919</v>
      </c>
      <c r="K21" s="109">
        <f t="shared" ref="K21:K34" si="1">(H21+I21)-J21</f>
        <v>1334450.6435199999</v>
      </c>
    </row>
    <row r="22" spans="1:11" ht="18" customHeight="1">
      <c r="A22" s="104" t="s">
        <v>76</v>
      </c>
      <c r="B22" s="95" t="s">
        <v>6</v>
      </c>
      <c r="F22" s="112">
        <f>'[9]FY2012 Variance by CATEGORY'!AW105</f>
        <v>1174</v>
      </c>
      <c r="G22" s="112">
        <f>'[9]FY2012 Variance by CATEGORY'!AV105</f>
        <v>2155</v>
      </c>
      <c r="H22" s="110">
        <f>'[9]FY2012 Variance by CATEGORY'!AX105</f>
        <v>113278.88</v>
      </c>
      <c r="I22" s="111">
        <f t="shared" si="0"/>
        <v>46217.783040000002</v>
      </c>
      <c r="J22" s="110">
        <f>'[9]FY2012 Variance by CATEGORY'!AZ105</f>
        <v>2010</v>
      </c>
      <c r="K22" s="109">
        <f t="shared" si="1"/>
        <v>157486.66304000001</v>
      </c>
    </row>
    <row r="23" spans="1:11" ht="18" customHeight="1">
      <c r="A23" s="104" t="s">
        <v>77</v>
      </c>
      <c r="B23" s="95" t="s">
        <v>43</v>
      </c>
      <c r="F23" s="112">
        <f>'[9]FY2012 Variance by CATEGORY'!AW106</f>
        <v>24</v>
      </c>
      <c r="G23" s="112">
        <f>'[9]FY2012 Variance by CATEGORY'!AV106</f>
        <v>6</v>
      </c>
      <c r="H23" s="110">
        <f>'[9]FY2012 Variance by CATEGORY'!AX106</f>
        <v>695</v>
      </c>
      <c r="I23" s="111">
        <f t="shared" si="0"/>
        <v>283.56</v>
      </c>
      <c r="J23" s="110">
        <f>'[9]FY2012 Variance by CATEGORY'!AZ106</f>
        <v>0</v>
      </c>
      <c r="K23" s="109">
        <f t="shared" si="1"/>
        <v>978.56</v>
      </c>
    </row>
    <row r="24" spans="1:11" ht="18" customHeight="1">
      <c r="A24" s="104" t="s">
        <v>78</v>
      </c>
      <c r="B24" s="95" t="s">
        <v>44</v>
      </c>
      <c r="F24" s="112">
        <f>'[9]FY2012 Variance by CATEGORY'!AW115</f>
        <v>5447</v>
      </c>
      <c r="G24" s="112">
        <f>'[9]FY2012 Variance by CATEGORY'!AV115</f>
        <v>17022</v>
      </c>
      <c r="H24" s="110">
        <f>'[9]FY2012 Variance by CATEGORY'!AX115</f>
        <v>499530.14000000007</v>
      </c>
      <c r="I24" s="111">
        <f t="shared" si="0"/>
        <v>203808.29712</v>
      </c>
      <c r="J24" s="110">
        <f>'[9]FY2012 Variance by CATEGORY'!AZ115</f>
        <v>0</v>
      </c>
      <c r="K24" s="109">
        <f t="shared" si="1"/>
        <v>703338.43712000013</v>
      </c>
    </row>
    <row r="25" spans="1:11" ht="18" customHeight="1">
      <c r="A25" s="104" t="s">
        <v>79</v>
      </c>
      <c r="B25" s="95" t="s">
        <v>5</v>
      </c>
      <c r="F25" s="112">
        <f>'[9]FY2012 Variance by CATEGORY'!AW124</f>
        <v>384</v>
      </c>
      <c r="G25" s="112">
        <f>'[9]FY2012 Variance by CATEGORY'!AV124</f>
        <v>532</v>
      </c>
      <c r="H25" s="110">
        <f>'[9]FY2012 Variance by CATEGORY'!AX124</f>
        <v>14446</v>
      </c>
      <c r="I25" s="111">
        <f t="shared" si="0"/>
        <v>5893.9679999999998</v>
      </c>
      <c r="J25" s="110">
        <f>'[9]FY2012 Variance by CATEGORY'!AZ124</f>
        <v>0</v>
      </c>
      <c r="K25" s="109">
        <f t="shared" si="1"/>
        <v>20339.968000000001</v>
      </c>
    </row>
    <row r="26" spans="1:11" ht="18" customHeight="1">
      <c r="A26" s="104" t="s">
        <v>80</v>
      </c>
      <c r="B26" s="95" t="s">
        <v>45</v>
      </c>
      <c r="F26" s="112">
        <f>'[9]FY2012 Variance by CATEGORY'!AW126</f>
        <v>259</v>
      </c>
      <c r="G26" s="112">
        <f>'[9]FY2012 Variance by CATEGORY'!AV126</f>
        <v>1154</v>
      </c>
      <c r="H26" s="110">
        <f>'[9]FY2012 Variance by CATEGORY'!AX126</f>
        <v>22846.48</v>
      </c>
      <c r="I26" s="111">
        <f t="shared" si="0"/>
        <v>9321.36384</v>
      </c>
      <c r="J26" s="110">
        <f>'[9]FY2012 Variance by CATEGORY'!AZ126</f>
        <v>0</v>
      </c>
      <c r="K26" s="109">
        <f t="shared" si="1"/>
        <v>32167.843840000001</v>
      </c>
    </row>
    <row r="27" spans="1:11" ht="18" customHeight="1">
      <c r="A27" s="104" t="s">
        <v>81</v>
      </c>
      <c r="B27" s="95" t="s">
        <v>46</v>
      </c>
      <c r="F27" s="112">
        <v>0</v>
      </c>
      <c r="G27" s="112">
        <v>0</v>
      </c>
      <c r="H27" s="110">
        <v>0</v>
      </c>
      <c r="I27" s="111">
        <f t="shared" si="0"/>
        <v>0</v>
      </c>
      <c r="J27" s="110">
        <v>0</v>
      </c>
      <c r="K27" s="109">
        <f t="shared" si="1"/>
        <v>0</v>
      </c>
    </row>
    <row r="28" spans="1:11" ht="18" customHeight="1">
      <c r="A28" s="104" t="s">
        <v>82</v>
      </c>
      <c r="B28" s="95" t="s">
        <v>47</v>
      </c>
      <c r="F28" s="112">
        <f>'[9]FY2012 Variance by CATEGORY'!AW127</f>
        <v>14260</v>
      </c>
      <c r="G28" s="112">
        <f>'[9]FY2012 Variance by CATEGORY'!AV127</f>
        <v>2684</v>
      </c>
      <c r="H28" s="110">
        <f>'[9]FY2012 Variance by CATEGORY'!AX127</f>
        <v>687735.18</v>
      </c>
      <c r="I28" s="111">
        <f t="shared" si="0"/>
        <v>280595.95344000001</v>
      </c>
      <c r="J28" s="110">
        <f>'[9]FY2012 Variance by CATEGORY'!AZ127</f>
        <v>709765</v>
      </c>
      <c r="K28" s="109">
        <f t="shared" si="1"/>
        <v>258566.13344000001</v>
      </c>
    </row>
    <row r="29" spans="1:11" ht="18" customHeight="1">
      <c r="A29" s="104" t="s">
        <v>83</v>
      </c>
      <c r="B29" s="95" t="s">
        <v>48</v>
      </c>
      <c r="F29" s="112">
        <f>'[9]FY2012 Variance by CATEGORY'!AW153</f>
        <v>34305</v>
      </c>
      <c r="G29" s="112">
        <f>'[9]FY2012 Variance by CATEGORY'!AV153</f>
        <v>35980</v>
      </c>
      <c r="H29" s="110">
        <f>'[9]FY2012 Variance by CATEGORY'!AX153</f>
        <v>5159812.5200000005</v>
      </c>
      <c r="I29" s="111">
        <f>'[10]FY2012 Variance by CATEGORY'!$AY$153</f>
        <v>1465283.2521599999</v>
      </c>
      <c r="J29" s="110">
        <f>'[9]FY2012 Variance by CATEGORY'!AZ153</f>
        <v>87867</v>
      </c>
      <c r="K29" s="109">
        <f t="shared" si="1"/>
        <v>6537228.7721600002</v>
      </c>
    </row>
    <row r="30" spans="1:11" ht="18" customHeight="1">
      <c r="A30" s="104" t="s">
        <v>84</v>
      </c>
      <c r="B30" s="618" t="s">
        <v>338</v>
      </c>
      <c r="C30" s="619"/>
      <c r="D30" s="620"/>
      <c r="F30" s="112">
        <f>'[9]FY2012 Variance by CATEGORY'!AW167</f>
        <v>2615</v>
      </c>
      <c r="G30" s="112">
        <f>'[9]FY2012 Variance by CATEGORY'!AV167</f>
        <v>3420</v>
      </c>
      <c r="H30" s="110">
        <f>'[9]FY2012 Variance by CATEGORY'!AX167</f>
        <v>312544.16960000002</v>
      </c>
      <c r="I30" s="111">
        <f>H30*0.408</f>
        <v>127518.02119680001</v>
      </c>
      <c r="J30" s="110">
        <f>'[9]FY2012 Variance by CATEGORY'!AZ167</f>
        <v>0</v>
      </c>
      <c r="K30" s="109">
        <f t="shared" si="1"/>
        <v>440062.19079680002</v>
      </c>
    </row>
    <row r="31" spans="1:11" ht="18" customHeight="1">
      <c r="A31" s="104" t="s">
        <v>133</v>
      </c>
      <c r="B31" s="618"/>
      <c r="C31" s="619"/>
      <c r="D31" s="620"/>
      <c r="F31" s="112"/>
      <c r="G31" s="112"/>
      <c r="H31" s="110"/>
      <c r="I31" s="111">
        <f>H31*0.408</f>
        <v>0</v>
      </c>
      <c r="J31" s="110"/>
      <c r="K31" s="109">
        <f t="shared" si="1"/>
        <v>0</v>
      </c>
    </row>
    <row r="32" spans="1:11" ht="18" customHeight="1">
      <c r="A32" s="104" t="s">
        <v>134</v>
      </c>
      <c r="B32" s="157"/>
      <c r="C32" s="145"/>
      <c r="D32" s="144"/>
      <c r="F32" s="112"/>
      <c r="G32" s="156" t="s">
        <v>85</v>
      </c>
      <c r="H32" s="110"/>
      <c r="I32" s="111">
        <f>H32*0.408</f>
        <v>0</v>
      </c>
      <c r="J32" s="110"/>
      <c r="K32" s="109">
        <f t="shared" si="1"/>
        <v>0</v>
      </c>
    </row>
    <row r="33" spans="1:11" ht="18" customHeight="1">
      <c r="A33" s="104" t="s">
        <v>135</v>
      </c>
      <c r="B33" s="157"/>
      <c r="C33" s="145"/>
      <c r="D33" s="144"/>
      <c r="F33" s="112"/>
      <c r="G33" s="156" t="s">
        <v>85</v>
      </c>
      <c r="H33" s="110"/>
      <c r="I33" s="111">
        <f>H33*0.408</f>
        <v>0</v>
      </c>
      <c r="J33" s="110"/>
      <c r="K33" s="109">
        <f t="shared" si="1"/>
        <v>0</v>
      </c>
    </row>
    <row r="34" spans="1:11" ht="18" customHeight="1">
      <c r="A34" s="104" t="s">
        <v>136</v>
      </c>
      <c r="B34" s="618"/>
      <c r="C34" s="619"/>
      <c r="D34" s="620"/>
      <c r="F34" s="112"/>
      <c r="G34" s="156" t="s">
        <v>85</v>
      </c>
      <c r="H34" s="110"/>
      <c r="I34" s="111">
        <f>H34*0.408</f>
        <v>0</v>
      </c>
      <c r="J34" s="110"/>
      <c r="K34" s="109">
        <f t="shared" si="1"/>
        <v>0</v>
      </c>
    </row>
    <row r="35" spans="1:11" ht="18" customHeight="1">
      <c r="K35" s="155"/>
    </row>
    <row r="36" spans="1:11" ht="18" customHeight="1">
      <c r="A36" s="99" t="s">
        <v>137</v>
      </c>
      <c r="B36" s="97" t="s">
        <v>138</v>
      </c>
      <c r="E36" s="97" t="s">
        <v>7</v>
      </c>
      <c r="F36" s="102">
        <f t="shared" ref="F36:K36" si="2">SUM(F21:F34)</f>
        <v>72655</v>
      </c>
      <c r="G36" s="102">
        <f t="shared" si="2"/>
        <v>10540872</v>
      </c>
      <c r="H36" s="102">
        <f t="shared" si="2"/>
        <v>7884304.3096000003</v>
      </c>
      <c r="I36" s="109">
        <f t="shared" si="2"/>
        <v>2576875.9023167999</v>
      </c>
      <c r="J36" s="109">
        <f t="shared" si="2"/>
        <v>976561</v>
      </c>
      <c r="K36" s="109">
        <f t="shared" si="2"/>
        <v>9484619.2119168006</v>
      </c>
    </row>
    <row r="37" spans="1:11" ht="18" customHeight="1" thickBot="1">
      <c r="B37" s="97"/>
      <c r="F37" s="154"/>
      <c r="G37" s="154"/>
      <c r="H37" s="153"/>
      <c r="I37" s="153"/>
      <c r="J37" s="153"/>
      <c r="K37" s="152"/>
    </row>
    <row r="38" spans="1:11" ht="42.75" customHeight="1">
      <c r="F38" s="108" t="s">
        <v>9</v>
      </c>
      <c r="G38" s="108" t="s">
        <v>37</v>
      </c>
      <c r="H38" s="108" t="s">
        <v>29</v>
      </c>
      <c r="I38" s="108" t="s">
        <v>30</v>
      </c>
      <c r="J38" s="108" t="s">
        <v>33</v>
      </c>
      <c r="K38" s="108" t="s">
        <v>34</v>
      </c>
    </row>
    <row r="39" spans="1:11" ht="18.75" customHeight="1">
      <c r="A39" s="99" t="s">
        <v>86</v>
      </c>
      <c r="B39" s="97" t="s">
        <v>49</v>
      </c>
    </row>
    <row r="40" spans="1:11" ht="18" customHeight="1">
      <c r="A40" s="104" t="s">
        <v>87</v>
      </c>
      <c r="B40" s="95" t="s">
        <v>31</v>
      </c>
      <c r="F40" s="112">
        <f>'[9]Fran_Marty Section B_Financials'!F40</f>
        <v>1760512.0000000002</v>
      </c>
      <c r="G40" s="112">
        <f>'[9]Fran_Marty Section B_Financials'!G40</f>
        <v>846.40000000000009</v>
      </c>
      <c r="H40" s="110">
        <f>'[9]Fran_Marty Section B_Financials'!H40</f>
        <v>97729400</v>
      </c>
      <c r="I40" s="111">
        <v>0</v>
      </c>
      <c r="J40" s="110">
        <f>'[9]Fran_Marty Section B_Financials'!J40</f>
        <v>0</v>
      </c>
      <c r="K40" s="109">
        <f t="shared" ref="K40:K47" si="3">(H40+I40)-J40</f>
        <v>97729400</v>
      </c>
    </row>
    <row r="41" spans="1:11" ht="18" customHeight="1">
      <c r="A41" s="104" t="s">
        <v>88</v>
      </c>
      <c r="B41" s="598" t="s">
        <v>50</v>
      </c>
      <c r="C41" s="599"/>
      <c r="F41" s="112">
        <f>'[9]Fran_Marty Section B_Financials'!F41</f>
        <v>35194</v>
      </c>
      <c r="G41" s="112">
        <f>'[9]Fran_Marty Section B_Financials'!G41</f>
        <v>311</v>
      </c>
      <c r="H41" s="110">
        <f>'[9]Fran_Marty Section B_Financials'!H41</f>
        <v>1785010</v>
      </c>
      <c r="I41" s="111">
        <v>0</v>
      </c>
      <c r="J41" s="110">
        <f>'[9]Fran_Marty Section B_Financials'!J41</f>
        <v>0</v>
      </c>
      <c r="K41" s="109">
        <f t="shared" si="3"/>
        <v>1785010</v>
      </c>
    </row>
    <row r="42" spans="1:11" ht="18" customHeight="1">
      <c r="A42" s="104" t="s">
        <v>89</v>
      </c>
      <c r="B42" s="114" t="s">
        <v>11</v>
      </c>
      <c r="F42" s="112">
        <f>'[9]Fran_Marty Section B_Financials'!F42</f>
        <v>68681.600000000006</v>
      </c>
      <c r="G42" s="112">
        <f>'[9]Fran_Marty Section B_Financials'!G42</f>
        <v>179</v>
      </c>
      <c r="H42" s="110">
        <f>'[9]Fran_Marty Section B_Financials'!H42</f>
        <v>2557455</v>
      </c>
      <c r="I42" s="111">
        <v>0</v>
      </c>
      <c r="J42" s="110">
        <f>'[9]Fran_Marty Section B_Financials'!J42</f>
        <v>0</v>
      </c>
      <c r="K42" s="109">
        <f t="shared" si="3"/>
        <v>2557455</v>
      </c>
    </row>
    <row r="43" spans="1:11" ht="18" customHeight="1">
      <c r="A43" s="104" t="s">
        <v>90</v>
      </c>
      <c r="B43" s="151" t="s">
        <v>10</v>
      </c>
      <c r="C43" s="117"/>
      <c r="D43" s="117"/>
      <c r="F43" s="112">
        <f>'[9]Fran_Marty Section B_Financials'!F43</f>
        <v>0</v>
      </c>
      <c r="G43" s="112">
        <f>'[9]Fran_Marty Section B_Financials'!G43</f>
        <v>0</v>
      </c>
      <c r="H43" s="110">
        <f>'[9]Fran_Marty Section B_Financials'!H43</f>
        <v>1728831</v>
      </c>
      <c r="I43" s="111">
        <v>0</v>
      </c>
      <c r="J43" s="110">
        <f>'[9]Fran_Marty Section B_Financials'!J43</f>
        <v>0</v>
      </c>
      <c r="K43" s="109">
        <f t="shared" si="3"/>
        <v>1728831</v>
      </c>
    </row>
    <row r="44" spans="1:11" ht="18" customHeight="1">
      <c r="A44" s="104" t="s">
        <v>91</v>
      </c>
      <c r="B44" s="618" t="s">
        <v>337</v>
      </c>
      <c r="C44" s="619"/>
      <c r="D44" s="620"/>
      <c r="F44" s="149">
        <f>'[9]FY2012 Variance by CATEGORY'!AW180</f>
        <v>81474</v>
      </c>
      <c r="G44" s="149">
        <f>'[9]FY2012 Variance by CATEGORY'!AV180</f>
        <v>146</v>
      </c>
      <c r="H44" s="149">
        <f>'[9]FY2012 Variance by CATEGORY'!AX180</f>
        <v>2435818.98</v>
      </c>
      <c r="I44" s="150">
        <v>0</v>
      </c>
      <c r="J44" s="110">
        <f>'[9]Fran_Marty Section B_Financials'!J44</f>
        <v>0</v>
      </c>
      <c r="K44" s="148">
        <f t="shared" si="3"/>
        <v>2435818.98</v>
      </c>
    </row>
    <row r="45" spans="1:11" ht="18" customHeight="1">
      <c r="A45" s="104" t="s">
        <v>139</v>
      </c>
      <c r="B45" s="618"/>
      <c r="C45" s="619"/>
      <c r="D45" s="620"/>
      <c r="F45" s="112"/>
      <c r="G45" s="112"/>
      <c r="H45" s="110"/>
      <c r="I45" s="111">
        <v>0</v>
      </c>
      <c r="J45" s="110"/>
      <c r="K45" s="109">
        <f t="shared" si="3"/>
        <v>0</v>
      </c>
    </row>
    <row r="46" spans="1:11" ht="18" customHeight="1">
      <c r="A46" s="104" t="s">
        <v>140</v>
      </c>
      <c r="B46" s="618"/>
      <c r="C46" s="619"/>
      <c r="D46" s="620"/>
      <c r="F46" s="112"/>
      <c r="G46" s="112"/>
      <c r="H46" s="110"/>
      <c r="I46" s="111">
        <v>0</v>
      </c>
      <c r="J46" s="110"/>
      <c r="K46" s="109">
        <f t="shared" si="3"/>
        <v>0</v>
      </c>
    </row>
    <row r="47" spans="1:11" ht="18" customHeight="1">
      <c r="A47" s="104" t="s">
        <v>141</v>
      </c>
      <c r="B47" s="618"/>
      <c r="C47" s="619"/>
      <c r="D47" s="620"/>
      <c r="F47" s="112"/>
      <c r="G47" s="112"/>
      <c r="H47" s="110"/>
      <c r="I47" s="111">
        <v>0</v>
      </c>
      <c r="J47" s="110"/>
      <c r="K47" s="109">
        <f t="shared" si="3"/>
        <v>0</v>
      </c>
    </row>
    <row r="49" spans="1:11" ht="18" customHeight="1">
      <c r="A49" s="99" t="s">
        <v>142</v>
      </c>
      <c r="B49" s="97" t="s">
        <v>143</v>
      </c>
      <c r="E49" s="97" t="s">
        <v>7</v>
      </c>
      <c r="F49" s="147">
        <f t="shared" ref="F49:K49" si="4">SUM(F40:F47)</f>
        <v>1945861.6000000003</v>
      </c>
      <c r="G49" s="147">
        <f t="shared" si="4"/>
        <v>1482.4</v>
      </c>
      <c r="H49" s="109">
        <f t="shared" si="4"/>
        <v>106236514.98</v>
      </c>
      <c r="I49" s="109">
        <f t="shared" si="4"/>
        <v>0</v>
      </c>
      <c r="J49" s="109">
        <f t="shared" si="4"/>
        <v>0</v>
      </c>
      <c r="K49" s="109">
        <f t="shared" si="4"/>
        <v>106236514.98</v>
      </c>
    </row>
    <row r="50" spans="1:11" ht="18" customHeight="1" thickBot="1">
      <c r="G50" s="118"/>
      <c r="H50" s="118"/>
      <c r="I50" s="118"/>
      <c r="J50" s="118"/>
      <c r="K50" s="118"/>
    </row>
    <row r="51" spans="1:11" ht="42.75" customHeight="1">
      <c r="F51" s="108" t="s">
        <v>9</v>
      </c>
      <c r="G51" s="108" t="s">
        <v>37</v>
      </c>
      <c r="H51" s="108" t="s">
        <v>29</v>
      </c>
      <c r="I51" s="108" t="s">
        <v>30</v>
      </c>
      <c r="J51" s="108" t="s">
        <v>33</v>
      </c>
      <c r="K51" s="108" t="s">
        <v>34</v>
      </c>
    </row>
    <row r="52" spans="1:11" ht="18" customHeight="1">
      <c r="A52" s="99" t="s">
        <v>92</v>
      </c>
      <c r="B52" s="621" t="s">
        <v>38</v>
      </c>
      <c r="C52" s="622"/>
    </row>
    <row r="53" spans="1:11" ht="18" customHeight="1">
      <c r="A53" s="104" t="s">
        <v>51</v>
      </c>
      <c r="B53" s="623" t="s">
        <v>336</v>
      </c>
      <c r="C53" s="624"/>
      <c r="D53" s="625"/>
      <c r="F53" s="112">
        <f>'[9]FY2012 Variance by CATEGORY'!AW181</f>
        <v>6057</v>
      </c>
      <c r="G53" s="112">
        <f>'[9]FY2012 Variance by CATEGORY'!AV181</f>
        <v>2938</v>
      </c>
      <c r="H53" s="110">
        <f>'[9]FY2012 Variance by CATEGORY'!AX181</f>
        <v>273818.96000000002</v>
      </c>
      <c r="I53" s="111">
        <v>0</v>
      </c>
      <c r="J53" s="110">
        <f>'[9]FY2012 Variance by CATEGORY'!AZ181</f>
        <v>272605</v>
      </c>
      <c r="K53" s="109">
        <f t="shared" ref="K53:K62" si="5">(H53+I53)-J53</f>
        <v>1213.960000000021</v>
      </c>
    </row>
    <row r="54" spans="1:11" ht="18" customHeight="1">
      <c r="A54" s="104" t="s">
        <v>93</v>
      </c>
      <c r="B54" s="139" t="s">
        <v>335</v>
      </c>
      <c r="C54" s="138"/>
      <c r="D54" s="137"/>
      <c r="F54" s="112">
        <f>'[9]FY2012 Variance by CATEGORY'!AW182</f>
        <v>21588</v>
      </c>
      <c r="G54" s="112">
        <f>'[9]FY2012 Variance by CATEGORY'!AV182</f>
        <v>4529</v>
      </c>
      <c r="H54" s="110">
        <f>'[9]FY2012 Variance by CATEGORY'!AX182</f>
        <v>575068.54</v>
      </c>
      <c r="I54" s="111">
        <v>0</v>
      </c>
      <c r="J54" s="110">
        <f>'[9]FY2012 Variance by CATEGORY'!AZ182</f>
        <v>0</v>
      </c>
      <c r="K54" s="109">
        <f t="shared" si="5"/>
        <v>575068.54</v>
      </c>
    </row>
    <row r="55" spans="1:11" ht="18" customHeight="1">
      <c r="A55" s="104" t="s">
        <v>94</v>
      </c>
      <c r="B55" s="626" t="s">
        <v>334</v>
      </c>
      <c r="C55" s="627"/>
      <c r="D55" s="625"/>
      <c r="F55" s="112">
        <f>'[9]FY2012 Variance by CATEGORY'!AW183</f>
        <v>7179</v>
      </c>
      <c r="G55" s="112">
        <f>'[9]FY2012 Variance by CATEGORY'!AV183</f>
        <v>5995</v>
      </c>
      <c r="H55" s="110">
        <f>'[9]FY2012 Variance by CATEGORY'!AX183</f>
        <v>316610.56</v>
      </c>
      <c r="I55" s="111">
        <v>0</v>
      </c>
      <c r="J55" s="110">
        <f>'[9]FY2012 Variance by CATEGORY'!AZ183</f>
        <v>0</v>
      </c>
      <c r="K55" s="109">
        <f t="shared" si="5"/>
        <v>316610.56</v>
      </c>
    </row>
    <row r="56" spans="1:11" ht="18" customHeight="1">
      <c r="A56" s="104" t="s">
        <v>95</v>
      </c>
      <c r="B56" s="626" t="s">
        <v>333</v>
      </c>
      <c r="C56" s="627"/>
      <c r="D56" s="625"/>
      <c r="F56" s="112" t="s">
        <v>740</v>
      </c>
      <c r="G56" s="112">
        <f>'[9]FY2012 Variance by CATEGORY'!AV184</f>
        <v>1607</v>
      </c>
      <c r="H56" s="110">
        <f>'[9]FY2012 Variance by CATEGORY'!AX184</f>
        <v>387069.76</v>
      </c>
      <c r="I56" s="111">
        <v>0</v>
      </c>
      <c r="J56" s="110">
        <f>'[9]FY2012 Variance by CATEGORY'!AZ184</f>
        <v>0</v>
      </c>
      <c r="K56" s="109">
        <f t="shared" si="5"/>
        <v>387069.76</v>
      </c>
    </row>
    <row r="57" spans="1:11" ht="18" customHeight="1">
      <c r="A57" s="104" t="s">
        <v>96</v>
      </c>
      <c r="B57" s="626" t="s">
        <v>332</v>
      </c>
      <c r="C57" s="627"/>
      <c r="D57" s="625"/>
      <c r="F57" s="112">
        <f>'[9]FY2012 Variance by CATEGORY'!AW185</f>
        <v>2140</v>
      </c>
      <c r="G57" s="112">
        <f>'[9]FY2012 Variance by CATEGORY'!AV185</f>
        <v>1313</v>
      </c>
      <c r="H57" s="110">
        <f>'[9]FY2012 Variance by CATEGORY'!AX185</f>
        <v>42738.42</v>
      </c>
      <c r="I57" s="111">
        <v>0</v>
      </c>
      <c r="J57" s="110">
        <f>'[9]FY2012 Variance by CATEGORY'!AZ185</f>
        <v>0</v>
      </c>
      <c r="K57" s="109">
        <f t="shared" si="5"/>
        <v>42738.42</v>
      </c>
    </row>
    <row r="58" spans="1:11" ht="18" customHeight="1">
      <c r="A58" s="104" t="s">
        <v>97</v>
      </c>
      <c r="B58" s="139" t="s">
        <v>331</v>
      </c>
      <c r="C58" s="138"/>
      <c r="D58" s="137"/>
      <c r="F58" s="112">
        <f>'[9]FY2012 Variance by CATEGORY'!AW186</f>
        <v>4372</v>
      </c>
      <c r="G58" s="112">
        <f>'[9]FY2012 Variance by CATEGORY'!AV186</f>
        <v>1221</v>
      </c>
      <c r="H58" s="110">
        <f>'[9]FY2012 Variance by CATEGORY'!AX186</f>
        <v>119235</v>
      </c>
      <c r="I58" s="111">
        <v>0</v>
      </c>
      <c r="J58" s="110">
        <f>'[9]FY2012 Variance by CATEGORY'!AZ186</f>
        <v>0</v>
      </c>
      <c r="K58" s="109">
        <f t="shared" si="5"/>
        <v>119235</v>
      </c>
    </row>
    <row r="59" spans="1:11" ht="18" customHeight="1">
      <c r="A59" s="104" t="s">
        <v>98</v>
      </c>
      <c r="B59" s="626" t="s">
        <v>330</v>
      </c>
      <c r="C59" s="627"/>
      <c r="D59" s="625"/>
      <c r="F59" s="112">
        <f>'[9]FY2012 Variance by CATEGORY'!AW187</f>
        <v>8025</v>
      </c>
      <c r="G59" s="112">
        <f>'[9]FY2012 Variance by CATEGORY'!AV187</f>
        <v>1548</v>
      </c>
      <c r="H59" s="110">
        <f>'[9]FY2012 Variance by CATEGORY'!AX187</f>
        <v>225065</v>
      </c>
      <c r="I59" s="111">
        <v>0</v>
      </c>
      <c r="J59" s="110">
        <f>'[9]FY2012 Variance by CATEGORY'!AZ187</f>
        <v>0</v>
      </c>
      <c r="K59" s="109">
        <f t="shared" si="5"/>
        <v>225065</v>
      </c>
    </row>
    <row r="60" spans="1:11" ht="18" customHeight="1">
      <c r="A60" s="104" t="s">
        <v>99</v>
      </c>
      <c r="B60" s="139" t="s">
        <v>329</v>
      </c>
      <c r="C60" s="138"/>
      <c r="D60" s="137"/>
      <c r="F60" s="112">
        <f>'[9]FY2012 Variance by CATEGORY'!AW188</f>
        <v>1019</v>
      </c>
      <c r="G60" s="112">
        <f>'[9]FY2012 Variance by CATEGORY'!AV188</f>
        <v>11241</v>
      </c>
      <c r="H60" s="110">
        <f>'[9]FY2012 Variance by CATEGORY'!AX188</f>
        <v>529621</v>
      </c>
      <c r="I60" s="111">
        <v>0</v>
      </c>
      <c r="J60" s="110">
        <f>'[9]FY2012 Variance by CATEGORY'!AZ188</f>
        <v>0</v>
      </c>
      <c r="K60" s="109">
        <f t="shared" si="5"/>
        <v>529621</v>
      </c>
    </row>
    <row r="61" spans="1:11" ht="18" customHeight="1">
      <c r="A61" s="104" t="s">
        <v>100</v>
      </c>
      <c r="B61" s="139" t="s">
        <v>328</v>
      </c>
      <c r="C61" s="138"/>
      <c r="D61" s="137"/>
      <c r="F61" s="112">
        <f>'[9]FY2012 Variance by CATEGORY'!AW189</f>
        <v>341</v>
      </c>
      <c r="G61" s="112">
        <f>'[9]FY2012 Variance by CATEGORY'!AV189</f>
        <v>819</v>
      </c>
      <c r="H61" s="110">
        <f>'[9]FY2012 Variance by CATEGORY'!AX189</f>
        <v>54193</v>
      </c>
      <c r="I61" s="111">
        <v>0</v>
      </c>
      <c r="J61" s="110">
        <f>'[9]FY2012 Variance by CATEGORY'!AZ189</f>
        <v>0</v>
      </c>
      <c r="K61" s="109">
        <f t="shared" si="5"/>
        <v>54193</v>
      </c>
    </row>
    <row r="62" spans="1:11" ht="18" customHeight="1">
      <c r="A62" s="104" t="s">
        <v>101</v>
      </c>
      <c r="B62" s="626" t="s">
        <v>327</v>
      </c>
      <c r="C62" s="627"/>
      <c r="D62" s="625"/>
      <c r="F62" s="112">
        <f>'[9]FY2012 Variance by CATEGORY'!AW230</f>
        <v>122880.5</v>
      </c>
      <c r="G62" s="112">
        <f>'[9]FY2012 Variance by CATEGORY'!AV230</f>
        <v>54143</v>
      </c>
      <c r="H62" s="110">
        <f>'[9]FY2012 Variance by CATEGORY'!AX230</f>
        <v>17555533.5</v>
      </c>
      <c r="I62" s="111">
        <v>0</v>
      </c>
      <c r="J62" s="110">
        <f>'[9]FY2012 Variance by CATEGORY'!AZ230</f>
        <v>544233</v>
      </c>
      <c r="K62" s="109">
        <f t="shared" si="5"/>
        <v>17011300.5</v>
      </c>
    </row>
    <row r="63" spans="1:11" ht="18" customHeight="1">
      <c r="A63" s="104"/>
      <c r="I63" s="143"/>
    </row>
    <row r="64" spans="1:11" ht="18" customHeight="1">
      <c r="A64" s="104" t="s">
        <v>144</v>
      </c>
      <c r="B64" s="97" t="s">
        <v>145</v>
      </c>
      <c r="E64" s="97" t="s">
        <v>7</v>
      </c>
      <c r="F64" s="102">
        <f t="shared" ref="F64:K64" si="6">SUM(F53:F62)</f>
        <v>173601.5</v>
      </c>
      <c r="G64" s="102">
        <f t="shared" si="6"/>
        <v>85354</v>
      </c>
      <c r="H64" s="109">
        <f t="shared" si="6"/>
        <v>20078953.740000002</v>
      </c>
      <c r="I64" s="109">
        <f t="shared" si="6"/>
        <v>0</v>
      </c>
      <c r="J64" s="109">
        <f t="shared" si="6"/>
        <v>816838</v>
      </c>
      <c r="K64" s="109">
        <f t="shared" si="6"/>
        <v>19262115.740000002</v>
      </c>
    </row>
    <row r="65" spans="1:11" ht="18" customHeight="1">
      <c r="F65" s="101"/>
      <c r="G65" s="101"/>
      <c r="H65" s="101"/>
      <c r="I65" s="101"/>
      <c r="J65" s="101"/>
      <c r="K65" s="101"/>
    </row>
    <row r="66" spans="1:11" ht="42.75" customHeight="1">
      <c r="F66" s="142" t="s">
        <v>9</v>
      </c>
      <c r="G66" s="142" t="s">
        <v>37</v>
      </c>
      <c r="H66" s="142" t="s">
        <v>29</v>
      </c>
      <c r="I66" s="142" t="s">
        <v>30</v>
      </c>
      <c r="J66" s="142" t="s">
        <v>33</v>
      </c>
      <c r="K66" s="142" t="s">
        <v>34</v>
      </c>
    </row>
    <row r="67" spans="1:11" ht="18" customHeight="1">
      <c r="A67" s="99" t="s">
        <v>102</v>
      </c>
      <c r="B67" s="97" t="s">
        <v>12</v>
      </c>
      <c r="F67" s="141"/>
      <c r="G67" s="141"/>
      <c r="H67" s="141"/>
      <c r="I67" s="130"/>
      <c r="J67" s="141"/>
      <c r="K67" s="128"/>
    </row>
    <row r="68" spans="1:11" ht="18" customHeight="1">
      <c r="A68" s="104" t="s">
        <v>103</v>
      </c>
      <c r="B68" s="95" t="s">
        <v>52</v>
      </c>
      <c r="F68" s="140">
        <v>0</v>
      </c>
      <c r="G68" s="140">
        <v>0</v>
      </c>
      <c r="H68" s="140">
        <v>0</v>
      </c>
      <c r="I68" s="111">
        <v>0</v>
      </c>
      <c r="J68" s="140">
        <v>0</v>
      </c>
      <c r="K68" s="109">
        <f>(H68+I68)-J68</f>
        <v>0</v>
      </c>
    </row>
    <row r="69" spans="1:11" ht="18" customHeight="1">
      <c r="A69" s="104" t="s">
        <v>104</v>
      </c>
      <c r="B69" s="114" t="s">
        <v>53</v>
      </c>
      <c r="F69" s="163">
        <f>'[9]FY2012 Variance by CATEGORY'!AW231</f>
        <v>0</v>
      </c>
      <c r="G69" s="163">
        <f>'[9]FY2012 Variance by CATEGORY'!AV231</f>
        <v>0</v>
      </c>
      <c r="H69" s="163">
        <f>'[9]FY2012 Variance by CATEGORY'!AX231</f>
        <v>75000</v>
      </c>
      <c r="I69" s="111">
        <v>0</v>
      </c>
      <c r="J69" s="163">
        <f>'[9]FY2012 Variance by CATEGORY'!AZ231</f>
        <v>0</v>
      </c>
      <c r="K69" s="109">
        <f>(H69+I69)-J69</f>
        <v>75000</v>
      </c>
    </row>
    <row r="70" spans="1:11" ht="18" customHeight="1">
      <c r="A70" s="104" t="s">
        <v>178</v>
      </c>
      <c r="B70" s="139"/>
      <c r="C70" s="138"/>
      <c r="D70" s="137"/>
      <c r="E70" s="97"/>
      <c r="F70" s="136"/>
      <c r="G70" s="136"/>
      <c r="H70" s="135"/>
      <c r="I70" s="111">
        <v>0</v>
      </c>
      <c r="J70" s="135"/>
      <c r="K70" s="109">
        <f>(H70+I70)-J70</f>
        <v>0</v>
      </c>
    </row>
    <row r="71" spans="1:11" ht="18" customHeight="1">
      <c r="A71" s="104" t="s">
        <v>179</v>
      </c>
      <c r="B71" s="139"/>
      <c r="C71" s="138"/>
      <c r="D71" s="137"/>
      <c r="E71" s="97"/>
      <c r="F71" s="136"/>
      <c r="G71" s="136"/>
      <c r="H71" s="135"/>
      <c r="I71" s="111">
        <v>0</v>
      </c>
      <c r="J71" s="135"/>
      <c r="K71" s="109">
        <f>(H71+I71)-J71</f>
        <v>0</v>
      </c>
    </row>
    <row r="72" spans="1:11" ht="18" customHeight="1">
      <c r="A72" s="104" t="s">
        <v>180</v>
      </c>
      <c r="B72" s="134"/>
      <c r="C72" s="133"/>
      <c r="D72" s="132"/>
      <c r="E72" s="97"/>
      <c r="F72" s="112"/>
      <c r="G72" s="112"/>
      <c r="H72" s="110"/>
      <c r="I72" s="111">
        <v>0</v>
      </c>
      <c r="J72" s="110"/>
      <c r="K72" s="109">
        <f>(H72+I72)-J72</f>
        <v>0</v>
      </c>
    </row>
    <row r="73" spans="1:11" ht="18" customHeight="1">
      <c r="A73" s="104"/>
      <c r="B73" s="114"/>
      <c r="E73" s="97"/>
      <c r="F73" s="131"/>
      <c r="G73" s="131"/>
      <c r="H73" s="129"/>
      <c r="I73" s="130"/>
      <c r="J73" s="129"/>
      <c r="K73" s="128"/>
    </row>
    <row r="74" spans="1:11" ht="18" customHeight="1">
      <c r="A74" s="99" t="s">
        <v>146</v>
      </c>
      <c r="B74" s="97" t="s">
        <v>147</v>
      </c>
      <c r="E74" s="97" t="s">
        <v>7</v>
      </c>
      <c r="F74" s="125">
        <f t="shared" ref="F74:K74" si="7">SUM(F68:F72)</f>
        <v>0</v>
      </c>
      <c r="G74" s="125">
        <f t="shared" si="7"/>
        <v>0</v>
      </c>
      <c r="H74" s="125">
        <f t="shared" si="7"/>
        <v>75000</v>
      </c>
      <c r="I74" s="127">
        <f t="shared" si="7"/>
        <v>0</v>
      </c>
      <c r="J74" s="125">
        <f t="shared" si="7"/>
        <v>0</v>
      </c>
      <c r="K74" s="113">
        <f t="shared" si="7"/>
        <v>75000</v>
      </c>
    </row>
    <row r="75" spans="1:11" ht="42.75" customHeight="1">
      <c r="F75" s="108" t="s">
        <v>9</v>
      </c>
      <c r="G75" s="108" t="s">
        <v>37</v>
      </c>
      <c r="H75" s="108" t="s">
        <v>29</v>
      </c>
      <c r="I75" s="108" t="s">
        <v>30</v>
      </c>
      <c r="J75" s="108" t="s">
        <v>33</v>
      </c>
      <c r="K75" s="108" t="s">
        <v>34</v>
      </c>
    </row>
    <row r="76" spans="1:11" ht="18" customHeight="1">
      <c r="A76" s="99" t="s">
        <v>105</v>
      </c>
      <c r="B76" s="97" t="s">
        <v>106</v>
      </c>
    </row>
    <row r="77" spans="1:11" ht="18" customHeight="1">
      <c r="A77" s="104" t="s">
        <v>107</v>
      </c>
      <c r="B77" s="114" t="s">
        <v>54</v>
      </c>
      <c r="F77" s="112">
        <f>'[9]FY2012 Variance by CATEGORY'!AW259</f>
        <v>685</v>
      </c>
      <c r="G77" s="112">
        <f>'[9]FY2012 Variance by CATEGORY'!AV259</f>
        <v>1667</v>
      </c>
      <c r="H77" s="110">
        <f>'[9]FY2012 Variance by CATEGORY'!AX259</f>
        <v>832713.4800000001</v>
      </c>
      <c r="I77" s="111">
        <v>0</v>
      </c>
      <c r="J77" s="110">
        <f>'[9]FY2012 Variance by CATEGORY'!AZ259</f>
        <v>0</v>
      </c>
      <c r="K77" s="109">
        <f>(H77+I77)-J77</f>
        <v>832713.4800000001</v>
      </c>
    </row>
    <row r="78" spans="1:11" ht="18" customHeight="1">
      <c r="A78" s="104" t="s">
        <v>108</v>
      </c>
      <c r="B78" s="114" t="s">
        <v>55</v>
      </c>
      <c r="F78" s="112">
        <v>0</v>
      </c>
      <c r="G78" s="112">
        <v>0</v>
      </c>
      <c r="H78" s="110">
        <v>0</v>
      </c>
      <c r="I78" s="111">
        <v>0</v>
      </c>
      <c r="J78" s="110">
        <v>0</v>
      </c>
      <c r="K78" s="109">
        <f>(H78+I78)-J78</f>
        <v>0</v>
      </c>
    </row>
    <row r="79" spans="1:11" ht="18" customHeight="1">
      <c r="A79" s="104" t="s">
        <v>109</v>
      </c>
      <c r="B79" s="114" t="s">
        <v>13</v>
      </c>
      <c r="F79" s="112">
        <f>'[9]FY2012 Variance by CATEGORY'!AW273</f>
        <v>904</v>
      </c>
      <c r="G79" s="112">
        <f>'[9]FY2012 Variance by CATEGORY'!AV273</f>
        <v>2797</v>
      </c>
      <c r="H79" s="110">
        <f>'[9]FY2012 Variance by CATEGORY'!AX273</f>
        <v>106908.56000000001</v>
      </c>
      <c r="I79" s="111">
        <v>0</v>
      </c>
      <c r="J79" s="110">
        <f>'[9]FY2012 Variance by CATEGORY'!AZ273</f>
        <v>1635</v>
      </c>
      <c r="K79" s="109">
        <f>(H79+I79)-J79</f>
        <v>105273.56000000001</v>
      </c>
    </row>
    <row r="80" spans="1:11" ht="18" customHeight="1">
      <c r="A80" s="104" t="s">
        <v>110</v>
      </c>
      <c r="B80" s="114" t="s">
        <v>56</v>
      </c>
      <c r="F80" s="112">
        <f>'[9]FY2012 Variance by CATEGORY'!AW274</f>
        <v>402</v>
      </c>
      <c r="G80" s="112">
        <f>'[9]FY2012 Variance by CATEGORY'!AV274</f>
        <v>0</v>
      </c>
      <c r="H80" s="110">
        <f>'[9]FY2012 Variance by CATEGORY'!AX274</f>
        <v>112343</v>
      </c>
      <c r="I80" s="111">
        <f>H80*0.1569</f>
        <v>17626.616700000002</v>
      </c>
      <c r="J80" s="110">
        <f>'[9]FY2012 Variance by CATEGORY'!AZ274</f>
        <v>0</v>
      </c>
      <c r="K80" s="109">
        <f>(H80+I80)-J80</f>
        <v>129969.6167</v>
      </c>
    </row>
    <row r="81" spans="1:11" ht="18" customHeight="1">
      <c r="A81" s="104"/>
      <c r="K81" s="126"/>
    </row>
    <row r="82" spans="1:11" ht="18" customHeight="1">
      <c r="A82" s="104" t="s">
        <v>148</v>
      </c>
      <c r="B82" s="97" t="s">
        <v>149</v>
      </c>
      <c r="E82" s="97" t="s">
        <v>7</v>
      </c>
      <c r="F82" s="125">
        <f t="shared" ref="F82:K82" si="8">SUM(F77:F80)</f>
        <v>1991</v>
      </c>
      <c r="G82" s="125">
        <f t="shared" si="8"/>
        <v>4464</v>
      </c>
      <c r="H82" s="113">
        <f t="shared" si="8"/>
        <v>1051965.04</v>
      </c>
      <c r="I82" s="113">
        <f t="shared" si="8"/>
        <v>17626.616700000002</v>
      </c>
      <c r="J82" s="113">
        <f t="shared" si="8"/>
        <v>1635</v>
      </c>
      <c r="K82" s="113">
        <f t="shared" si="8"/>
        <v>1067956.6567000002</v>
      </c>
    </row>
    <row r="83" spans="1:11" ht="18" customHeight="1" thickBot="1">
      <c r="A83" s="104"/>
      <c r="F83" s="118"/>
      <c r="G83" s="118"/>
      <c r="H83" s="118"/>
      <c r="I83" s="118"/>
      <c r="J83" s="118"/>
      <c r="K83" s="118"/>
    </row>
    <row r="84" spans="1:11" ht="42.75" customHeight="1">
      <c r="F84" s="108" t="s">
        <v>9</v>
      </c>
      <c r="G84" s="108" t="s">
        <v>37</v>
      </c>
      <c r="H84" s="108" t="s">
        <v>29</v>
      </c>
      <c r="I84" s="108" t="s">
        <v>30</v>
      </c>
      <c r="J84" s="108" t="s">
        <v>33</v>
      </c>
      <c r="K84" s="108" t="s">
        <v>34</v>
      </c>
    </row>
    <row r="85" spans="1:11" ht="18" customHeight="1">
      <c r="A85" s="99" t="s">
        <v>111</v>
      </c>
      <c r="B85" s="97" t="s">
        <v>57</v>
      </c>
    </row>
    <row r="86" spans="1:11" ht="18" customHeight="1">
      <c r="A86" s="104" t="s">
        <v>112</v>
      </c>
      <c r="B86" s="114" t="s">
        <v>113</v>
      </c>
      <c r="F86" s="112">
        <f>'[9]FY2012 Variance by CATEGORY'!AW276</f>
        <v>15</v>
      </c>
      <c r="G86" s="112">
        <f>'[9]FY2012 Variance by CATEGORY'!AV276</f>
        <v>112</v>
      </c>
      <c r="H86" s="110">
        <f>'[9]FY2012 Variance by CATEGORY'!AX276</f>
        <v>451363.3</v>
      </c>
      <c r="I86" s="111">
        <f>'[9]FY2012 Variance by CATEGORY'!AY276</f>
        <v>0</v>
      </c>
      <c r="J86" s="110">
        <f>'[9]FY2012 Variance by CATEGORY'!AZ276</f>
        <v>0</v>
      </c>
      <c r="K86" s="109">
        <f t="shared" ref="K86:K96" si="9">(H86+I86)-J86</f>
        <v>451363.3</v>
      </c>
    </row>
    <row r="87" spans="1:11" ht="18" customHeight="1">
      <c r="A87" s="104" t="s">
        <v>114</v>
      </c>
      <c r="B87" s="114" t="s">
        <v>14</v>
      </c>
      <c r="F87" s="112">
        <f>'[9]FY2012 Variance by CATEGORY'!AW280</f>
        <v>468</v>
      </c>
      <c r="G87" s="112">
        <f>'[9]FY2012 Variance by CATEGORY'!AV280</f>
        <v>72</v>
      </c>
      <c r="H87" s="110">
        <f>'[9]FY2012 Variance by CATEGORY'!AX280</f>
        <v>290872.99</v>
      </c>
      <c r="I87" s="111">
        <f>'[9]FY2012 Variance by CATEGORY'!AY280</f>
        <v>36921.201119999998</v>
      </c>
      <c r="J87" s="110">
        <f>'[9]FY2012 Variance by CATEGORY'!AZ280</f>
        <v>0</v>
      </c>
      <c r="K87" s="109">
        <f t="shared" si="9"/>
        <v>327794.19111999997</v>
      </c>
    </row>
    <row r="88" spans="1:11" ht="18" customHeight="1">
      <c r="A88" s="104" t="s">
        <v>115</v>
      </c>
      <c r="B88" s="114" t="s">
        <v>116</v>
      </c>
      <c r="F88" s="112">
        <f>'[9]FY2012 Variance by CATEGORY'!AW284</f>
        <v>317</v>
      </c>
      <c r="G88" s="112">
        <f>'[9]FY2012 Variance by CATEGORY'!AV284</f>
        <v>312</v>
      </c>
      <c r="H88" s="110">
        <f>'[9]FY2012 Variance by CATEGORY'!AX284</f>
        <v>414902.26</v>
      </c>
      <c r="I88" s="111">
        <f>'[9]FY2012 Variance by CATEGORY'!AY284</f>
        <v>126340.24367999999</v>
      </c>
      <c r="J88" s="110">
        <f>'[9]FY2012 Variance by CATEGORY'!AZ284</f>
        <v>0</v>
      </c>
      <c r="K88" s="109">
        <f t="shared" si="9"/>
        <v>541242.50367999997</v>
      </c>
    </row>
    <row r="89" spans="1:11" ht="18" customHeight="1">
      <c r="A89" s="104" t="s">
        <v>117</v>
      </c>
      <c r="B89" s="114" t="s">
        <v>58</v>
      </c>
      <c r="F89" s="112">
        <f>'[9]FY2012 Variance by CATEGORY'!AW289</f>
        <v>2112</v>
      </c>
      <c r="G89" s="112">
        <f>'[9]FY2012 Variance by CATEGORY'!AV289</f>
        <v>3165</v>
      </c>
      <c r="H89" s="110">
        <f>'[9]FY2012 Variance by CATEGORY'!AX289</f>
        <v>112015.15000000001</v>
      </c>
      <c r="I89" s="111">
        <f>'[9]FY2012 Variance by CATEGORY'!AY289</f>
        <v>23195.452799999999</v>
      </c>
      <c r="J89" s="110">
        <f>'[9]FY2012 Variance by CATEGORY'!AZ289</f>
        <v>0</v>
      </c>
      <c r="K89" s="109">
        <f t="shared" si="9"/>
        <v>135210.60279999999</v>
      </c>
    </row>
    <row r="90" spans="1:11" ht="18" customHeight="1">
      <c r="A90" s="104" t="s">
        <v>118</v>
      </c>
      <c r="B90" s="598" t="s">
        <v>59</v>
      </c>
      <c r="C90" s="599"/>
      <c r="F90" s="112">
        <f>'[9]FY2012 Variance by CATEGORY'!AW291</f>
        <v>0</v>
      </c>
      <c r="G90" s="112">
        <f>'[9]FY2012 Variance by CATEGORY'!AV291</f>
        <v>0</v>
      </c>
      <c r="H90" s="110">
        <f>'[9]FY2012 Variance by CATEGORY'!AX291</f>
        <v>44420.100000000006</v>
      </c>
      <c r="I90" s="111">
        <f>'[9]FY2012 Variance by CATEGORY'!AY291</f>
        <v>0</v>
      </c>
      <c r="J90" s="110">
        <f>'[9]FY2012 Variance by CATEGORY'!AZ291</f>
        <v>0</v>
      </c>
      <c r="K90" s="109">
        <f t="shared" si="9"/>
        <v>44420.100000000006</v>
      </c>
    </row>
    <row r="91" spans="1:11" ht="18" customHeight="1">
      <c r="A91" s="104" t="s">
        <v>119</v>
      </c>
      <c r="B91" s="114" t="s">
        <v>60</v>
      </c>
      <c r="F91" s="112">
        <f>'[9]FY2012 Variance by CATEGORY'!AW294</f>
        <v>0</v>
      </c>
      <c r="G91" s="112">
        <f>'[9]FY2012 Variance by CATEGORY'!AV294</f>
        <v>0</v>
      </c>
      <c r="H91" s="110">
        <f>'[9]FY2012 Variance by CATEGORY'!AX294</f>
        <v>197143.80000000002</v>
      </c>
      <c r="I91" s="111">
        <f>'[9]FY2012 Variance by CATEGORY'!AY294</f>
        <v>0</v>
      </c>
      <c r="J91" s="110">
        <f>'[9]FY2012 Variance by CATEGORY'!AZ294</f>
        <v>0</v>
      </c>
      <c r="K91" s="109">
        <f t="shared" si="9"/>
        <v>197143.80000000002</v>
      </c>
    </row>
    <row r="92" spans="1:11" ht="18" customHeight="1">
      <c r="A92" s="104" t="s">
        <v>120</v>
      </c>
      <c r="B92" s="114" t="s">
        <v>121</v>
      </c>
      <c r="F92" s="124">
        <f>'[9]FY2012 Variance by CATEGORY'!AW297</f>
        <v>0</v>
      </c>
      <c r="G92" s="124">
        <f>'[9]FY2012 Variance by CATEGORY'!AV297</f>
        <v>0</v>
      </c>
      <c r="H92" s="123">
        <f>'[9]FY2012 Variance by CATEGORY'!AX297</f>
        <v>299750.80000000005</v>
      </c>
      <c r="I92" s="111">
        <f>'[9]FY2012 Variance by CATEGORY'!AY297</f>
        <v>68753.712</v>
      </c>
      <c r="J92" s="123">
        <f>'[9]FY2012 Variance by CATEGORY'!AZ297</f>
        <v>0</v>
      </c>
      <c r="K92" s="109">
        <f t="shared" si="9"/>
        <v>368504.51200000005</v>
      </c>
    </row>
    <row r="93" spans="1:11" ht="18" customHeight="1">
      <c r="A93" s="104" t="s">
        <v>122</v>
      </c>
      <c r="B93" s="114" t="s">
        <v>123</v>
      </c>
      <c r="F93" s="112">
        <f>'[9]FY2012 Variance by CATEGORY'!AW300</f>
        <v>0</v>
      </c>
      <c r="G93" s="112">
        <f>'[9]FY2012 Variance by CATEGORY'!AV300</f>
        <v>0</v>
      </c>
      <c r="H93" s="110">
        <f>'[9]FY2012 Variance by CATEGORY'!AX300</f>
        <v>103164.80000000002</v>
      </c>
      <c r="I93" s="111">
        <f>'[9]FY2012 Variance by CATEGORY'!AY300</f>
        <v>0</v>
      </c>
      <c r="J93" s="110">
        <f>'[9]FY2012 Variance by CATEGORY'!AZ300</f>
        <v>0</v>
      </c>
      <c r="K93" s="109">
        <f t="shared" si="9"/>
        <v>103164.80000000002</v>
      </c>
    </row>
    <row r="94" spans="1:11" ht="18" customHeight="1">
      <c r="A94" s="104" t="s">
        <v>124</v>
      </c>
      <c r="B94" s="626" t="s">
        <v>326</v>
      </c>
      <c r="C94" s="627"/>
      <c r="D94" s="625"/>
      <c r="F94" s="112">
        <f>'[9]FY2012 Variance by CATEGORY'!AW359</f>
        <v>15644</v>
      </c>
      <c r="G94" s="112">
        <f>'[9]FY2012 Variance by CATEGORY'!AV359</f>
        <v>33991</v>
      </c>
      <c r="H94" s="110">
        <f>'[9]FY2012 Variance by CATEGORY'!AX359</f>
        <v>1125850.8640000001</v>
      </c>
      <c r="I94" s="111">
        <f>H94*0.408</f>
        <v>459347.152512</v>
      </c>
      <c r="J94" s="110">
        <f>'[9]FY2012 Variance by CATEGORY'!AZ359</f>
        <v>6575</v>
      </c>
      <c r="K94" s="109">
        <f t="shared" si="9"/>
        <v>1578623.016512</v>
      </c>
    </row>
    <row r="95" spans="1:11" ht="18" customHeight="1">
      <c r="A95" s="104" t="s">
        <v>125</v>
      </c>
      <c r="B95" s="626"/>
      <c r="C95" s="627"/>
      <c r="D95" s="625"/>
      <c r="F95" s="112"/>
      <c r="G95" s="112"/>
      <c r="H95" s="110"/>
      <c r="I95" s="111">
        <v>0</v>
      </c>
      <c r="J95" s="110"/>
      <c r="K95" s="109">
        <f t="shared" si="9"/>
        <v>0</v>
      </c>
    </row>
    <row r="96" spans="1:11" ht="18" customHeight="1">
      <c r="A96" s="104" t="s">
        <v>126</v>
      </c>
      <c r="B96" s="626"/>
      <c r="C96" s="627"/>
      <c r="D96" s="625"/>
      <c r="F96" s="112"/>
      <c r="G96" s="112"/>
      <c r="H96" s="110"/>
      <c r="I96" s="111">
        <f>H96*0.408</f>
        <v>0</v>
      </c>
      <c r="J96" s="110"/>
      <c r="K96" s="109">
        <f t="shared" si="9"/>
        <v>0</v>
      </c>
    </row>
    <row r="97" spans="1:11" ht="18" customHeight="1">
      <c r="A97" s="104"/>
      <c r="B97" s="114"/>
    </row>
    <row r="98" spans="1:11" ht="18" customHeight="1">
      <c r="A98" s="99" t="s">
        <v>150</v>
      </c>
      <c r="B98" s="97" t="s">
        <v>151</v>
      </c>
      <c r="E98" s="97" t="s">
        <v>7</v>
      </c>
      <c r="F98" s="102">
        <f t="shared" ref="F98:K98" si="10">SUM(F86:F96)</f>
        <v>18556</v>
      </c>
      <c r="G98" s="102">
        <f t="shared" si="10"/>
        <v>37652</v>
      </c>
      <c r="H98" s="102">
        <f t="shared" si="10"/>
        <v>3039484.0640000002</v>
      </c>
      <c r="I98" s="102">
        <f t="shared" si="10"/>
        <v>714557.76211200003</v>
      </c>
      <c r="J98" s="102">
        <f t="shared" si="10"/>
        <v>6575</v>
      </c>
      <c r="K98" s="102">
        <f t="shared" si="10"/>
        <v>3747466.8261120003</v>
      </c>
    </row>
    <row r="99" spans="1:11" ht="18" customHeight="1" thickBot="1">
      <c r="B99" s="97"/>
      <c r="F99" s="118"/>
      <c r="G99" s="118"/>
      <c r="H99" s="118"/>
      <c r="I99" s="118"/>
      <c r="J99" s="118"/>
      <c r="K99" s="118"/>
    </row>
    <row r="100" spans="1:11" ht="42.75" customHeight="1">
      <c r="F100" s="108" t="s">
        <v>9</v>
      </c>
      <c r="G100" s="108" t="s">
        <v>37</v>
      </c>
      <c r="H100" s="108" t="s">
        <v>29</v>
      </c>
      <c r="I100" s="108" t="s">
        <v>30</v>
      </c>
      <c r="J100" s="108" t="s">
        <v>33</v>
      </c>
      <c r="K100" s="108" t="s">
        <v>34</v>
      </c>
    </row>
    <row r="101" spans="1:11" ht="18" customHeight="1">
      <c r="A101" s="99" t="s">
        <v>130</v>
      </c>
      <c r="B101" s="97" t="s">
        <v>63</v>
      </c>
    </row>
    <row r="102" spans="1:11" ht="18" customHeight="1">
      <c r="A102" s="104" t="s">
        <v>131</v>
      </c>
      <c r="B102" s="114" t="s">
        <v>152</v>
      </c>
      <c r="F102" s="112">
        <f>'[9]FY2012 Variance by CATEGORY'!AW361</f>
        <v>4810</v>
      </c>
      <c r="G102" s="112">
        <f>'[9]FY2012 Variance by CATEGORY'!AV361</f>
        <v>0</v>
      </c>
      <c r="H102" s="110">
        <f>'[9]FY2012 Variance by CATEGORY'!AX361</f>
        <v>311942.2</v>
      </c>
      <c r="I102" s="111">
        <f>'[9]FY2012 Variance by CATEGORY'!AY361</f>
        <v>99617.361600000004</v>
      </c>
      <c r="J102" s="110">
        <f>'[9]FY2012 Variance by CATEGORY'!AZ361</f>
        <v>0</v>
      </c>
      <c r="K102" s="109">
        <f>(H102+I102)-J102</f>
        <v>411559.56160000002</v>
      </c>
    </row>
    <row r="103" spans="1:11" ht="18" customHeight="1">
      <c r="A103" s="104" t="s">
        <v>132</v>
      </c>
      <c r="B103" s="598" t="s">
        <v>62</v>
      </c>
      <c r="C103" s="598"/>
      <c r="F103" s="112">
        <f>'[9]FY2012 Variance by CATEGORY'!AW363</f>
        <v>584</v>
      </c>
      <c r="G103" s="112">
        <f>'[9]FY2012 Variance by CATEGORY'!AV363</f>
        <v>1802</v>
      </c>
      <c r="H103" s="110">
        <f>'[9]FY2012 Variance by CATEGORY'!AX363</f>
        <v>55311.479999999996</v>
      </c>
      <c r="I103" s="111">
        <f>H103*0.408</f>
        <v>22567.083839999996</v>
      </c>
      <c r="J103" s="110">
        <f>'[9]FY2012 Variance by CATEGORY'!AZ363</f>
        <v>0</v>
      </c>
      <c r="K103" s="109">
        <f>(H103+I103)-J103</f>
        <v>77878.563839999988</v>
      </c>
    </row>
    <row r="104" spans="1:11" ht="18" customHeight="1">
      <c r="A104" s="104" t="s">
        <v>128</v>
      </c>
      <c r="B104" s="626" t="s">
        <v>325</v>
      </c>
      <c r="C104" s="627"/>
      <c r="D104" s="625"/>
      <c r="F104" s="112">
        <f>'[9]FY2012 Variance by CATEGORY'!AW364</f>
        <v>0</v>
      </c>
      <c r="G104" s="112">
        <f>'[9]FY2012 Variance by CATEGORY'!AV364</f>
        <v>0</v>
      </c>
      <c r="H104" s="110">
        <f>'[9]FY2012 Variance by CATEGORY'!AX364</f>
        <v>83788.526399999973</v>
      </c>
      <c r="I104" s="111">
        <f>H104*0.408</f>
        <v>34185.718771199987</v>
      </c>
      <c r="J104" s="110">
        <f>'[9]FY2012 Variance by CATEGORY'!AZ364</f>
        <v>0</v>
      </c>
      <c r="K104" s="109">
        <f>(H104+I104)-J104</f>
        <v>117974.24517119996</v>
      </c>
    </row>
    <row r="105" spans="1:11" ht="18" customHeight="1">
      <c r="A105" s="104" t="s">
        <v>127</v>
      </c>
      <c r="B105" s="626"/>
      <c r="C105" s="627"/>
      <c r="D105" s="625"/>
      <c r="F105" s="112"/>
      <c r="G105" s="112"/>
      <c r="H105" s="110"/>
      <c r="I105" s="111">
        <f>H105*0.408</f>
        <v>0</v>
      </c>
      <c r="J105" s="110"/>
      <c r="K105" s="109">
        <f>(H105+I105)-J105</f>
        <v>0</v>
      </c>
    </row>
    <row r="106" spans="1:11" ht="18" customHeight="1">
      <c r="A106" s="104" t="s">
        <v>129</v>
      </c>
      <c r="B106" s="626"/>
      <c r="C106" s="627"/>
      <c r="D106" s="625"/>
      <c r="F106" s="112"/>
      <c r="G106" s="112"/>
      <c r="H106" s="110"/>
      <c r="I106" s="111">
        <f>H106*0.408</f>
        <v>0</v>
      </c>
      <c r="J106" s="110"/>
      <c r="K106" s="109">
        <f>(H106+I106)-J106</f>
        <v>0</v>
      </c>
    </row>
    <row r="107" spans="1:11" ht="18" customHeight="1">
      <c r="B107" s="97"/>
    </row>
    <row r="108" spans="1:11" s="117" customFormat="1" ht="18" customHeight="1">
      <c r="A108" s="99" t="s">
        <v>153</v>
      </c>
      <c r="B108" s="122" t="s">
        <v>154</v>
      </c>
      <c r="C108" s="95"/>
      <c r="D108" s="95"/>
      <c r="E108" s="97" t="s">
        <v>7</v>
      </c>
      <c r="F108" s="102">
        <f t="shared" ref="F108:K108" si="11">SUM(F102:F106)</f>
        <v>5394</v>
      </c>
      <c r="G108" s="102">
        <f t="shared" si="11"/>
        <v>1802</v>
      </c>
      <c r="H108" s="109">
        <f t="shared" si="11"/>
        <v>451042.20639999997</v>
      </c>
      <c r="I108" s="109">
        <f t="shared" si="11"/>
        <v>156370.16421119997</v>
      </c>
      <c r="J108" s="109">
        <f t="shared" si="11"/>
        <v>0</v>
      </c>
      <c r="K108" s="109">
        <f t="shared" si="11"/>
        <v>607412.37061119988</v>
      </c>
    </row>
    <row r="109" spans="1:11" s="117" customFormat="1" ht="18" customHeight="1" thickBot="1">
      <c r="A109" s="121"/>
      <c r="B109" s="120"/>
      <c r="C109" s="119"/>
      <c r="D109" s="119"/>
      <c r="E109" s="119"/>
      <c r="F109" s="118"/>
      <c r="G109" s="118"/>
      <c r="H109" s="118"/>
      <c r="I109" s="118"/>
      <c r="J109" s="118"/>
      <c r="K109" s="118"/>
    </row>
    <row r="110" spans="1:11" s="117" customFormat="1" ht="18" customHeight="1">
      <c r="A110" s="99" t="s">
        <v>156</v>
      </c>
      <c r="B110" s="97" t="s">
        <v>39</v>
      </c>
      <c r="C110" s="95"/>
      <c r="D110" s="95"/>
      <c r="E110" s="95"/>
      <c r="F110" s="95"/>
      <c r="G110" s="95"/>
      <c r="H110" s="95"/>
      <c r="I110" s="95"/>
      <c r="J110" s="95"/>
      <c r="K110" s="95"/>
    </row>
    <row r="111" spans="1:11" ht="18" customHeight="1">
      <c r="A111" s="99" t="s">
        <v>155</v>
      </c>
      <c r="B111" s="97" t="s">
        <v>164</v>
      </c>
      <c r="E111" s="97" t="s">
        <v>7</v>
      </c>
      <c r="F111" s="110">
        <f>'[9]Fran_Marty Section B_Financials'!F111</f>
        <v>32982000</v>
      </c>
    </row>
    <row r="112" spans="1:11" ht="18" customHeight="1">
      <c r="B112" s="97"/>
      <c r="E112" s="97"/>
      <c r="F112" s="116"/>
    </row>
    <row r="113" spans="1:6" ht="18" customHeight="1">
      <c r="A113" s="99"/>
      <c r="B113" s="97" t="s">
        <v>15</v>
      </c>
    </row>
    <row r="114" spans="1:6" ht="18" customHeight="1">
      <c r="A114" s="104" t="s">
        <v>171</v>
      </c>
      <c r="B114" s="114" t="s">
        <v>35</v>
      </c>
      <c r="F114" s="115">
        <v>0.40799999999999997</v>
      </c>
    </row>
    <row r="115" spans="1:6" ht="18" customHeight="1">
      <c r="A115" s="104"/>
      <c r="B115" s="97"/>
    </row>
    <row r="116" spans="1:6" ht="18" customHeight="1">
      <c r="A116" s="104" t="s">
        <v>170</v>
      </c>
      <c r="B116" s="97" t="s">
        <v>16</v>
      </c>
    </row>
    <row r="117" spans="1:6" ht="18" customHeight="1">
      <c r="A117" s="104" t="s">
        <v>172</v>
      </c>
      <c r="B117" s="114" t="s">
        <v>17</v>
      </c>
      <c r="F117" s="110">
        <f>'[9]Fran_Marty Section B_Financials'!F117</f>
        <v>1634266000</v>
      </c>
    </row>
    <row r="118" spans="1:6" ht="18" customHeight="1">
      <c r="A118" s="104" t="s">
        <v>173</v>
      </c>
      <c r="B118" s="95" t="s">
        <v>18</v>
      </c>
      <c r="F118" s="110">
        <f>'[9]Fran_Marty Section B_Financials'!F118</f>
        <v>157633000</v>
      </c>
    </row>
    <row r="119" spans="1:6" ht="18" customHeight="1">
      <c r="A119" s="104" t="s">
        <v>174</v>
      </c>
      <c r="B119" s="97" t="s">
        <v>19</v>
      </c>
      <c r="F119" s="113">
        <f>SUM(F117:F118)</f>
        <v>1791899000</v>
      </c>
    </row>
    <row r="120" spans="1:6" ht="18" customHeight="1">
      <c r="A120" s="104"/>
      <c r="B120" s="97"/>
    </row>
    <row r="121" spans="1:6" ht="18" customHeight="1">
      <c r="A121" s="104" t="s">
        <v>167</v>
      </c>
      <c r="B121" s="97" t="s">
        <v>36</v>
      </c>
      <c r="F121" s="110">
        <f>'[9]Fran_Marty Section B_Financials'!F121</f>
        <v>1725787000</v>
      </c>
    </row>
    <row r="122" spans="1:6" ht="18" customHeight="1">
      <c r="A122" s="104"/>
    </row>
    <row r="123" spans="1:6" ht="18" customHeight="1">
      <c r="A123" s="104" t="s">
        <v>175</v>
      </c>
      <c r="B123" s="97" t="s">
        <v>20</v>
      </c>
      <c r="F123" s="110">
        <f>+F119-F121</f>
        <v>66112000</v>
      </c>
    </row>
    <row r="124" spans="1:6" ht="18" customHeight="1">
      <c r="A124" s="104"/>
    </row>
    <row r="125" spans="1:6" ht="18" customHeight="1">
      <c r="A125" s="104" t="s">
        <v>176</v>
      </c>
      <c r="B125" s="97" t="s">
        <v>21</v>
      </c>
      <c r="F125" s="110">
        <f>'[9]Fran_Marty Section B_Financials'!F125</f>
        <v>-121513000</v>
      </c>
    </row>
    <row r="126" spans="1:6" ht="18" customHeight="1">
      <c r="A126" s="104"/>
    </row>
    <row r="127" spans="1:6" ht="18" customHeight="1">
      <c r="A127" s="104" t="s">
        <v>177</v>
      </c>
      <c r="B127" s="97" t="s">
        <v>22</v>
      </c>
      <c r="F127" s="110">
        <f>+F123+F125</f>
        <v>-55401000</v>
      </c>
    </row>
    <row r="128" spans="1:6" ht="18" customHeight="1">
      <c r="A128" s="104"/>
    </row>
    <row r="129" spans="1:11" ht="42.75" customHeight="1">
      <c r="F129" s="108" t="s">
        <v>9</v>
      </c>
      <c r="G129" s="108" t="s">
        <v>37</v>
      </c>
      <c r="H129" s="108" t="s">
        <v>29</v>
      </c>
      <c r="I129" s="108" t="s">
        <v>30</v>
      </c>
      <c r="J129" s="108" t="s">
        <v>33</v>
      </c>
      <c r="K129" s="108" t="s">
        <v>34</v>
      </c>
    </row>
    <row r="130" spans="1:11" ht="18" customHeight="1">
      <c r="A130" s="99" t="s">
        <v>157</v>
      </c>
      <c r="B130" s="97" t="s">
        <v>23</v>
      </c>
    </row>
    <row r="131" spans="1:11" ht="18" customHeight="1">
      <c r="A131" s="104" t="s">
        <v>158</v>
      </c>
      <c r="B131" s="95" t="s">
        <v>24</v>
      </c>
      <c r="F131" s="112"/>
      <c r="G131" s="112"/>
      <c r="H131" s="110"/>
      <c r="I131" s="111">
        <v>0</v>
      </c>
      <c r="J131" s="110"/>
      <c r="K131" s="109">
        <f>(H131+I131)-J131</f>
        <v>0</v>
      </c>
    </row>
    <row r="132" spans="1:11" ht="18" customHeight="1">
      <c r="A132" s="104" t="s">
        <v>159</v>
      </c>
      <c r="B132" s="95" t="s">
        <v>25</v>
      </c>
      <c r="F132" s="112"/>
      <c r="G132" s="112"/>
      <c r="H132" s="110"/>
      <c r="I132" s="111">
        <v>0</v>
      </c>
      <c r="J132" s="110"/>
      <c r="K132" s="109">
        <f>(H132+I132)-J132</f>
        <v>0</v>
      </c>
    </row>
    <row r="133" spans="1:11" ht="18" customHeight="1">
      <c r="A133" s="104" t="s">
        <v>160</v>
      </c>
      <c r="B133" s="618"/>
      <c r="C133" s="619"/>
      <c r="D133" s="620"/>
      <c r="F133" s="112"/>
      <c r="G133" s="112"/>
      <c r="H133" s="110"/>
      <c r="I133" s="111">
        <v>0</v>
      </c>
      <c r="J133" s="110"/>
      <c r="K133" s="109">
        <f>(H133+I133)-J133</f>
        <v>0</v>
      </c>
    </row>
    <row r="134" spans="1:11" ht="18" customHeight="1">
      <c r="A134" s="104" t="s">
        <v>161</v>
      </c>
      <c r="B134" s="618"/>
      <c r="C134" s="619"/>
      <c r="D134" s="620"/>
      <c r="F134" s="112"/>
      <c r="G134" s="112"/>
      <c r="H134" s="110"/>
      <c r="I134" s="111">
        <v>0</v>
      </c>
      <c r="J134" s="110"/>
      <c r="K134" s="109">
        <f>(H134+I134)-J134</f>
        <v>0</v>
      </c>
    </row>
    <row r="135" spans="1:11" ht="18" customHeight="1">
      <c r="A135" s="104" t="s">
        <v>162</v>
      </c>
      <c r="B135" s="618"/>
      <c r="C135" s="619"/>
      <c r="D135" s="620"/>
      <c r="F135" s="112"/>
      <c r="G135" s="112"/>
      <c r="H135" s="110"/>
      <c r="I135" s="111">
        <v>0</v>
      </c>
      <c r="J135" s="110"/>
      <c r="K135" s="109">
        <f>(H135+I135)-J135</f>
        <v>0</v>
      </c>
    </row>
    <row r="136" spans="1:11" ht="18" customHeight="1">
      <c r="A136" s="99"/>
    </row>
    <row r="137" spans="1:11" ht="18" customHeight="1">
      <c r="A137" s="99" t="s">
        <v>163</v>
      </c>
      <c r="B137" s="97" t="s">
        <v>27</v>
      </c>
      <c r="F137" s="102">
        <f t="shared" ref="F137:K137" si="12">SUM(F131:F135)</f>
        <v>0</v>
      </c>
      <c r="G137" s="102">
        <f t="shared" si="12"/>
        <v>0</v>
      </c>
      <c r="H137" s="109">
        <f t="shared" si="12"/>
        <v>0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</row>
    <row r="138" spans="1:11" ht="18" customHeight="1">
      <c r="A138" s="95"/>
    </row>
    <row r="139" spans="1:11" ht="42.75" customHeight="1">
      <c r="F139" s="108" t="s">
        <v>9</v>
      </c>
      <c r="G139" s="108" t="s">
        <v>37</v>
      </c>
      <c r="H139" s="108" t="s">
        <v>29</v>
      </c>
      <c r="I139" s="108" t="s">
        <v>30</v>
      </c>
      <c r="J139" s="108" t="s">
        <v>33</v>
      </c>
      <c r="K139" s="108" t="s">
        <v>34</v>
      </c>
    </row>
    <row r="140" spans="1:11" ht="18" customHeight="1">
      <c r="A140" s="99" t="s">
        <v>166</v>
      </c>
      <c r="B140" s="97" t="s">
        <v>26</v>
      </c>
    </row>
    <row r="141" spans="1:11" ht="18" customHeight="1">
      <c r="A141" s="104" t="s">
        <v>137</v>
      </c>
      <c r="B141" s="97" t="s">
        <v>64</v>
      </c>
      <c r="F141" s="107">
        <f t="shared" ref="F141:K141" si="13">F36</f>
        <v>72655</v>
      </c>
      <c r="G141" s="107">
        <f t="shared" si="13"/>
        <v>10540872</v>
      </c>
      <c r="H141" s="107">
        <f t="shared" si="13"/>
        <v>7884304.3096000003</v>
      </c>
      <c r="I141" s="107">
        <f t="shared" si="13"/>
        <v>2576875.9023167999</v>
      </c>
      <c r="J141" s="107">
        <f t="shared" si="13"/>
        <v>976561</v>
      </c>
      <c r="K141" s="107">
        <f t="shared" si="13"/>
        <v>9484619.2119168006</v>
      </c>
    </row>
    <row r="142" spans="1:11" ht="18" customHeight="1">
      <c r="A142" s="104" t="s">
        <v>142</v>
      </c>
      <c r="B142" s="97" t="s">
        <v>65</v>
      </c>
      <c r="F142" s="107">
        <f t="shared" ref="F142:K142" si="14">F49</f>
        <v>1945861.6000000003</v>
      </c>
      <c r="G142" s="107">
        <f t="shared" si="14"/>
        <v>1482.4</v>
      </c>
      <c r="H142" s="107">
        <f t="shared" si="14"/>
        <v>106236514.98</v>
      </c>
      <c r="I142" s="107">
        <f t="shared" si="14"/>
        <v>0</v>
      </c>
      <c r="J142" s="107">
        <f t="shared" si="14"/>
        <v>0</v>
      </c>
      <c r="K142" s="107">
        <f t="shared" si="14"/>
        <v>106236514.98</v>
      </c>
    </row>
    <row r="143" spans="1:11" ht="18" customHeight="1">
      <c r="A143" s="104" t="s">
        <v>144</v>
      </c>
      <c r="B143" s="97" t="s">
        <v>66</v>
      </c>
      <c r="F143" s="107">
        <f t="shared" ref="F143:K143" si="15">F64</f>
        <v>173601.5</v>
      </c>
      <c r="G143" s="107">
        <f t="shared" si="15"/>
        <v>85354</v>
      </c>
      <c r="H143" s="107">
        <f t="shared" si="15"/>
        <v>20078953.740000002</v>
      </c>
      <c r="I143" s="107">
        <f t="shared" si="15"/>
        <v>0</v>
      </c>
      <c r="J143" s="107">
        <f t="shared" si="15"/>
        <v>816838</v>
      </c>
      <c r="K143" s="107">
        <f t="shared" si="15"/>
        <v>19262115.740000002</v>
      </c>
    </row>
    <row r="144" spans="1:11" ht="18" customHeight="1">
      <c r="A144" s="104" t="s">
        <v>146</v>
      </c>
      <c r="B144" s="97" t="s">
        <v>67</v>
      </c>
      <c r="F144" s="107">
        <f t="shared" ref="F144:K144" si="16">F74</f>
        <v>0</v>
      </c>
      <c r="G144" s="107">
        <f t="shared" si="16"/>
        <v>0</v>
      </c>
      <c r="H144" s="107">
        <f t="shared" si="16"/>
        <v>75000</v>
      </c>
      <c r="I144" s="107">
        <f t="shared" si="16"/>
        <v>0</v>
      </c>
      <c r="J144" s="107">
        <f t="shared" si="16"/>
        <v>0</v>
      </c>
      <c r="K144" s="107">
        <f t="shared" si="16"/>
        <v>75000</v>
      </c>
    </row>
    <row r="145" spans="1:11" ht="18" customHeight="1">
      <c r="A145" s="104" t="s">
        <v>148</v>
      </c>
      <c r="B145" s="97" t="s">
        <v>68</v>
      </c>
      <c r="F145" s="107">
        <f t="shared" ref="F145:K145" si="17">F82</f>
        <v>1991</v>
      </c>
      <c r="G145" s="107">
        <f t="shared" si="17"/>
        <v>4464</v>
      </c>
      <c r="H145" s="107">
        <f t="shared" si="17"/>
        <v>1051965.04</v>
      </c>
      <c r="I145" s="107">
        <f t="shared" si="17"/>
        <v>17626.616700000002</v>
      </c>
      <c r="J145" s="107">
        <f t="shared" si="17"/>
        <v>1635</v>
      </c>
      <c r="K145" s="107">
        <f t="shared" si="17"/>
        <v>1067956.6567000002</v>
      </c>
    </row>
    <row r="146" spans="1:11" ht="18" customHeight="1">
      <c r="A146" s="104" t="s">
        <v>150</v>
      </c>
      <c r="B146" s="97" t="s">
        <v>69</v>
      </c>
      <c r="F146" s="107">
        <f t="shared" ref="F146:K146" si="18">F98</f>
        <v>18556</v>
      </c>
      <c r="G146" s="107">
        <f t="shared" si="18"/>
        <v>37652</v>
      </c>
      <c r="H146" s="107">
        <f t="shared" si="18"/>
        <v>3039484.0640000002</v>
      </c>
      <c r="I146" s="107">
        <f t="shared" si="18"/>
        <v>714557.76211200003</v>
      </c>
      <c r="J146" s="107">
        <f t="shared" si="18"/>
        <v>6575</v>
      </c>
      <c r="K146" s="107">
        <f t="shared" si="18"/>
        <v>3747466.8261120003</v>
      </c>
    </row>
    <row r="147" spans="1:11" ht="18" customHeight="1">
      <c r="A147" s="104" t="s">
        <v>153</v>
      </c>
      <c r="B147" s="97" t="s">
        <v>61</v>
      </c>
      <c r="F147" s="102">
        <f t="shared" ref="F147:K147" si="19">F108</f>
        <v>5394</v>
      </c>
      <c r="G147" s="102">
        <f t="shared" si="19"/>
        <v>1802</v>
      </c>
      <c r="H147" s="102">
        <f t="shared" si="19"/>
        <v>451042.20639999997</v>
      </c>
      <c r="I147" s="102">
        <f t="shared" si="19"/>
        <v>156370.16421119997</v>
      </c>
      <c r="J147" s="102">
        <f t="shared" si="19"/>
        <v>0</v>
      </c>
      <c r="K147" s="102">
        <f t="shared" si="19"/>
        <v>607412.37061119988</v>
      </c>
    </row>
    <row r="148" spans="1:11" ht="18" customHeight="1">
      <c r="A148" s="104" t="s">
        <v>155</v>
      </c>
      <c r="B148" s="97" t="s">
        <v>70</v>
      </c>
      <c r="F148" s="103" t="s">
        <v>73</v>
      </c>
      <c r="G148" s="103" t="s">
        <v>73</v>
      </c>
      <c r="H148" s="106" t="s">
        <v>73</v>
      </c>
      <c r="I148" s="106" t="s">
        <v>73</v>
      </c>
      <c r="J148" s="106" t="s">
        <v>73</v>
      </c>
      <c r="K148" s="105">
        <f>F111</f>
        <v>32982000</v>
      </c>
    </row>
    <row r="149" spans="1:11" ht="18" customHeight="1">
      <c r="A149" s="104" t="s">
        <v>163</v>
      </c>
      <c r="B149" s="97" t="s">
        <v>71</v>
      </c>
      <c r="F149" s="102">
        <f t="shared" ref="F149:K149" si="20">F137</f>
        <v>0</v>
      </c>
      <c r="G149" s="102">
        <f t="shared" si="20"/>
        <v>0</v>
      </c>
      <c r="H149" s="102">
        <f t="shared" si="20"/>
        <v>0</v>
      </c>
      <c r="I149" s="102">
        <f t="shared" si="20"/>
        <v>0</v>
      </c>
      <c r="J149" s="102">
        <f t="shared" si="20"/>
        <v>0</v>
      </c>
      <c r="K149" s="102">
        <f t="shared" si="20"/>
        <v>0</v>
      </c>
    </row>
    <row r="150" spans="1:11" ht="18" customHeight="1">
      <c r="A150" s="104" t="s">
        <v>185</v>
      </c>
      <c r="B150" s="97" t="s">
        <v>186</v>
      </c>
      <c r="F150" s="103" t="s">
        <v>73</v>
      </c>
      <c r="G150" s="103" t="s">
        <v>73</v>
      </c>
      <c r="H150" s="102">
        <f>H18</f>
        <v>49179773</v>
      </c>
      <c r="I150" s="102">
        <f>I18</f>
        <v>0</v>
      </c>
      <c r="J150" s="102">
        <f>J18</f>
        <v>42054855</v>
      </c>
      <c r="K150" s="102">
        <f>K18</f>
        <v>7124918</v>
      </c>
    </row>
    <row r="151" spans="1:11" ht="18" customHeight="1">
      <c r="B151" s="97"/>
      <c r="F151" s="101"/>
      <c r="G151" s="101"/>
      <c r="H151" s="101"/>
      <c r="I151" s="101"/>
      <c r="J151" s="101"/>
      <c r="K151" s="101"/>
    </row>
    <row r="152" spans="1:11" ht="18" customHeight="1">
      <c r="A152" s="99" t="s">
        <v>165</v>
      </c>
      <c r="B152" s="97" t="s">
        <v>26</v>
      </c>
      <c r="F152" s="100">
        <f t="shared" ref="F152:K152" si="21">SUM(F141:F150)</f>
        <v>2218059.1000000006</v>
      </c>
      <c r="G152" s="100">
        <f t="shared" si="21"/>
        <v>10671626.4</v>
      </c>
      <c r="H152" s="100">
        <f t="shared" si="21"/>
        <v>187997037.34</v>
      </c>
      <c r="I152" s="100">
        <f t="shared" si="21"/>
        <v>3465430.4453400001</v>
      </c>
      <c r="J152" s="100">
        <f t="shared" si="21"/>
        <v>43856464</v>
      </c>
      <c r="K152" s="100">
        <f t="shared" si="21"/>
        <v>180588003.78533998</v>
      </c>
    </row>
    <row r="154" spans="1:11" ht="18" customHeight="1">
      <c r="A154" s="99" t="s">
        <v>168</v>
      </c>
      <c r="B154" s="97" t="s">
        <v>28</v>
      </c>
      <c r="F154" s="89">
        <f>K152/F121</f>
        <v>0.10464095730547279</v>
      </c>
    </row>
    <row r="155" spans="1:11" ht="18" customHeight="1">
      <c r="A155" s="99" t="s">
        <v>169</v>
      </c>
      <c r="B155" s="97" t="s">
        <v>72</v>
      </c>
      <c r="F155" s="89">
        <f>K152/F127</f>
        <v>-3.2596524211718196</v>
      </c>
      <c r="G155" s="97"/>
    </row>
    <row r="156" spans="1:11" ht="18" customHeight="1">
      <c r="G156" s="97"/>
    </row>
  </sheetData>
  <sheetProtection password="EF72" sheet="1"/>
  <mergeCells count="34"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62:D62"/>
    <mergeCell ref="B59:D59"/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</mergeCells>
  <printOptions headings="1" gridLines="1"/>
  <pageMargins left="0.17" right="0.16" top="0.35" bottom="0.32" header="0.17" footer="0.17"/>
  <pageSetup scale="59" fitToHeight="3" orientation="landscape" horizontalDpi="300" verticalDpi="3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view="pageBreakPreview" zoomScale="87" zoomScaleNormal="100" zoomScaleSheetLayoutView="87" workbookViewId="0"/>
  </sheetViews>
  <sheetFormatPr defaultColWidth="8.85546875" defaultRowHeight="15.75"/>
  <cols>
    <col min="1" max="1" width="6.85546875" style="164" customWidth="1"/>
    <col min="2" max="2" width="40.7109375" style="164" bestFit="1" customWidth="1"/>
    <col min="3" max="3" width="6.7109375" style="164" customWidth="1"/>
    <col min="4" max="4" width="6.28515625" style="164" customWidth="1"/>
    <col min="5" max="5" width="9.140625" style="164" customWidth="1"/>
    <col min="6" max="6" width="16.42578125" style="164" customWidth="1"/>
    <col min="7" max="11" width="19.140625" style="164" customWidth="1"/>
    <col min="12" max="16384" width="8.85546875" style="164"/>
  </cols>
  <sheetData>
    <row r="1" spans="1:11">
      <c r="A1" s="95"/>
      <c r="B1" s="95"/>
      <c r="C1" s="182"/>
      <c r="D1" s="183"/>
      <c r="E1" s="182"/>
      <c r="F1" s="182"/>
      <c r="G1" s="182"/>
      <c r="H1" s="182"/>
      <c r="I1" s="182"/>
      <c r="J1" s="182"/>
      <c r="K1" s="182"/>
    </row>
    <row r="2" spans="1:11">
      <c r="A2" s="95"/>
      <c r="B2" s="95"/>
      <c r="C2" s="95"/>
      <c r="D2" s="600" t="s">
        <v>187</v>
      </c>
      <c r="E2" s="600"/>
      <c r="F2" s="600"/>
      <c r="G2" s="600"/>
      <c r="H2" s="600"/>
      <c r="I2" s="95"/>
      <c r="J2" s="95"/>
      <c r="K2" s="95"/>
    </row>
    <row r="3" spans="1:11">
      <c r="A3" s="95"/>
      <c r="B3" s="97" t="s">
        <v>0</v>
      </c>
      <c r="C3" s="95"/>
      <c r="D3" s="95"/>
      <c r="E3" s="95"/>
      <c r="F3" s="95"/>
      <c r="G3" s="95"/>
      <c r="H3" s="95"/>
      <c r="I3" s="95"/>
      <c r="J3" s="95"/>
      <c r="K3" s="95"/>
    </row>
    <row r="5" spans="1:11">
      <c r="A5" s="95"/>
      <c r="B5" s="104" t="s">
        <v>40</v>
      </c>
      <c r="C5" s="602" t="s">
        <v>361</v>
      </c>
      <c r="D5" s="614"/>
      <c r="E5" s="614"/>
      <c r="F5" s="614"/>
      <c r="G5" s="632"/>
      <c r="H5" s="95"/>
      <c r="I5" s="95"/>
      <c r="J5" s="95"/>
      <c r="K5" s="95"/>
    </row>
    <row r="6" spans="1:11">
      <c r="A6" s="95"/>
      <c r="B6" s="104" t="s">
        <v>3</v>
      </c>
      <c r="C6" s="605" t="s">
        <v>360</v>
      </c>
      <c r="D6" s="606"/>
      <c r="E6" s="606"/>
      <c r="F6" s="606"/>
      <c r="G6" s="607"/>
      <c r="H6" s="95"/>
      <c r="I6" s="95"/>
      <c r="J6" s="95"/>
      <c r="K6" s="95"/>
    </row>
    <row r="7" spans="1:11">
      <c r="A7" s="95"/>
      <c r="B7" s="104" t="s">
        <v>4</v>
      </c>
      <c r="C7" s="633">
        <v>3550</v>
      </c>
      <c r="D7" s="634"/>
      <c r="E7" s="634"/>
      <c r="F7" s="634"/>
      <c r="G7" s="635"/>
      <c r="H7" s="95"/>
      <c r="I7" s="95"/>
      <c r="J7" s="95"/>
      <c r="K7" s="95"/>
    </row>
    <row r="9" spans="1:11">
      <c r="A9" s="95"/>
      <c r="B9" s="104" t="s">
        <v>1</v>
      </c>
      <c r="C9" s="602" t="s">
        <v>359</v>
      </c>
      <c r="D9" s="614"/>
      <c r="E9" s="614"/>
      <c r="F9" s="614"/>
      <c r="G9" s="632"/>
      <c r="H9" s="95"/>
      <c r="I9" s="95"/>
      <c r="J9" s="95"/>
      <c r="K9" s="95"/>
    </row>
    <row r="10" spans="1:11">
      <c r="A10" s="95"/>
      <c r="B10" s="104" t="s">
        <v>2</v>
      </c>
      <c r="C10" s="611" t="s">
        <v>358</v>
      </c>
      <c r="D10" s="636"/>
      <c r="E10" s="636"/>
      <c r="F10" s="636"/>
      <c r="G10" s="637"/>
      <c r="H10" s="95"/>
      <c r="I10" s="95"/>
      <c r="J10" s="95"/>
      <c r="K10" s="95"/>
    </row>
    <row r="11" spans="1:11">
      <c r="A11" s="95"/>
      <c r="B11" s="104" t="s">
        <v>32</v>
      </c>
      <c r="C11" s="602" t="s">
        <v>357</v>
      </c>
      <c r="D11" s="614"/>
      <c r="E11" s="614"/>
      <c r="F11" s="614"/>
      <c r="G11" s="614"/>
      <c r="H11" s="95"/>
      <c r="I11" s="95"/>
      <c r="J11" s="95"/>
      <c r="K11" s="95"/>
    </row>
    <row r="12" spans="1:11">
      <c r="A12" s="95"/>
      <c r="B12" s="104"/>
      <c r="C12" s="104"/>
      <c r="D12" s="104"/>
      <c r="E12" s="104"/>
      <c r="F12" s="104"/>
      <c r="G12" s="104"/>
      <c r="H12" s="95"/>
      <c r="I12" s="95"/>
      <c r="J12" s="95"/>
      <c r="K12" s="95"/>
    </row>
    <row r="13" spans="1:11">
      <c r="A13" s="95"/>
      <c r="B13" s="615"/>
      <c r="C13" s="615"/>
      <c r="D13" s="615"/>
      <c r="E13" s="615"/>
      <c r="F13" s="615"/>
      <c r="G13" s="615"/>
      <c r="H13" s="615"/>
      <c r="I13" s="182"/>
      <c r="J13" s="95"/>
      <c r="K13" s="95"/>
    </row>
    <row r="14" spans="1:11">
      <c r="A14" s="95"/>
      <c r="B14" s="160"/>
      <c r="C14" s="95"/>
      <c r="D14" s="95"/>
      <c r="E14" s="95"/>
      <c r="F14" s="95"/>
      <c r="G14" s="95"/>
      <c r="H14" s="95"/>
      <c r="I14" s="95"/>
      <c r="J14" s="95"/>
      <c r="K14" s="95"/>
    </row>
    <row r="15" spans="1:11">
      <c r="A15" s="95"/>
      <c r="B15" s="160"/>
      <c r="C15" s="95"/>
      <c r="D15" s="95"/>
      <c r="E15" s="95"/>
      <c r="F15" s="95"/>
      <c r="G15" s="95"/>
      <c r="H15" s="95"/>
      <c r="I15" s="95"/>
      <c r="J15" s="95"/>
      <c r="K15" s="95"/>
    </row>
    <row r="16" spans="1:11" ht="26.25">
      <c r="A16" s="631" t="s">
        <v>181</v>
      </c>
      <c r="B16" s="631"/>
      <c r="C16" s="182"/>
      <c r="D16" s="182"/>
      <c r="E16" s="182"/>
      <c r="F16" s="108" t="s">
        <v>9</v>
      </c>
      <c r="G16" s="108" t="s">
        <v>37</v>
      </c>
      <c r="H16" s="108" t="s">
        <v>29</v>
      </c>
      <c r="I16" s="108" t="s">
        <v>30</v>
      </c>
      <c r="J16" s="108" t="s">
        <v>33</v>
      </c>
      <c r="K16" s="108" t="s">
        <v>34</v>
      </c>
    </row>
    <row r="17" spans="1:11">
      <c r="A17" s="99" t="s">
        <v>184</v>
      </c>
      <c r="B17" s="97" t="s">
        <v>182</v>
      </c>
      <c r="C17" s="95"/>
      <c r="D17" s="95"/>
      <c r="E17" s="95"/>
      <c r="F17" s="95"/>
      <c r="G17" s="95"/>
      <c r="H17" s="95"/>
      <c r="I17" s="95"/>
      <c r="J17" s="95"/>
      <c r="K17" s="95"/>
    </row>
    <row r="18" spans="1:11">
      <c r="A18" s="104" t="s">
        <v>185</v>
      </c>
      <c r="B18" s="114" t="s">
        <v>183</v>
      </c>
      <c r="C18" s="95"/>
      <c r="D18" s="95"/>
      <c r="E18" s="95"/>
      <c r="F18" s="112" t="s">
        <v>73</v>
      </c>
      <c r="G18" s="112" t="s">
        <v>73</v>
      </c>
      <c r="H18" s="110">
        <v>14973093</v>
      </c>
      <c r="I18" s="111">
        <v>0</v>
      </c>
      <c r="J18" s="110">
        <v>12803866</v>
      </c>
      <c r="K18" s="109">
        <v>2169227</v>
      </c>
    </row>
    <row r="19" spans="1:11" ht="42.75" customHeight="1">
      <c r="A19" s="631" t="s">
        <v>8</v>
      </c>
      <c r="B19" s="631"/>
      <c r="C19" s="182"/>
      <c r="D19" s="182"/>
      <c r="E19" s="182"/>
      <c r="F19" s="108" t="s">
        <v>9</v>
      </c>
      <c r="G19" s="108" t="s">
        <v>37</v>
      </c>
      <c r="H19" s="108" t="s">
        <v>29</v>
      </c>
      <c r="I19" s="108" t="s">
        <v>30</v>
      </c>
      <c r="J19" s="108" t="s">
        <v>33</v>
      </c>
      <c r="K19" s="108" t="s">
        <v>34</v>
      </c>
    </row>
    <row r="20" spans="1:11">
      <c r="A20" s="99" t="s">
        <v>74</v>
      </c>
      <c r="B20" s="97" t="s">
        <v>41</v>
      </c>
      <c r="C20" s="95"/>
      <c r="D20" s="95"/>
      <c r="E20" s="95"/>
      <c r="F20" s="95"/>
      <c r="G20" s="95"/>
      <c r="H20" s="95"/>
      <c r="I20" s="95"/>
      <c r="J20" s="95"/>
      <c r="K20" s="95"/>
    </row>
    <row r="21" spans="1:11">
      <c r="A21" s="104" t="s">
        <v>75</v>
      </c>
      <c r="B21" s="114" t="s">
        <v>42</v>
      </c>
      <c r="C21" s="95"/>
      <c r="D21" s="95"/>
      <c r="E21" s="95"/>
      <c r="F21" s="112">
        <v>14077.320000000002</v>
      </c>
      <c r="G21" s="112">
        <v>239686.3</v>
      </c>
      <c r="H21" s="110">
        <v>991804.29159999988</v>
      </c>
      <c r="I21" s="111">
        <v>466651.06480821391</v>
      </c>
      <c r="J21" s="110">
        <v>0</v>
      </c>
      <c r="K21" s="109">
        <v>1458455.3564082137</v>
      </c>
    </row>
    <row r="22" spans="1:11">
      <c r="A22" s="104" t="s">
        <v>76</v>
      </c>
      <c r="B22" s="95" t="s">
        <v>6</v>
      </c>
      <c r="C22" s="95"/>
      <c r="D22" s="95"/>
      <c r="E22" s="95"/>
      <c r="F22" s="112">
        <v>566</v>
      </c>
      <c r="G22" s="112">
        <v>1412</v>
      </c>
      <c r="H22" s="110">
        <v>27689.07301</v>
      </c>
      <c r="I22" s="111">
        <v>13027.908341497721</v>
      </c>
      <c r="J22" s="110">
        <v>0</v>
      </c>
      <c r="K22" s="109">
        <v>40716.981351497729</v>
      </c>
    </row>
    <row r="23" spans="1:11">
      <c r="A23" s="104" t="s">
        <v>77</v>
      </c>
      <c r="B23" s="95" t="s">
        <v>43</v>
      </c>
      <c r="C23" s="95"/>
      <c r="D23" s="95"/>
      <c r="E23" s="95"/>
      <c r="F23" s="112">
        <v>70</v>
      </c>
      <c r="G23" s="112">
        <v>14</v>
      </c>
      <c r="H23" s="110">
        <v>764.16700000000003</v>
      </c>
      <c r="I23" s="111">
        <v>359.54607906165114</v>
      </c>
      <c r="J23" s="110">
        <v>0</v>
      </c>
      <c r="K23" s="109">
        <v>1123.7130790616511</v>
      </c>
    </row>
    <row r="24" spans="1:11">
      <c r="A24" s="104" t="s">
        <v>78</v>
      </c>
      <c r="B24" s="95" t="s">
        <v>44</v>
      </c>
      <c r="C24" s="95"/>
      <c r="D24" s="95"/>
      <c r="E24" s="95"/>
      <c r="F24" s="112">
        <v>0</v>
      </c>
      <c r="G24" s="112">
        <v>0</v>
      </c>
      <c r="H24" s="110">
        <v>0</v>
      </c>
      <c r="I24" s="111">
        <v>0</v>
      </c>
      <c r="J24" s="110">
        <v>0</v>
      </c>
      <c r="K24" s="109">
        <v>0</v>
      </c>
    </row>
    <row r="25" spans="1:11">
      <c r="A25" s="104" t="s">
        <v>79</v>
      </c>
      <c r="B25" s="95" t="s">
        <v>5</v>
      </c>
      <c r="C25" s="95"/>
      <c r="D25" s="95"/>
      <c r="E25" s="95"/>
      <c r="F25" s="112">
        <v>268</v>
      </c>
      <c r="G25" s="112">
        <v>2674</v>
      </c>
      <c r="H25" s="110">
        <v>11581.438560000002</v>
      </c>
      <c r="I25" s="111">
        <v>5449.1502827803552</v>
      </c>
      <c r="J25" s="110">
        <v>0</v>
      </c>
      <c r="K25" s="109">
        <v>17030.588842780355</v>
      </c>
    </row>
    <row r="26" spans="1:11">
      <c r="A26" s="104" t="s">
        <v>80</v>
      </c>
      <c r="B26" s="95" t="s">
        <v>45</v>
      </c>
      <c r="C26" s="95"/>
      <c r="D26" s="95"/>
      <c r="E26" s="95"/>
      <c r="F26" s="112">
        <v>0</v>
      </c>
      <c r="G26" s="112">
        <v>0</v>
      </c>
      <c r="H26" s="110">
        <v>0</v>
      </c>
      <c r="I26" s="111">
        <v>0</v>
      </c>
      <c r="J26" s="110">
        <v>0</v>
      </c>
      <c r="K26" s="109">
        <v>0</v>
      </c>
    </row>
    <row r="27" spans="1:11">
      <c r="A27" s="104" t="s">
        <v>81</v>
      </c>
      <c r="B27" s="95" t="s">
        <v>46</v>
      </c>
      <c r="C27" s="95"/>
      <c r="D27" s="95"/>
      <c r="E27" s="95"/>
      <c r="F27" s="112">
        <v>0</v>
      </c>
      <c r="G27" s="112">
        <v>0</v>
      </c>
      <c r="H27" s="110">
        <v>0</v>
      </c>
      <c r="I27" s="111">
        <v>0</v>
      </c>
      <c r="J27" s="110">
        <v>0</v>
      </c>
      <c r="K27" s="109">
        <v>0</v>
      </c>
    </row>
    <row r="28" spans="1:11">
      <c r="A28" s="104" t="s">
        <v>82</v>
      </c>
      <c r="B28" s="95" t="s">
        <v>47</v>
      </c>
      <c r="C28" s="95"/>
      <c r="D28" s="95"/>
      <c r="E28" s="95"/>
      <c r="F28" s="112">
        <v>5754</v>
      </c>
      <c r="G28" s="112">
        <v>5100</v>
      </c>
      <c r="H28" s="110">
        <v>238719</v>
      </c>
      <c r="I28" s="111">
        <v>37801.387706640002</v>
      </c>
      <c r="J28" s="110">
        <v>0</v>
      </c>
      <c r="K28" s="109">
        <v>276520.38770664</v>
      </c>
    </row>
    <row r="29" spans="1:11">
      <c r="A29" s="104" t="s">
        <v>83</v>
      </c>
      <c r="B29" s="95" t="s">
        <v>48</v>
      </c>
      <c r="C29" s="95"/>
      <c r="D29" s="95"/>
      <c r="E29" s="95"/>
      <c r="F29" s="112">
        <v>6570.75</v>
      </c>
      <c r="G29" s="112">
        <v>38741</v>
      </c>
      <c r="H29" s="110">
        <v>1664242.7553399999</v>
      </c>
      <c r="I29" s="111">
        <v>184328.66566399211</v>
      </c>
      <c r="J29" s="110">
        <v>0</v>
      </c>
      <c r="K29" s="109">
        <v>1848571.4210039922</v>
      </c>
    </row>
    <row r="30" spans="1:11">
      <c r="A30" s="104" t="s">
        <v>84</v>
      </c>
      <c r="B30" s="628" t="s">
        <v>356</v>
      </c>
      <c r="C30" s="629"/>
      <c r="D30" s="630"/>
      <c r="E30" s="95"/>
      <c r="F30" s="112">
        <v>1477</v>
      </c>
      <c r="G30" s="112">
        <v>21888</v>
      </c>
      <c r="H30" s="110">
        <v>241413.25189000001</v>
      </c>
      <c r="I30" s="111">
        <v>113586.67431408611</v>
      </c>
      <c r="J30" s="110">
        <v>0</v>
      </c>
      <c r="K30" s="109">
        <v>354999.92620408611</v>
      </c>
    </row>
    <row r="31" spans="1:11">
      <c r="A31" s="104" t="s">
        <v>133</v>
      </c>
      <c r="B31" s="628"/>
      <c r="C31" s="629"/>
      <c r="D31" s="630"/>
      <c r="E31" s="95"/>
      <c r="F31" s="112"/>
      <c r="G31" s="112"/>
      <c r="H31" s="110"/>
      <c r="I31" s="111">
        <v>0</v>
      </c>
      <c r="J31" s="110"/>
      <c r="K31" s="109">
        <v>0</v>
      </c>
    </row>
    <row r="32" spans="1:11">
      <c r="A32" s="104" t="s">
        <v>134</v>
      </c>
      <c r="B32" s="181"/>
      <c r="C32" s="180"/>
      <c r="D32" s="179"/>
      <c r="E32" s="95"/>
      <c r="F32" s="112"/>
      <c r="G32" s="156" t="s">
        <v>85</v>
      </c>
      <c r="H32" s="110"/>
      <c r="I32" s="111">
        <v>0</v>
      </c>
      <c r="J32" s="110"/>
      <c r="K32" s="109">
        <v>0</v>
      </c>
    </row>
    <row r="33" spans="1:11">
      <c r="A33" s="104" t="s">
        <v>135</v>
      </c>
      <c r="B33" s="181"/>
      <c r="C33" s="180"/>
      <c r="D33" s="179"/>
      <c r="E33" s="95"/>
      <c r="F33" s="112"/>
      <c r="G33" s="156" t="s">
        <v>85</v>
      </c>
      <c r="H33" s="110"/>
      <c r="I33" s="111">
        <v>0</v>
      </c>
      <c r="J33" s="110"/>
      <c r="K33" s="109">
        <v>0</v>
      </c>
    </row>
    <row r="34" spans="1:11">
      <c r="A34" s="104" t="s">
        <v>136</v>
      </c>
      <c r="B34" s="628"/>
      <c r="C34" s="629"/>
      <c r="D34" s="630"/>
      <c r="E34" s="95"/>
      <c r="F34" s="112"/>
      <c r="G34" s="156" t="s">
        <v>85</v>
      </c>
      <c r="H34" s="110"/>
      <c r="I34" s="111">
        <v>0</v>
      </c>
      <c r="J34" s="110"/>
      <c r="K34" s="109">
        <v>0</v>
      </c>
    </row>
    <row r="35" spans="1:1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155"/>
    </row>
    <row r="36" spans="1:11">
      <c r="A36" s="99" t="s">
        <v>137</v>
      </c>
      <c r="B36" s="97" t="s">
        <v>138</v>
      </c>
      <c r="C36" s="95"/>
      <c r="D36" s="95"/>
      <c r="E36" s="97" t="s">
        <v>7</v>
      </c>
      <c r="F36" s="102">
        <v>28783.07</v>
      </c>
      <c r="G36" s="102">
        <v>309515.3</v>
      </c>
      <c r="H36" s="109">
        <v>3176213.9774000002</v>
      </c>
      <c r="I36" s="109">
        <v>821204.39719627181</v>
      </c>
      <c r="J36" s="109">
        <v>0</v>
      </c>
      <c r="K36" s="109">
        <v>3997418.3745962717</v>
      </c>
    </row>
    <row r="37" spans="1:11" ht="16.5" thickBot="1">
      <c r="A37" s="95"/>
      <c r="B37" s="97"/>
      <c r="C37" s="95"/>
      <c r="D37" s="95"/>
      <c r="E37" s="95"/>
      <c r="F37" s="154"/>
      <c r="G37" s="154"/>
      <c r="H37" s="153"/>
      <c r="I37" s="153"/>
      <c r="J37" s="153"/>
      <c r="K37" s="152"/>
    </row>
    <row r="38" spans="1:11" ht="26.25">
      <c r="A38" s="95"/>
      <c r="B38" s="95"/>
      <c r="C38" s="95"/>
      <c r="D38" s="95"/>
      <c r="E38" s="95"/>
      <c r="F38" s="108" t="s">
        <v>9</v>
      </c>
      <c r="G38" s="108" t="s">
        <v>37</v>
      </c>
      <c r="H38" s="108" t="s">
        <v>29</v>
      </c>
      <c r="I38" s="108" t="s">
        <v>30</v>
      </c>
      <c r="J38" s="108" t="s">
        <v>33</v>
      </c>
      <c r="K38" s="108" t="s">
        <v>34</v>
      </c>
    </row>
    <row r="39" spans="1:11">
      <c r="A39" s="99" t="s">
        <v>86</v>
      </c>
      <c r="B39" s="97" t="s">
        <v>49</v>
      </c>
      <c r="C39" s="95"/>
      <c r="D39" s="95"/>
      <c r="E39" s="95"/>
      <c r="F39" s="95"/>
      <c r="G39" s="95"/>
      <c r="H39" s="95"/>
      <c r="I39" s="95"/>
      <c r="J39" s="95"/>
      <c r="K39" s="95"/>
    </row>
    <row r="40" spans="1:11">
      <c r="A40" s="104" t="s">
        <v>87</v>
      </c>
      <c r="B40" s="95" t="s">
        <v>31</v>
      </c>
      <c r="C40" s="95"/>
      <c r="D40" s="95"/>
      <c r="E40" s="95"/>
      <c r="F40" s="112">
        <v>205.23999999999998</v>
      </c>
      <c r="G40" s="112">
        <v>235.5</v>
      </c>
      <c r="H40" s="110">
        <v>20934354.587889999</v>
      </c>
      <c r="I40" s="111">
        <v>0</v>
      </c>
      <c r="J40" s="110">
        <v>0</v>
      </c>
      <c r="K40" s="109">
        <v>20934354.587889999</v>
      </c>
    </row>
    <row r="41" spans="1:11">
      <c r="A41" s="104" t="s">
        <v>88</v>
      </c>
      <c r="B41" s="598" t="s">
        <v>50</v>
      </c>
      <c r="C41" s="598"/>
      <c r="D41" s="95"/>
      <c r="E41" s="95"/>
      <c r="F41" s="112">
        <v>14003.2392</v>
      </c>
      <c r="G41" s="112">
        <v>1267</v>
      </c>
      <c r="H41" s="110">
        <v>626719.06172000035</v>
      </c>
      <c r="I41" s="111">
        <v>0</v>
      </c>
      <c r="J41" s="110">
        <v>0</v>
      </c>
      <c r="K41" s="109">
        <v>626719.06172000035</v>
      </c>
    </row>
    <row r="42" spans="1:11">
      <c r="A42" s="104" t="s">
        <v>89</v>
      </c>
      <c r="B42" s="114" t="s">
        <v>11</v>
      </c>
      <c r="C42" s="95"/>
      <c r="D42" s="95"/>
      <c r="E42" s="95"/>
      <c r="F42" s="112">
        <v>9759.24</v>
      </c>
      <c r="G42" s="112">
        <v>667</v>
      </c>
      <c r="H42" s="110">
        <v>528986.74919999996</v>
      </c>
      <c r="I42" s="111">
        <v>0</v>
      </c>
      <c r="J42" s="110">
        <v>0</v>
      </c>
      <c r="K42" s="109">
        <v>528986.74919999996</v>
      </c>
    </row>
    <row r="43" spans="1:11">
      <c r="A43" s="104" t="s">
        <v>90</v>
      </c>
      <c r="B43" s="151" t="s">
        <v>10</v>
      </c>
      <c r="C43" s="117"/>
      <c r="D43" s="117"/>
      <c r="E43" s="95"/>
      <c r="F43" s="112">
        <v>3367.91</v>
      </c>
      <c r="G43" s="112">
        <v>246</v>
      </c>
      <c r="H43" s="110">
        <v>133470.83588999999</v>
      </c>
      <c r="I43" s="111">
        <v>0</v>
      </c>
      <c r="J43" s="110">
        <v>0</v>
      </c>
      <c r="K43" s="109">
        <v>133470.83588999999</v>
      </c>
    </row>
    <row r="44" spans="1:11">
      <c r="A44" s="104" t="s">
        <v>91</v>
      </c>
      <c r="B44" s="628" t="s">
        <v>282</v>
      </c>
      <c r="C44" s="629"/>
      <c r="D44" s="630"/>
      <c r="E44" s="95"/>
      <c r="F44" s="112">
        <v>12977.86</v>
      </c>
      <c r="G44" s="112">
        <v>2354</v>
      </c>
      <c r="H44" s="110">
        <v>668999.2309399998</v>
      </c>
      <c r="I44" s="111">
        <v>0</v>
      </c>
      <c r="J44" s="110">
        <v>0</v>
      </c>
      <c r="K44" s="109">
        <v>668999.2309399998</v>
      </c>
    </row>
    <row r="45" spans="1:11">
      <c r="A45" s="104" t="s">
        <v>139</v>
      </c>
      <c r="B45" s="628"/>
      <c r="C45" s="629"/>
      <c r="D45" s="630"/>
      <c r="E45" s="95"/>
      <c r="F45" s="112"/>
      <c r="G45" s="112"/>
      <c r="H45" s="110"/>
      <c r="I45" s="111">
        <v>0</v>
      </c>
      <c r="J45" s="110"/>
      <c r="K45" s="109">
        <v>0</v>
      </c>
    </row>
    <row r="46" spans="1:11">
      <c r="A46" s="104" t="s">
        <v>140</v>
      </c>
      <c r="B46" s="628"/>
      <c r="C46" s="629"/>
      <c r="D46" s="630"/>
      <c r="E46" s="95"/>
      <c r="F46" s="112"/>
      <c r="G46" s="112"/>
      <c r="H46" s="110"/>
      <c r="I46" s="111">
        <v>0</v>
      </c>
      <c r="J46" s="110"/>
      <c r="K46" s="109">
        <v>0</v>
      </c>
    </row>
    <row r="47" spans="1:11">
      <c r="A47" s="104" t="s">
        <v>141</v>
      </c>
      <c r="B47" s="628"/>
      <c r="C47" s="629"/>
      <c r="D47" s="630"/>
      <c r="E47" s="95"/>
      <c r="F47" s="112"/>
      <c r="G47" s="112"/>
      <c r="H47" s="110"/>
      <c r="I47" s="111">
        <v>0</v>
      </c>
      <c r="J47" s="110"/>
      <c r="K47" s="109">
        <v>0</v>
      </c>
    </row>
    <row r="49" spans="1:11">
      <c r="A49" s="99" t="s">
        <v>142</v>
      </c>
      <c r="B49" s="97" t="s">
        <v>143</v>
      </c>
      <c r="C49" s="95"/>
      <c r="D49" s="95"/>
      <c r="E49" s="97" t="s">
        <v>7</v>
      </c>
      <c r="F49" s="178">
        <v>40313.489199999996</v>
      </c>
      <c r="G49" s="178">
        <v>4769.5</v>
      </c>
      <c r="H49" s="109">
        <v>22892530.465639997</v>
      </c>
      <c r="I49" s="109">
        <v>0</v>
      </c>
      <c r="J49" s="109">
        <v>0</v>
      </c>
      <c r="K49" s="109">
        <v>22892530.465639997</v>
      </c>
    </row>
    <row r="50" spans="1:11" ht="16.5" thickBot="1">
      <c r="A50" s="95"/>
      <c r="B50" s="95"/>
      <c r="C50" s="95"/>
      <c r="D50" s="95"/>
      <c r="E50" s="95"/>
      <c r="F50" s="95"/>
      <c r="G50" s="118"/>
      <c r="H50" s="118"/>
      <c r="I50" s="118"/>
      <c r="J50" s="118"/>
      <c r="K50" s="118"/>
    </row>
    <row r="51" spans="1:11" ht="26.25">
      <c r="A51" s="95"/>
      <c r="B51" s="95"/>
      <c r="C51" s="95"/>
      <c r="D51" s="95"/>
      <c r="E51" s="95"/>
      <c r="F51" s="108" t="s">
        <v>9</v>
      </c>
      <c r="G51" s="108" t="s">
        <v>37</v>
      </c>
      <c r="H51" s="108" t="s">
        <v>29</v>
      </c>
      <c r="I51" s="108" t="s">
        <v>30</v>
      </c>
      <c r="J51" s="108" t="s">
        <v>33</v>
      </c>
      <c r="K51" s="108" t="s">
        <v>34</v>
      </c>
    </row>
    <row r="52" spans="1:11" ht="15.75" customHeight="1">
      <c r="A52" s="99" t="s">
        <v>92</v>
      </c>
      <c r="B52" s="621" t="s">
        <v>38</v>
      </c>
      <c r="C52" s="621"/>
      <c r="D52" s="95"/>
      <c r="E52" s="95"/>
      <c r="F52" s="95"/>
      <c r="G52" s="95"/>
      <c r="H52" s="95"/>
      <c r="I52" s="95"/>
      <c r="J52" s="95"/>
      <c r="K52" s="95"/>
    </row>
    <row r="53" spans="1:11">
      <c r="A53" s="104" t="s">
        <v>51</v>
      </c>
      <c r="B53" s="177" t="s">
        <v>355</v>
      </c>
      <c r="C53" s="176"/>
      <c r="D53" s="175"/>
      <c r="E53" s="95"/>
      <c r="F53" s="112">
        <v>200</v>
      </c>
      <c r="G53" s="112">
        <v>275</v>
      </c>
      <c r="H53" s="110">
        <v>892190.18062999996</v>
      </c>
      <c r="I53" s="111">
        <v>0</v>
      </c>
      <c r="J53" s="110">
        <v>0</v>
      </c>
      <c r="K53" s="109">
        <v>892190.18062999996</v>
      </c>
    </row>
    <row r="54" spans="1:11">
      <c r="A54" s="104" t="s">
        <v>93</v>
      </c>
      <c r="B54" s="174" t="s">
        <v>354</v>
      </c>
      <c r="C54" s="173"/>
      <c r="D54" s="172"/>
      <c r="E54" s="95"/>
      <c r="F54" s="112">
        <v>0</v>
      </c>
      <c r="G54" s="112">
        <v>0</v>
      </c>
      <c r="H54" s="110">
        <v>1384452</v>
      </c>
      <c r="I54" s="111">
        <v>0</v>
      </c>
      <c r="J54" s="110">
        <v>773594</v>
      </c>
      <c r="K54" s="109">
        <v>610858</v>
      </c>
    </row>
    <row r="55" spans="1:11">
      <c r="A55" s="104" t="s">
        <v>94</v>
      </c>
      <c r="B55" s="171" t="s">
        <v>353</v>
      </c>
      <c r="C55" s="170"/>
      <c r="D55" s="169"/>
      <c r="E55" s="95"/>
      <c r="F55" s="112">
        <v>0</v>
      </c>
      <c r="G55" s="112">
        <v>0</v>
      </c>
      <c r="H55" s="110">
        <v>380705</v>
      </c>
      <c r="I55" s="111">
        <v>0</v>
      </c>
      <c r="J55" s="110">
        <v>0</v>
      </c>
      <c r="K55" s="109">
        <v>380705</v>
      </c>
    </row>
    <row r="56" spans="1:11">
      <c r="A56" s="104" t="s">
        <v>95</v>
      </c>
      <c r="B56" s="174" t="s">
        <v>352</v>
      </c>
      <c r="C56" s="173"/>
      <c r="D56" s="172"/>
      <c r="E56" s="95"/>
      <c r="F56" s="112" t="s">
        <v>740</v>
      </c>
      <c r="G56" s="112">
        <v>0</v>
      </c>
      <c r="H56" s="110">
        <v>286724</v>
      </c>
      <c r="I56" s="111">
        <v>0</v>
      </c>
      <c r="J56" s="110">
        <v>0</v>
      </c>
      <c r="K56" s="109">
        <v>286724</v>
      </c>
    </row>
    <row r="57" spans="1:11">
      <c r="A57" s="104" t="s">
        <v>96</v>
      </c>
      <c r="B57" s="174" t="s">
        <v>351</v>
      </c>
      <c r="C57" s="173"/>
      <c r="D57" s="172"/>
      <c r="E57" s="95"/>
      <c r="F57" s="112">
        <v>0</v>
      </c>
      <c r="G57" s="112">
        <v>0</v>
      </c>
      <c r="H57" s="110">
        <v>537046</v>
      </c>
      <c r="I57" s="111">
        <v>0</v>
      </c>
      <c r="J57" s="110">
        <v>0</v>
      </c>
      <c r="K57" s="109">
        <v>537046</v>
      </c>
    </row>
    <row r="58" spans="1:11">
      <c r="A58" s="104" t="s">
        <v>97</v>
      </c>
      <c r="B58" s="171" t="s">
        <v>350</v>
      </c>
      <c r="C58" s="170"/>
      <c r="D58" s="169"/>
      <c r="E58" s="95"/>
      <c r="F58" s="112">
        <v>12</v>
      </c>
      <c r="G58" s="112">
        <v>4</v>
      </c>
      <c r="H58" s="110">
        <v>245886.40708</v>
      </c>
      <c r="I58" s="111">
        <v>0</v>
      </c>
      <c r="J58" s="110">
        <v>0</v>
      </c>
      <c r="K58" s="109">
        <v>245886.40708</v>
      </c>
    </row>
    <row r="59" spans="1:11">
      <c r="A59" s="104" t="s">
        <v>98</v>
      </c>
      <c r="B59" s="139" t="s">
        <v>349</v>
      </c>
      <c r="C59" s="138"/>
      <c r="D59" s="137"/>
      <c r="E59" s="95"/>
      <c r="F59" s="112">
        <v>0</v>
      </c>
      <c r="G59" s="112">
        <v>0</v>
      </c>
      <c r="H59" s="110">
        <v>285465</v>
      </c>
      <c r="I59" s="111">
        <v>0</v>
      </c>
      <c r="J59" s="110">
        <v>0</v>
      </c>
      <c r="K59" s="109">
        <v>285465</v>
      </c>
    </row>
    <row r="60" spans="1:11">
      <c r="A60" s="104" t="s">
        <v>99</v>
      </c>
      <c r="B60" s="139" t="s">
        <v>348</v>
      </c>
      <c r="C60" s="138"/>
      <c r="D60" s="137"/>
      <c r="E60" s="95"/>
      <c r="F60" s="112">
        <v>4468</v>
      </c>
      <c r="G60" s="112">
        <v>455</v>
      </c>
      <c r="H60" s="110">
        <v>105899.05523</v>
      </c>
      <c r="I60" s="111">
        <v>0</v>
      </c>
      <c r="J60" s="110">
        <v>0</v>
      </c>
      <c r="K60" s="109">
        <v>105899.05523</v>
      </c>
    </row>
    <row r="61" spans="1:11">
      <c r="A61" s="104" t="s">
        <v>100</v>
      </c>
      <c r="B61" s="626" t="s">
        <v>347</v>
      </c>
      <c r="C61" s="627"/>
      <c r="D61" s="625"/>
      <c r="E61" s="95"/>
      <c r="F61" s="112">
        <v>0</v>
      </c>
      <c r="G61" s="112">
        <v>0</v>
      </c>
      <c r="H61" s="110">
        <v>1289052</v>
      </c>
      <c r="I61" s="111">
        <v>0</v>
      </c>
      <c r="J61" s="110">
        <v>0</v>
      </c>
      <c r="K61" s="109">
        <v>1289052</v>
      </c>
    </row>
    <row r="62" spans="1:11">
      <c r="A62" s="104" t="s">
        <v>101</v>
      </c>
      <c r="B62" s="626" t="s">
        <v>346</v>
      </c>
      <c r="C62" s="627"/>
      <c r="D62" s="625"/>
      <c r="E62" s="95"/>
      <c r="F62" s="112">
        <v>12137</v>
      </c>
      <c r="G62" s="112">
        <v>0</v>
      </c>
      <c r="H62" s="110">
        <v>73101</v>
      </c>
      <c r="I62" s="111">
        <v>0</v>
      </c>
      <c r="J62" s="110">
        <v>0</v>
      </c>
      <c r="K62" s="109">
        <v>73101</v>
      </c>
    </row>
    <row r="63" spans="1:11">
      <c r="A63" s="104"/>
      <c r="B63" s="95"/>
      <c r="C63" s="95"/>
      <c r="D63" s="95"/>
      <c r="E63" s="95"/>
      <c r="F63" s="95"/>
      <c r="G63" s="95"/>
      <c r="H63" s="95"/>
      <c r="I63" s="143"/>
      <c r="J63" s="95"/>
      <c r="K63" s="95"/>
    </row>
    <row r="64" spans="1:11">
      <c r="A64" s="104" t="s">
        <v>144</v>
      </c>
      <c r="B64" s="97" t="s">
        <v>145</v>
      </c>
      <c r="C64" s="95"/>
      <c r="D64" s="95"/>
      <c r="E64" s="97" t="s">
        <v>7</v>
      </c>
      <c r="F64" s="102">
        <v>16817</v>
      </c>
      <c r="G64" s="102">
        <v>734</v>
      </c>
      <c r="H64" s="109">
        <v>5480520.6429399997</v>
      </c>
      <c r="I64" s="109">
        <v>0</v>
      </c>
      <c r="J64" s="109">
        <v>773594</v>
      </c>
      <c r="K64" s="109">
        <v>4706926.6429399997</v>
      </c>
    </row>
    <row r="65" spans="1:11">
      <c r="A65" s="95"/>
      <c r="B65" s="95"/>
      <c r="C65" s="95"/>
      <c r="D65" s="95"/>
      <c r="E65" s="95"/>
      <c r="F65" s="101"/>
      <c r="G65" s="101"/>
      <c r="H65" s="101"/>
      <c r="I65" s="101"/>
      <c r="J65" s="101"/>
      <c r="K65" s="101"/>
    </row>
    <row r="66" spans="1:11" ht="26.25">
      <c r="A66" s="95"/>
      <c r="B66" s="95"/>
      <c r="C66" s="95"/>
      <c r="D66" s="95"/>
      <c r="E66" s="95"/>
      <c r="F66" s="142" t="s">
        <v>9</v>
      </c>
      <c r="G66" s="142" t="s">
        <v>37</v>
      </c>
      <c r="H66" s="142" t="s">
        <v>29</v>
      </c>
      <c r="I66" s="142" t="s">
        <v>30</v>
      </c>
      <c r="J66" s="142" t="s">
        <v>33</v>
      </c>
      <c r="K66" s="142" t="s">
        <v>34</v>
      </c>
    </row>
    <row r="67" spans="1:11">
      <c r="A67" s="99" t="s">
        <v>102</v>
      </c>
      <c r="B67" s="97" t="s">
        <v>12</v>
      </c>
      <c r="C67" s="95"/>
      <c r="D67" s="95"/>
      <c r="E67" s="95"/>
      <c r="F67" s="141"/>
      <c r="G67" s="141"/>
      <c r="H67" s="141"/>
      <c r="I67" s="130"/>
      <c r="J67" s="141"/>
      <c r="K67" s="128"/>
    </row>
    <row r="68" spans="1:11">
      <c r="A68" s="104" t="s">
        <v>103</v>
      </c>
      <c r="B68" s="95" t="s">
        <v>52</v>
      </c>
      <c r="C68" s="95"/>
      <c r="D68" s="95"/>
      <c r="E68" s="95"/>
      <c r="F68" s="112">
        <v>0</v>
      </c>
      <c r="G68" s="112">
        <v>0</v>
      </c>
      <c r="H68" s="110">
        <v>38003</v>
      </c>
      <c r="I68" s="111">
        <v>0</v>
      </c>
      <c r="J68" s="110">
        <v>0</v>
      </c>
      <c r="K68" s="109">
        <v>38003</v>
      </c>
    </row>
    <row r="69" spans="1:11">
      <c r="A69" s="104" t="s">
        <v>104</v>
      </c>
      <c r="B69" s="114" t="s">
        <v>53</v>
      </c>
      <c r="C69" s="95"/>
      <c r="D69" s="95"/>
      <c r="E69" s="95"/>
      <c r="F69" s="112">
        <v>0</v>
      </c>
      <c r="G69" s="112">
        <v>0</v>
      </c>
      <c r="H69" s="110">
        <v>0</v>
      </c>
      <c r="I69" s="111">
        <v>0</v>
      </c>
      <c r="J69" s="110">
        <v>0</v>
      </c>
      <c r="K69" s="109">
        <v>0</v>
      </c>
    </row>
    <row r="70" spans="1:11">
      <c r="A70" s="104" t="s">
        <v>178</v>
      </c>
      <c r="B70" s="139"/>
      <c r="C70" s="138"/>
      <c r="D70" s="137"/>
      <c r="E70" s="97"/>
      <c r="F70" s="136"/>
      <c r="G70" s="136"/>
      <c r="H70" s="135"/>
      <c r="I70" s="111">
        <v>0</v>
      </c>
      <c r="J70" s="135"/>
      <c r="K70" s="109">
        <v>0</v>
      </c>
    </row>
    <row r="71" spans="1:11">
      <c r="A71" s="104" t="s">
        <v>179</v>
      </c>
      <c r="B71" s="139"/>
      <c r="C71" s="138"/>
      <c r="D71" s="137"/>
      <c r="E71" s="97"/>
      <c r="F71" s="136"/>
      <c r="G71" s="136"/>
      <c r="H71" s="135"/>
      <c r="I71" s="111">
        <v>0</v>
      </c>
      <c r="J71" s="135"/>
      <c r="K71" s="109">
        <v>0</v>
      </c>
    </row>
    <row r="72" spans="1:11">
      <c r="A72" s="104" t="s">
        <v>180</v>
      </c>
      <c r="B72" s="162"/>
      <c r="C72" s="161"/>
      <c r="D72" s="132"/>
      <c r="E72" s="97"/>
      <c r="F72" s="112"/>
      <c r="G72" s="112"/>
      <c r="H72" s="110"/>
      <c r="I72" s="111">
        <v>0</v>
      </c>
      <c r="J72" s="110"/>
      <c r="K72" s="109">
        <v>0</v>
      </c>
    </row>
    <row r="73" spans="1:11">
      <c r="A73" s="104"/>
      <c r="B73" s="114"/>
      <c r="C73" s="95"/>
      <c r="D73" s="95"/>
      <c r="E73" s="97"/>
      <c r="F73" s="131"/>
      <c r="G73" s="131"/>
      <c r="H73" s="129"/>
      <c r="I73" s="130"/>
      <c r="J73" s="129"/>
      <c r="K73" s="128"/>
    </row>
    <row r="74" spans="1:11">
      <c r="A74" s="99" t="s">
        <v>146</v>
      </c>
      <c r="B74" s="97" t="s">
        <v>147</v>
      </c>
      <c r="C74" s="95"/>
      <c r="D74" s="95"/>
      <c r="E74" s="97" t="s">
        <v>7</v>
      </c>
      <c r="F74" s="168">
        <v>0</v>
      </c>
      <c r="G74" s="168">
        <v>0</v>
      </c>
      <c r="H74" s="127">
        <v>38003</v>
      </c>
      <c r="I74" s="127">
        <v>0</v>
      </c>
      <c r="J74" s="127">
        <v>0</v>
      </c>
      <c r="K74" s="127">
        <v>38003</v>
      </c>
    </row>
    <row r="75" spans="1:11" ht="41.25" customHeight="1">
      <c r="A75" s="95"/>
      <c r="B75" s="95"/>
      <c r="C75" s="95"/>
      <c r="D75" s="95"/>
      <c r="E75" s="95"/>
      <c r="F75" s="108" t="s">
        <v>9</v>
      </c>
      <c r="G75" s="108" t="s">
        <v>37</v>
      </c>
      <c r="H75" s="108" t="s">
        <v>29</v>
      </c>
      <c r="I75" s="108" t="s">
        <v>30</v>
      </c>
      <c r="J75" s="108" t="s">
        <v>33</v>
      </c>
      <c r="K75" s="108" t="s">
        <v>34</v>
      </c>
    </row>
    <row r="76" spans="1:11">
      <c r="A76" s="99" t="s">
        <v>105</v>
      </c>
      <c r="B76" s="97" t="s">
        <v>106</v>
      </c>
      <c r="C76" s="95"/>
      <c r="D76" s="95"/>
      <c r="E76" s="95"/>
      <c r="F76" s="95"/>
      <c r="G76" s="95"/>
      <c r="H76" s="95"/>
      <c r="I76" s="95"/>
      <c r="J76" s="95"/>
      <c r="K76" s="95"/>
    </row>
    <row r="77" spans="1:11">
      <c r="A77" s="104" t="s">
        <v>107</v>
      </c>
      <c r="B77" s="114" t="s">
        <v>54</v>
      </c>
      <c r="C77" s="95"/>
      <c r="D77" s="95"/>
      <c r="E77" s="95"/>
      <c r="F77" s="112">
        <v>108</v>
      </c>
      <c r="G77" s="112">
        <v>138</v>
      </c>
      <c r="H77" s="110">
        <v>267407.33304</v>
      </c>
      <c r="I77" s="111">
        <v>0</v>
      </c>
      <c r="J77" s="110">
        <v>0</v>
      </c>
      <c r="K77" s="109">
        <v>267407.33304</v>
      </c>
    </row>
    <row r="78" spans="1:11">
      <c r="A78" s="104" t="s">
        <v>108</v>
      </c>
      <c r="B78" s="114" t="s">
        <v>55</v>
      </c>
      <c r="C78" s="95"/>
      <c r="D78" s="95"/>
      <c r="E78" s="95"/>
      <c r="F78" s="112">
        <v>0</v>
      </c>
      <c r="G78" s="112">
        <v>0</v>
      </c>
      <c r="H78" s="110">
        <v>0</v>
      </c>
      <c r="I78" s="111">
        <v>0</v>
      </c>
      <c r="J78" s="110">
        <v>0</v>
      </c>
      <c r="K78" s="109">
        <v>0</v>
      </c>
    </row>
    <row r="79" spans="1:11">
      <c r="A79" s="104" t="s">
        <v>109</v>
      </c>
      <c r="B79" s="114" t="s">
        <v>13</v>
      </c>
      <c r="C79" s="95"/>
      <c r="D79" s="95"/>
      <c r="E79" s="95"/>
      <c r="F79" s="112">
        <v>7043.67</v>
      </c>
      <c r="G79" s="112">
        <v>37311.660000000003</v>
      </c>
      <c r="H79" s="110">
        <v>527616.76468000002</v>
      </c>
      <c r="I79" s="111">
        <v>0</v>
      </c>
      <c r="J79" s="110">
        <v>0</v>
      </c>
      <c r="K79" s="109">
        <v>527616.76468000002</v>
      </c>
    </row>
    <row r="80" spans="1:11">
      <c r="A80" s="104" t="s">
        <v>110</v>
      </c>
      <c r="B80" s="114" t="s">
        <v>56</v>
      </c>
      <c r="C80" s="95"/>
      <c r="D80" s="95"/>
      <c r="E80" s="95"/>
      <c r="F80" s="112">
        <v>0</v>
      </c>
      <c r="G80" s="112">
        <v>0</v>
      </c>
      <c r="H80" s="110">
        <v>0</v>
      </c>
      <c r="I80" s="111">
        <v>0</v>
      </c>
      <c r="J80" s="110">
        <v>0</v>
      </c>
      <c r="K80" s="109">
        <v>0</v>
      </c>
    </row>
    <row r="81" spans="1:11">
      <c r="A81" s="104"/>
      <c r="B81" s="95"/>
      <c r="C81" s="95"/>
      <c r="D81" s="95"/>
      <c r="E81" s="95"/>
      <c r="F81" s="95"/>
      <c r="G81" s="95"/>
      <c r="H81" s="95"/>
      <c r="I81" s="95"/>
      <c r="J81" s="95"/>
      <c r="K81" s="126"/>
    </row>
    <row r="82" spans="1:11">
      <c r="A82" s="104" t="s">
        <v>148</v>
      </c>
      <c r="B82" s="97" t="s">
        <v>149</v>
      </c>
      <c r="C82" s="95"/>
      <c r="D82" s="95"/>
      <c r="E82" s="97" t="s">
        <v>7</v>
      </c>
      <c r="F82" s="168">
        <v>7151.67</v>
      </c>
      <c r="G82" s="168">
        <v>37449.660000000003</v>
      </c>
      <c r="H82" s="113">
        <v>795024.09771999996</v>
      </c>
      <c r="I82" s="113">
        <v>0</v>
      </c>
      <c r="J82" s="113">
        <v>0</v>
      </c>
      <c r="K82" s="113">
        <v>795024.09771999996</v>
      </c>
    </row>
    <row r="83" spans="1:11" ht="16.5" thickBot="1">
      <c r="A83" s="104"/>
      <c r="B83" s="95"/>
      <c r="C83" s="95"/>
      <c r="D83" s="95"/>
      <c r="E83" s="95"/>
      <c r="F83" s="118"/>
      <c r="G83" s="118"/>
      <c r="H83" s="118"/>
      <c r="I83" s="118"/>
      <c r="J83" s="118"/>
      <c r="K83" s="118"/>
    </row>
    <row r="84" spans="1:11" ht="45.75" customHeight="1">
      <c r="A84" s="95"/>
      <c r="B84" s="95"/>
      <c r="C84" s="95"/>
      <c r="D84" s="95"/>
      <c r="E84" s="95"/>
      <c r="F84" s="108" t="s">
        <v>9</v>
      </c>
      <c r="G84" s="108" t="s">
        <v>37</v>
      </c>
      <c r="H84" s="108" t="s">
        <v>29</v>
      </c>
      <c r="I84" s="108" t="s">
        <v>30</v>
      </c>
      <c r="J84" s="108" t="s">
        <v>33</v>
      </c>
      <c r="K84" s="108" t="s">
        <v>34</v>
      </c>
    </row>
    <row r="85" spans="1:11">
      <c r="A85" s="99" t="s">
        <v>111</v>
      </c>
      <c r="B85" s="97" t="s">
        <v>57</v>
      </c>
      <c r="C85" s="95"/>
      <c r="D85" s="95"/>
      <c r="E85" s="95"/>
      <c r="F85" s="95"/>
      <c r="G85" s="95"/>
      <c r="H85" s="95"/>
      <c r="I85" s="95"/>
      <c r="J85" s="95"/>
      <c r="K85" s="95"/>
    </row>
    <row r="86" spans="1:11">
      <c r="A86" s="104" t="s">
        <v>112</v>
      </c>
      <c r="B86" s="114" t="s">
        <v>113</v>
      </c>
      <c r="C86" s="95"/>
      <c r="D86" s="95"/>
      <c r="E86" s="95"/>
      <c r="F86" s="112">
        <v>90.5</v>
      </c>
      <c r="G86" s="112">
        <v>1315</v>
      </c>
      <c r="H86" s="110">
        <v>36835.717100000002</v>
      </c>
      <c r="I86" s="111">
        <v>17331.470284282383</v>
      </c>
      <c r="J86" s="110">
        <v>0</v>
      </c>
      <c r="K86" s="109">
        <v>54167.187384282377</v>
      </c>
    </row>
    <row r="87" spans="1:11">
      <c r="A87" s="104" t="s">
        <v>114</v>
      </c>
      <c r="B87" s="114" t="s">
        <v>14</v>
      </c>
      <c r="C87" s="95"/>
      <c r="D87" s="95"/>
      <c r="E87" s="95"/>
      <c r="F87" s="112">
        <v>950.5</v>
      </c>
      <c r="G87" s="112">
        <v>3784</v>
      </c>
      <c r="H87" s="110">
        <v>402308.74565</v>
      </c>
      <c r="I87" s="111">
        <v>189289.16332512209</v>
      </c>
      <c r="J87" s="110">
        <v>0</v>
      </c>
      <c r="K87" s="109">
        <v>591597.90897512203</v>
      </c>
    </row>
    <row r="88" spans="1:11">
      <c r="A88" s="104" t="s">
        <v>115</v>
      </c>
      <c r="B88" s="114" t="s">
        <v>116</v>
      </c>
      <c r="C88" s="95"/>
      <c r="D88" s="95"/>
      <c r="E88" s="95"/>
      <c r="F88" s="112">
        <v>1551.5</v>
      </c>
      <c r="G88" s="112">
        <v>87</v>
      </c>
      <c r="H88" s="110">
        <v>70971.010009999998</v>
      </c>
      <c r="I88" s="111">
        <v>33392.371531537858</v>
      </c>
      <c r="J88" s="110">
        <v>0</v>
      </c>
      <c r="K88" s="109">
        <v>104363.38154153786</v>
      </c>
    </row>
    <row r="89" spans="1:11">
      <c r="A89" s="104" t="s">
        <v>117</v>
      </c>
      <c r="B89" s="114" t="s">
        <v>58</v>
      </c>
      <c r="C89" s="95"/>
      <c r="D89" s="95"/>
      <c r="E89" s="95"/>
      <c r="F89" s="112">
        <v>0</v>
      </c>
      <c r="G89" s="112">
        <v>0</v>
      </c>
      <c r="H89" s="110">
        <v>2106000</v>
      </c>
      <c r="I89" s="111">
        <v>0</v>
      </c>
      <c r="J89" s="110">
        <v>0</v>
      </c>
      <c r="K89" s="109">
        <v>2106000</v>
      </c>
    </row>
    <row r="90" spans="1:11">
      <c r="A90" s="104" t="s">
        <v>118</v>
      </c>
      <c r="B90" s="598" t="s">
        <v>59</v>
      </c>
      <c r="C90" s="598"/>
      <c r="D90" s="95"/>
      <c r="E90" s="95"/>
      <c r="F90" s="112">
        <v>0</v>
      </c>
      <c r="G90" s="112">
        <v>0</v>
      </c>
      <c r="H90" s="110">
        <v>0</v>
      </c>
      <c r="I90" s="111">
        <v>0</v>
      </c>
      <c r="J90" s="110">
        <v>0</v>
      </c>
      <c r="K90" s="109">
        <v>0</v>
      </c>
    </row>
    <row r="91" spans="1:11">
      <c r="A91" s="104" t="s">
        <v>119</v>
      </c>
      <c r="B91" s="114" t="s">
        <v>60</v>
      </c>
      <c r="C91" s="95"/>
      <c r="D91" s="95"/>
      <c r="E91" s="95"/>
      <c r="F91" s="112">
        <v>0</v>
      </c>
      <c r="G91" s="112">
        <v>0</v>
      </c>
      <c r="H91" s="110">
        <v>0</v>
      </c>
      <c r="I91" s="111">
        <v>0</v>
      </c>
      <c r="J91" s="110">
        <v>0</v>
      </c>
      <c r="K91" s="109">
        <v>0</v>
      </c>
    </row>
    <row r="92" spans="1:11">
      <c r="A92" s="104" t="s">
        <v>120</v>
      </c>
      <c r="B92" s="114" t="s">
        <v>121</v>
      </c>
      <c r="C92" s="95"/>
      <c r="D92" s="95"/>
      <c r="E92" s="95"/>
      <c r="F92" s="112">
        <v>46</v>
      </c>
      <c r="G92" s="112">
        <v>0</v>
      </c>
      <c r="H92" s="110">
        <v>3105.9292400000004</v>
      </c>
      <c r="I92" s="111">
        <v>1461.362084576976</v>
      </c>
      <c r="J92" s="110">
        <v>0</v>
      </c>
      <c r="K92" s="109">
        <v>4567.291324576976</v>
      </c>
    </row>
    <row r="93" spans="1:11">
      <c r="A93" s="104" t="s">
        <v>122</v>
      </c>
      <c r="B93" s="114" t="s">
        <v>123</v>
      </c>
      <c r="C93" s="95"/>
      <c r="D93" s="95"/>
      <c r="E93" s="95"/>
      <c r="F93" s="112">
        <v>2630.5</v>
      </c>
      <c r="G93" s="112">
        <v>3311</v>
      </c>
      <c r="H93" s="110">
        <v>132284.23075000002</v>
      </c>
      <c r="I93" s="111">
        <v>62240.683630475018</v>
      </c>
      <c r="J93" s="110">
        <v>13200</v>
      </c>
      <c r="K93" s="109">
        <v>181324.91438047506</v>
      </c>
    </row>
    <row r="94" spans="1:11">
      <c r="A94" s="104" t="s">
        <v>124</v>
      </c>
      <c r="B94" s="626" t="s">
        <v>345</v>
      </c>
      <c r="C94" s="627"/>
      <c r="D94" s="625"/>
      <c r="E94" s="95"/>
      <c r="F94" s="112">
        <v>0</v>
      </c>
      <c r="G94" s="112">
        <v>2</v>
      </c>
      <c r="H94" s="110">
        <v>6000</v>
      </c>
      <c r="I94" s="111">
        <v>2823.0432279461252</v>
      </c>
      <c r="J94" s="110">
        <v>0</v>
      </c>
      <c r="K94" s="109">
        <v>8823.0432279461256</v>
      </c>
    </row>
    <row r="95" spans="1:11">
      <c r="A95" s="104" t="s">
        <v>125</v>
      </c>
      <c r="B95" s="626"/>
      <c r="C95" s="627"/>
      <c r="D95" s="625"/>
      <c r="E95" s="95"/>
      <c r="F95" s="112"/>
      <c r="G95" s="112"/>
      <c r="H95" s="110"/>
      <c r="I95" s="111">
        <v>0</v>
      </c>
      <c r="J95" s="110"/>
      <c r="K95" s="109">
        <v>0</v>
      </c>
    </row>
    <row r="96" spans="1:11">
      <c r="A96" s="104" t="s">
        <v>126</v>
      </c>
      <c r="B96" s="626"/>
      <c r="C96" s="627"/>
      <c r="D96" s="625"/>
      <c r="E96" s="95"/>
      <c r="F96" s="112"/>
      <c r="G96" s="112"/>
      <c r="H96" s="110"/>
      <c r="I96" s="111">
        <v>0</v>
      </c>
      <c r="J96" s="110"/>
      <c r="K96" s="109">
        <v>0</v>
      </c>
    </row>
    <row r="97" spans="1:11">
      <c r="A97" s="104"/>
      <c r="B97" s="114"/>
      <c r="C97" s="95"/>
      <c r="D97" s="95"/>
      <c r="E97" s="95"/>
      <c r="F97" s="95"/>
      <c r="G97" s="95"/>
      <c r="H97" s="95"/>
      <c r="I97" s="95"/>
      <c r="J97" s="95"/>
      <c r="K97" s="95"/>
    </row>
    <row r="98" spans="1:11">
      <c r="A98" s="99" t="s">
        <v>150</v>
      </c>
      <c r="B98" s="97" t="s">
        <v>151</v>
      </c>
      <c r="C98" s="95"/>
      <c r="D98" s="95"/>
      <c r="E98" s="97" t="s">
        <v>7</v>
      </c>
      <c r="F98" s="102">
        <v>5269</v>
      </c>
      <c r="G98" s="102">
        <v>8499</v>
      </c>
      <c r="H98" s="110">
        <v>2757505.6327500003</v>
      </c>
      <c r="I98" s="110">
        <v>306538.09408394049</v>
      </c>
      <c r="J98" s="110">
        <v>13200</v>
      </c>
      <c r="K98" s="110">
        <v>3050843.72683394</v>
      </c>
    </row>
    <row r="99" spans="1:11" ht="16.5" thickBot="1">
      <c r="A99" s="95"/>
      <c r="B99" s="97"/>
      <c r="C99" s="95"/>
      <c r="D99" s="95"/>
      <c r="E99" s="95"/>
      <c r="F99" s="118"/>
      <c r="G99" s="118"/>
      <c r="H99" s="118"/>
      <c r="I99" s="118"/>
      <c r="J99" s="118"/>
      <c r="K99" s="118"/>
    </row>
    <row r="100" spans="1:11" ht="26.25">
      <c r="A100" s="95"/>
      <c r="B100" s="95"/>
      <c r="C100" s="95"/>
      <c r="D100" s="95"/>
      <c r="E100" s="95"/>
      <c r="F100" s="108" t="s">
        <v>9</v>
      </c>
      <c r="G100" s="108" t="s">
        <v>37</v>
      </c>
      <c r="H100" s="108" t="s">
        <v>29</v>
      </c>
      <c r="I100" s="108" t="s">
        <v>30</v>
      </c>
      <c r="J100" s="108" t="s">
        <v>33</v>
      </c>
      <c r="K100" s="108" t="s">
        <v>34</v>
      </c>
    </row>
    <row r="101" spans="1:11">
      <c r="A101" s="99" t="s">
        <v>130</v>
      </c>
      <c r="B101" s="97" t="s">
        <v>63</v>
      </c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>
      <c r="A102" s="104" t="s">
        <v>131</v>
      </c>
      <c r="B102" s="114" t="s">
        <v>152</v>
      </c>
      <c r="C102" s="95"/>
      <c r="D102" s="95"/>
      <c r="E102" s="95"/>
      <c r="F102" s="112">
        <v>597.5</v>
      </c>
      <c r="G102" s="112">
        <v>525</v>
      </c>
      <c r="H102" s="110">
        <v>34197.990839999999</v>
      </c>
      <c r="I102" s="111">
        <v>16090.401075037604</v>
      </c>
      <c r="J102" s="110">
        <v>0</v>
      </c>
      <c r="K102" s="109">
        <v>50288.391915037602</v>
      </c>
    </row>
    <row r="103" spans="1:11">
      <c r="A103" s="104" t="s">
        <v>132</v>
      </c>
      <c r="B103" s="638" t="s">
        <v>62</v>
      </c>
      <c r="C103" s="638"/>
      <c r="D103" s="95"/>
      <c r="E103" s="95"/>
      <c r="F103" s="112">
        <v>0</v>
      </c>
      <c r="G103" s="112">
        <v>0</v>
      </c>
      <c r="H103" s="110">
        <v>0</v>
      </c>
      <c r="I103" s="111">
        <v>0</v>
      </c>
      <c r="J103" s="110">
        <v>0</v>
      </c>
      <c r="K103" s="109">
        <v>0</v>
      </c>
    </row>
    <row r="104" spans="1:11">
      <c r="A104" s="104" t="s">
        <v>128</v>
      </c>
      <c r="B104" s="626"/>
      <c r="C104" s="627"/>
      <c r="D104" s="625"/>
      <c r="E104" s="95"/>
      <c r="F104" s="112"/>
      <c r="G104" s="112"/>
      <c r="H104" s="110"/>
      <c r="I104" s="111">
        <v>0</v>
      </c>
      <c r="J104" s="110"/>
      <c r="K104" s="109">
        <v>0</v>
      </c>
    </row>
    <row r="105" spans="1:11">
      <c r="A105" s="104" t="s">
        <v>127</v>
      </c>
      <c r="B105" s="626"/>
      <c r="C105" s="627"/>
      <c r="D105" s="625"/>
      <c r="E105" s="95"/>
      <c r="F105" s="112"/>
      <c r="G105" s="112"/>
      <c r="H105" s="110"/>
      <c r="I105" s="111">
        <v>0</v>
      </c>
      <c r="J105" s="110"/>
      <c r="K105" s="109">
        <v>0</v>
      </c>
    </row>
    <row r="106" spans="1:11">
      <c r="A106" s="104" t="s">
        <v>129</v>
      </c>
      <c r="B106" s="626"/>
      <c r="C106" s="627"/>
      <c r="D106" s="625"/>
      <c r="E106" s="95"/>
      <c r="F106" s="112"/>
      <c r="G106" s="112"/>
      <c r="H106" s="110"/>
      <c r="I106" s="111">
        <v>0</v>
      </c>
      <c r="J106" s="110"/>
      <c r="K106" s="109">
        <v>0</v>
      </c>
    </row>
    <row r="107" spans="1:11">
      <c r="A107" s="95"/>
      <c r="B107" s="97"/>
      <c r="C107" s="95"/>
      <c r="D107" s="95"/>
      <c r="E107" s="95"/>
      <c r="F107" s="95"/>
      <c r="G107" s="95"/>
      <c r="H107" s="95"/>
      <c r="I107" s="95"/>
      <c r="J107" s="95"/>
      <c r="K107" s="95"/>
    </row>
    <row r="108" spans="1:11">
      <c r="A108" s="99" t="s">
        <v>153</v>
      </c>
      <c r="B108" s="122" t="s">
        <v>154</v>
      </c>
      <c r="C108" s="95"/>
      <c r="D108" s="95"/>
      <c r="E108" s="97" t="s">
        <v>7</v>
      </c>
      <c r="F108" s="102">
        <v>597.5</v>
      </c>
      <c r="G108" s="102">
        <v>525</v>
      </c>
      <c r="H108" s="109">
        <v>34197.990839999999</v>
      </c>
      <c r="I108" s="109">
        <v>16090.401075037604</v>
      </c>
      <c r="J108" s="109">
        <v>0</v>
      </c>
      <c r="K108" s="109">
        <v>50288.391915037602</v>
      </c>
    </row>
    <row r="109" spans="1:11" ht="16.5" thickBot="1">
      <c r="A109" s="121"/>
      <c r="B109" s="120"/>
      <c r="C109" s="119"/>
      <c r="D109" s="119"/>
      <c r="E109" s="119"/>
      <c r="F109" s="118"/>
      <c r="G109" s="118"/>
      <c r="H109" s="118"/>
      <c r="I109" s="118"/>
      <c r="J109" s="118"/>
      <c r="K109" s="118"/>
    </row>
    <row r="110" spans="1:11">
      <c r="A110" s="99" t="s">
        <v>156</v>
      </c>
      <c r="B110" s="97" t="s">
        <v>39</v>
      </c>
      <c r="C110" s="95"/>
      <c r="D110" s="95"/>
      <c r="E110" s="95"/>
      <c r="F110" s="95"/>
      <c r="G110" s="95"/>
      <c r="H110" s="95"/>
      <c r="I110" s="95"/>
      <c r="J110" s="95"/>
      <c r="K110" s="95"/>
    </row>
    <row r="111" spans="1:11">
      <c r="A111" s="99" t="s">
        <v>155</v>
      </c>
      <c r="B111" s="97" t="s">
        <v>164</v>
      </c>
      <c r="C111" s="95"/>
      <c r="D111" s="95"/>
      <c r="E111" s="97" t="s">
        <v>7</v>
      </c>
      <c r="F111" s="110">
        <v>25308000</v>
      </c>
      <c r="G111" s="95"/>
      <c r="H111" s="95"/>
      <c r="I111" s="95"/>
      <c r="J111" s="95"/>
      <c r="K111" s="95"/>
    </row>
    <row r="112" spans="1:11">
      <c r="A112" s="95"/>
      <c r="B112" s="97"/>
      <c r="C112" s="95"/>
      <c r="D112" s="95"/>
      <c r="E112" s="97"/>
      <c r="F112" s="116"/>
      <c r="G112" s="95"/>
      <c r="H112" s="95"/>
      <c r="I112" s="95"/>
      <c r="J112" s="95"/>
      <c r="K112" s="95"/>
    </row>
    <row r="113" spans="1:6">
      <c r="A113" s="99" t="s">
        <v>170</v>
      </c>
      <c r="B113" s="97" t="s">
        <v>15</v>
      </c>
      <c r="C113" s="95"/>
      <c r="D113" s="95"/>
      <c r="E113" s="95"/>
      <c r="F113" s="95"/>
    </row>
    <row r="114" spans="1:6">
      <c r="A114" s="104" t="s">
        <v>171</v>
      </c>
      <c r="B114" s="114" t="s">
        <v>35</v>
      </c>
      <c r="C114" s="95"/>
      <c r="D114" s="95"/>
      <c r="E114" s="95"/>
      <c r="F114" s="115">
        <v>0.47050720465768753</v>
      </c>
    </row>
    <row r="115" spans="1:6">
      <c r="A115" s="104"/>
      <c r="B115" s="97"/>
      <c r="C115" s="95"/>
      <c r="D115" s="95"/>
      <c r="E115" s="95"/>
      <c r="F115" s="95"/>
    </row>
    <row r="116" spans="1:6">
      <c r="A116" s="104"/>
      <c r="B116" s="97" t="s">
        <v>16</v>
      </c>
      <c r="C116" s="95"/>
      <c r="D116" s="95"/>
      <c r="E116" s="95"/>
      <c r="F116" s="95"/>
    </row>
    <row r="117" spans="1:6">
      <c r="A117" s="104" t="s">
        <v>172</v>
      </c>
      <c r="B117" s="114" t="s">
        <v>17</v>
      </c>
      <c r="C117" s="95"/>
      <c r="D117" s="95"/>
      <c r="E117" s="95"/>
      <c r="F117" s="110">
        <v>505487000</v>
      </c>
    </row>
    <row r="118" spans="1:6">
      <c r="A118" s="104" t="s">
        <v>173</v>
      </c>
      <c r="B118" s="95" t="s">
        <v>18</v>
      </c>
      <c r="C118" s="95"/>
      <c r="D118" s="95"/>
      <c r="E118" s="95"/>
      <c r="F118" s="110">
        <v>48471000</v>
      </c>
    </row>
    <row r="119" spans="1:6">
      <c r="A119" s="104" t="s">
        <v>174</v>
      </c>
      <c r="B119" s="97" t="s">
        <v>19</v>
      </c>
      <c r="C119" s="95"/>
      <c r="D119" s="95"/>
      <c r="E119" s="95"/>
      <c r="F119" s="113">
        <v>553958000</v>
      </c>
    </row>
    <row r="120" spans="1:6">
      <c r="A120" s="104"/>
      <c r="B120" s="97"/>
      <c r="C120" s="95"/>
      <c r="D120" s="95"/>
      <c r="E120" s="95"/>
      <c r="F120" s="95"/>
    </row>
    <row r="121" spans="1:6">
      <c r="A121" s="104" t="s">
        <v>167</v>
      </c>
      <c r="B121" s="97" t="s">
        <v>36</v>
      </c>
      <c r="C121" s="95"/>
      <c r="D121" s="95"/>
      <c r="E121" s="95"/>
      <c r="F121" s="110">
        <v>543333000</v>
      </c>
    </row>
    <row r="122" spans="1:6">
      <c r="A122" s="104"/>
      <c r="B122" s="95"/>
      <c r="C122" s="95"/>
      <c r="D122" s="95"/>
      <c r="E122" s="95"/>
      <c r="F122" s="95"/>
    </row>
    <row r="123" spans="1:6">
      <c r="A123" s="104" t="s">
        <v>175</v>
      </c>
      <c r="B123" s="97" t="s">
        <v>20</v>
      </c>
      <c r="C123" s="95"/>
      <c r="D123" s="95"/>
      <c r="E123" s="95"/>
      <c r="F123" s="110">
        <v>10625000</v>
      </c>
    </row>
    <row r="124" spans="1:6">
      <c r="A124" s="104"/>
      <c r="B124" s="95"/>
      <c r="C124" s="95"/>
      <c r="D124" s="95"/>
      <c r="E124" s="95"/>
      <c r="F124" s="95"/>
    </row>
    <row r="125" spans="1:6">
      <c r="A125" s="104" t="s">
        <v>176</v>
      </c>
      <c r="B125" s="97" t="s">
        <v>21</v>
      </c>
      <c r="C125" s="95"/>
      <c r="D125" s="95"/>
      <c r="E125" s="95"/>
      <c r="F125" s="110">
        <v>-6223000</v>
      </c>
    </row>
    <row r="126" spans="1:6">
      <c r="A126" s="104"/>
      <c r="B126" s="95"/>
      <c r="C126" s="95"/>
      <c r="D126" s="95"/>
      <c r="E126" s="95"/>
      <c r="F126" s="95"/>
    </row>
    <row r="127" spans="1:6">
      <c r="A127" s="104" t="s">
        <v>177</v>
      </c>
      <c r="B127" s="97" t="s">
        <v>22</v>
      </c>
      <c r="C127" s="95"/>
      <c r="D127" s="95"/>
      <c r="E127" s="95"/>
      <c r="F127" s="110">
        <v>4402000</v>
      </c>
    </row>
    <row r="128" spans="1:6">
      <c r="A128" s="104"/>
      <c r="B128" s="95"/>
      <c r="C128" s="95"/>
      <c r="D128" s="95"/>
      <c r="E128" s="95"/>
      <c r="F128" s="95"/>
    </row>
    <row r="129" spans="1:11" ht="26.25">
      <c r="A129" s="95"/>
      <c r="B129" s="95"/>
      <c r="C129" s="95"/>
      <c r="D129" s="95"/>
      <c r="E129" s="95"/>
      <c r="F129" s="108" t="s">
        <v>9</v>
      </c>
      <c r="G129" s="108" t="s">
        <v>37</v>
      </c>
      <c r="H129" s="108" t="s">
        <v>29</v>
      </c>
      <c r="I129" s="108" t="s">
        <v>30</v>
      </c>
      <c r="J129" s="108" t="s">
        <v>33</v>
      </c>
      <c r="K129" s="108" t="s">
        <v>34</v>
      </c>
    </row>
    <row r="130" spans="1:11">
      <c r="A130" s="99" t="s">
        <v>157</v>
      </c>
      <c r="B130" s="97" t="s">
        <v>23</v>
      </c>
      <c r="C130" s="95"/>
      <c r="D130" s="95"/>
      <c r="E130" s="95"/>
      <c r="F130" s="95"/>
      <c r="G130" s="95"/>
      <c r="H130" s="95"/>
      <c r="I130" s="95"/>
      <c r="J130" s="95"/>
      <c r="K130" s="95"/>
    </row>
    <row r="131" spans="1:11">
      <c r="A131" s="104" t="s">
        <v>158</v>
      </c>
      <c r="B131" s="95" t="s">
        <v>24</v>
      </c>
      <c r="C131" s="95"/>
      <c r="D131" s="95"/>
      <c r="E131" s="95"/>
      <c r="F131" s="112"/>
      <c r="G131" s="112"/>
      <c r="H131" s="110"/>
      <c r="I131" s="111">
        <v>0</v>
      </c>
      <c r="J131" s="110"/>
      <c r="K131" s="109">
        <v>0</v>
      </c>
    </row>
    <row r="132" spans="1:11">
      <c r="A132" s="104" t="s">
        <v>159</v>
      </c>
      <c r="B132" s="95" t="s">
        <v>25</v>
      </c>
      <c r="C132" s="95"/>
      <c r="D132" s="95"/>
      <c r="E132" s="95"/>
      <c r="F132" s="112"/>
      <c r="G132" s="112"/>
      <c r="H132" s="110"/>
      <c r="I132" s="111">
        <v>0</v>
      </c>
      <c r="J132" s="110"/>
      <c r="K132" s="109">
        <v>0</v>
      </c>
    </row>
    <row r="133" spans="1:11">
      <c r="A133" s="104" t="s">
        <v>160</v>
      </c>
      <c r="B133" s="618"/>
      <c r="C133" s="619"/>
      <c r="D133" s="620"/>
      <c r="E133" s="95"/>
      <c r="F133" s="112"/>
      <c r="G133" s="112"/>
      <c r="H133" s="110"/>
      <c r="I133" s="111">
        <v>0</v>
      </c>
      <c r="J133" s="110"/>
      <c r="K133" s="109">
        <v>0</v>
      </c>
    </row>
    <row r="134" spans="1:11">
      <c r="A134" s="104" t="s">
        <v>161</v>
      </c>
      <c r="B134" s="618"/>
      <c r="C134" s="619"/>
      <c r="D134" s="620"/>
      <c r="E134" s="95"/>
      <c r="F134" s="112"/>
      <c r="G134" s="112"/>
      <c r="H134" s="110"/>
      <c r="I134" s="111">
        <v>0</v>
      </c>
      <c r="J134" s="110"/>
      <c r="K134" s="109">
        <v>0</v>
      </c>
    </row>
    <row r="135" spans="1:11">
      <c r="A135" s="104" t="s">
        <v>162</v>
      </c>
      <c r="B135" s="618"/>
      <c r="C135" s="619"/>
      <c r="D135" s="620"/>
      <c r="E135" s="95"/>
      <c r="F135" s="112"/>
      <c r="G135" s="112"/>
      <c r="H135" s="110"/>
      <c r="I135" s="111">
        <v>0</v>
      </c>
      <c r="J135" s="110"/>
      <c r="K135" s="109">
        <v>0</v>
      </c>
    </row>
    <row r="136" spans="1:11">
      <c r="A136" s="99"/>
      <c r="B136" s="95"/>
      <c r="C136" s="95"/>
      <c r="D136" s="95"/>
      <c r="E136" s="95"/>
      <c r="F136" s="95"/>
      <c r="G136" s="95"/>
      <c r="H136" s="95"/>
      <c r="I136" s="95"/>
      <c r="J136" s="95"/>
      <c r="K136" s="95"/>
    </row>
    <row r="137" spans="1:11">
      <c r="A137" s="99" t="s">
        <v>163</v>
      </c>
      <c r="B137" s="97" t="s">
        <v>27</v>
      </c>
      <c r="C137" s="95"/>
      <c r="D137" s="95"/>
      <c r="E137" s="95"/>
      <c r="F137" s="102">
        <v>0</v>
      </c>
      <c r="G137" s="102">
        <v>0</v>
      </c>
      <c r="H137" s="109">
        <v>0</v>
      </c>
      <c r="I137" s="109">
        <v>0</v>
      </c>
      <c r="J137" s="109">
        <v>0</v>
      </c>
      <c r="K137" s="109">
        <v>0</v>
      </c>
    </row>
    <row r="138" spans="1:11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</row>
    <row r="139" spans="1:11" ht="26.25">
      <c r="A139" s="95"/>
      <c r="B139" s="95"/>
      <c r="C139" s="95"/>
      <c r="D139" s="95"/>
      <c r="E139" s="95"/>
      <c r="F139" s="108" t="s">
        <v>9</v>
      </c>
      <c r="G139" s="108" t="s">
        <v>37</v>
      </c>
      <c r="H139" s="108" t="s">
        <v>29</v>
      </c>
      <c r="I139" s="108" t="s">
        <v>30</v>
      </c>
      <c r="J139" s="108" t="s">
        <v>33</v>
      </c>
      <c r="K139" s="108" t="s">
        <v>34</v>
      </c>
    </row>
    <row r="140" spans="1:11">
      <c r="A140" s="99" t="s">
        <v>166</v>
      </c>
      <c r="B140" s="97" t="s">
        <v>26</v>
      </c>
      <c r="C140" s="95"/>
      <c r="D140" s="95"/>
      <c r="E140" s="95"/>
      <c r="F140" s="95"/>
      <c r="G140" s="95"/>
      <c r="H140" s="95"/>
      <c r="I140" s="95"/>
      <c r="J140" s="95"/>
      <c r="K140" s="95"/>
    </row>
    <row r="141" spans="1:11">
      <c r="A141" s="104" t="s">
        <v>137</v>
      </c>
      <c r="B141" s="97" t="s">
        <v>64</v>
      </c>
      <c r="C141" s="95"/>
      <c r="D141" s="95"/>
      <c r="E141" s="95"/>
      <c r="F141" s="107">
        <v>28783.07</v>
      </c>
      <c r="G141" s="107">
        <v>309515.3</v>
      </c>
      <c r="H141" s="167">
        <v>3176213.9774000002</v>
      </c>
      <c r="I141" s="167">
        <v>821204.39719627181</v>
      </c>
      <c r="J141" s="167">
        <v>0</v>
      </c>
      <c r="K141" s="167">
        <v>3997418.3745962717</v>
      </c>
    </row>
    <row r="142" spans="1:11">
      <c r="A142" s="104" t="s">
        <v>142</v>
      </c>
      <c r="B142" s="97" t="s">
        <v>65</v>
      </c>
      <c r="C142" s="95"/>
      <c r="D142" s="95"/>
      <c r="E142" s="95"/>
      <c r="F142" s="107">
        <v>40313.489199999996</v>
      </c>
      <c r="G142" s="107">
        <v>4769.5</v>
      </c>
      <c r="H142" s="167">
        <v>22892530.465639997</v>
      </c>
      <c r="I142" s="167">
        <v>0</v>
      </c>
      <c r="J142" s="167">
        <v>0</v>
      </c>
      <c r="K142" s="167">
        <v>22892530.465639997</v>
      </c>
    </row>
    <row r="143" spans="1:11">
      <c r="A143" s="104" t="s">
        <v>144</v>
      </c>
      <c r="B143" s="97" t="s">
        <v>66</v>
      </c>
      <c r="C143" s="95"/>
      <c r="D143" s="95"/>
      <c r="E143" s="95"/>
      <c r="F143" s="107">
        <v>16817</v>
      </c>
      <c r="G143" s="107">
        <v>734</v>
      </c>
      <c r="H143" s="167">
        <v>5480520.6429399997</v>
      </c>
      <c r="I143" s="167">
        <v>0</v>
      </c>
      <c r="J143" s="167">
        <v>773594</v>
      </c>
      <c r="K143" s="167">
        <v>4706926.6429399997</v>
      </c>
    </row>
    <row r="144" spans="1:11">
      <c r="A144" s="104" t="s">
        <v>146</v>
      </c>
      <c r="B144" s="97" t="s">
        <v>67</v>
      </c>
      <c r="C144" s="95"/>
      <c r="D144" s="95"/>
      <c r="E144" s="95"/>
      <c r="F144" s="107">
        <v>0</v>
      </c>
      <c r="G144" s="107">
        <v>0</v>
      </c>
      <c r="H144" s="167">
        <v>38003</v>
      </c>
      <c r="I144" s="167">
        <v>0</v>
      </c>
      <c r="J144" s="167">
        <v>0</v>
      </c>
      <c r="K144" s="167">
        <v>38003</v>
      </c>
    </row>
    <row r="145" spans="1:11">
      <c r="A145" s="104" t="s">
        <v>148</v>
      </c>
      <c r="B145" s="97" t="s">
        <v>68</v>
      </c>
      <c r="C145" s="95"/>
      <c r="D145" s="95"/>
      <c r="E145" s="95"/>
      <c r="F145" s="107">
        <v>7151.67</v>
      </c>
      <c r="G145" s="107">
        <v>37449.660000000003</v>
      </c>
      <c r="H145" s="167">
        <v>795024.09771999996</v>
      </c>
      <c r="I145" s="167">
        <v>0</v>
      </c>
      <c r="J145" s="167">
        <v>0</v>
      </c>
      <c r="K145" s="167">
        <v>795024.09771999996</v>
      </c>
    </row>
    <row r="146" spans="1:11">
      <c r="A146" s="104" t="s">
        <v>150</v>
      </c>
      <c r="B146" s="97" t="s">
        <v>69</v>
      </c>
      <c r="C146" s="95"/>
      <c r="D146" s="95"/>
      <c r="E146" s="95"/>
      <c r="F146" s="107">
        <v>5269</v>
      </c>
      <c r="G146" s="107">
        <v>8499</v>
      </c>
      <c r="H146" s="167">
        <v>2757505.6327500003</v>
      </c>
      <c r="I146" s="167">
        <v>306538.09408394049</v>
      </c>
      <c r="J146" s="167">
        <v>13200</v>
      </c>
      <c r="K146" s="167">
        <v>3050843.72683394</v>
      </c>
    </row>
    <row r="147" spans="1:11">
      <c r="A147" s="104" t="s">
        <v>153</v>
      </c>
      <c r="B147" s="97" t="s">
        <v>61</v>
      </c>
      <c r="C147" s="95"/>
      <c r="D147" s="95"/>
      <c r="E147" s="95"/>
      <c r="F147" s="102">
        <v>597.5</v>
      </c>
      <c r="G147" s="102">
        <v>525</v>
      </c>
      <c r="H147" s="166">
        <v>34197.990839999999</v>
      </c>
      <c r="I147" s="166">
        <v>16090.401075037604</v>
      </c>
      <c r="J147" s="166">
        <v>0</v>
      </c>
      <c r="K147" s="166">
        <v>50288.391915037602</v>
      </c>
    </row>
    <row r="148" spans="1:11">
      <c r="A148" s="104" t="s">
        <v>155</v>
      </c>
      <c r="B148" s="97" t="s">
        <v>70</v>
      </c>
      <c r="C148" s="95"/>
      <c r="D148" s="95"/>
      <c r="E148" s="95"/>
      <c r="F148" s="103" t="s">
        <v>73</v>
      </c>
      <c r="G148" s="103" t="s">
        <v>73</v>
      </c>
      <c r="H148" s="106" t="s">
        <v>73</v>
      </c>
      <c r="I148" s="106" t="s">
        <v>73</v>
      </c>
      <c r="J148" s="106" t="s">
        <v>73</v>
      </c>
      <c r="K148" s="105">
        <v>25308000</v>
      </c>
    </row>
    <row r="149" spans="1:11">
      <c r="A149" s="104" t="s">
        <v>163</v>
      </c>
      <c r="B149" s="97" t="s">
        <v>71</v>
      </c>
      <c r="C149" s="95"/>
      <c r="D149" s="95"/>
      <c r="E149" s="95"/>
      <c r="F149" s="102">
        <v>0</v>
      </c>
      <c r="G149" s="102">
        <v>0</v>
      </c>
      <c r="H149" s="102">
        <v>0</v>
      </c>
      <c r="I149" s="102">
        <v>0</v>
      </c>
      <c r="J149" s="102">
        <v>0</v>
      </c>
      <c r="K149" s="102">
        <v>0</v>
      </c>
    </row>
    <row r="150" spans="1:11">
      <c r="A150" s="104" t="s">
        <v>185</v>
      </c>
      <c r="B150" s="97" t="s">
        <v>183</v>
      </c>
      <c r="C150" s="95"/>
      <c r="D150" s="95"/>
      <c r="E150" s="95"/>
      <c r="F150" s="103" t="s">
        <v>73</v>
      </c>
      <c r="G150" s="103" t="s">
        <v>73</v>
      </c>
      <c r="H150" s="102">
        <v>14973093</v>
      </c>
      <c r="I150" s="102">
        <v>0</v>
      </c>
      <c r="J150" s="102">
        <v>12803866</v>
      </c>
      <c r="K150" s="102">
        <v>2169227</v>
      </c>
    </row>
    <row r="151" spans="1:11">
      <c r="A151" s="95"/>
      <c r="B151" s="97"/>
      <c r="C151" s="95"/>
      <c r="D151" s="95"/>
      <c r="E151" s="95"/>
      <c r="F151" s="101"/>
      <c r="G151" s="101"/>
      <c r="H151" s="101"/>
      <c r="I151" s="101"/>
      <c r="J151" s="101"/>
      <c r="K151" s="101"/>
    </row>
    <row r="152" spans="1:11">
      <c r="A152" s="99" t="s">
        <v>165</v>
      </c>
      <c r="B152" s="97" t="s">
        <v>26</v>
      </c>
      <c r="C152" s="95"/>
      <c r="D152" s="95"/>
      <c r="E152" s="95"/>
      <c r="F152" s="100">
        <v>98931.729199999987</v>
      </c>
      <c r="G152" s="100">
        <v>361492.45999999996</v>
      </c>
      <c r="H152" s="166">
        <v>50147088.807290003</v>
      </c>
      <c r="I152" s="166">
        <v>1143832.89235525</v>
      </c>
      <c r="J152" s="166">
        <v>13590660</v>
      </c>
      <c r="K152" s="166">
        <v>63008261.699645251</v>
      </c>
    </row>
    <row r="154" spans="1:11">
      <c r="A154" s="99" t="s">
        <v>168</v>
      </c>
      <c r="B154" s="97" t="s">
        <v>28</v>
      </c>
      <c r="C154" s="95"/>
      <c r="D154" s="95"/>
      <c r="E154" s="95"/>
      <c r="F154" s="165">
        <v>0.11596619697247407</v>
      </c>
      <c r="G154" s="95"/>
      <c r="H154" s="95"/>
      <c r="I154" s="95"/>
      <c r="J154" s="95"/>
      <c r="K154" s="95"/>
    </row>
    <row r="155" spans="1:11">
      <c r="A155" s="99" t="s">
        <v>169</v>
      </c>
      <c r="B155" s="97" t="s">
        <v>72</v>
      </c>
      <c r="C155" s="95"/>
      <c r="D155" s="95"/>
      <c r="E155" s="95"/>
      <c r="F155" s="165">
        <v>14.313553316593651</v>
      </c>
      <c r="G155" s="97"/>
      <c r="H155" s="95"/>
      <c r="I155" s="95"/>
      <c r="J155" s="95"/>
      <c r="K155" s="95"/>
    </row>
    <row r="156" spans="1:11">
      <c r="A156" s="95"/>
      <c r="B156" s="95"/>
      <c r="C156" s="95"/>
      <c r="D156" s="95"/>
      <c r="E156" s="95"/>
      <c r="F156" s="95"/>
      <c r="G156" s="97"/>
      <c r="H156" s="95"/>
      <c r="I156" s="95"/>
      <c r="J156" s="95"/>
      <c r="K156" s="95"/>
    </row>
  </sheetData>
  <mergeCells count="32">
    <mergeCell ref="B134:D134"/>
    <mergeCell ref="B135:D135"/>
    <mergeCell ref="B133:D133"/>
    <mergeCell ref="B104:D104"/>
    <mergeCell ref="B105:D105"/>
    <mergeCell ref="B106:D106"/>
    <mergeCell ref="B103:C103"/>
    <mergeCell ref="B41:C41"/>
    <mergeCell ref="B44:D44"/>
    <mergeCell ref="B94:D94"/>
    <mergeCell ref="B61:D61"/>
    <mergeCell ref="B96:D96"/>
    <mergeCell ref="B52:C52"/>
    <mergeCell ref="B90:C90"/>
    <mergeCell ref="B62:D62"/>
    <mergeCell ref="B95:D95"/>
    <mergeCell ref="D2:H2"/>
    <mergeCell ref="B45:D45"/>
    <mergeCell ref="B46:D46"/>
    <mergeCell ref="B47:D47"/>
    <mergeCell ref="B34:D34"/>
    <mergeCell ref="C11:G11"/>
    <mergeCell ref="B30:D30"/>
    <mergeCell ref="A16:B16"/>
    <mergeCell ref="A19:B19"/>
    <mergeCell ref="B13:H13"/>
    <mergeCell ref="B31:D31"/>
    <mergeCell ref="C5:G5"/>
    <mergeCell ref="C6:G6"/>
    <mergeCell ref="C7:G7"/>
    <mergeCell ref="C9:G9"/>
    <mergeCell ref="C10:G10"/>
  </mergeCells>
  <pageMargins left="0.45" right="0.45" top="0.75" bottom="0.75" header="0.3" footer="0.3"/>
  <pageSetup scale="67" orientation="landscape" r:id="rId1"/>
  <rowBreaks count="3" manualBreakCount="3">
    <brk id="37" max="16383" man="1"/>
    <brk id="65" max="16383" man="1"/>
    <brk id="10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view="pageBreakPreview" zoomScaleNormal="100" zoomScaleSheetLayoutView="100" workbookViewId="0"/>
  </sheetViews>
  <sheetFormatPr defaultColWidth="8.85546875" defaultRowHeight="15"/>
  <cols>
    <col min="1" max="1" width="8.28515625" style="292" customWidth="1"/>
    <col min="2" max="2" width="55.42578125" style="291" bestFit="1" customWidth="1"/>
    <col min="3" max="3" width="9.5703125" style="291" customWidth="1"/>
    <col min="4" max="4" width="8.85546875" style="291"/>
    <col min="5" max="5" width="12.42578125" style="291" customWidth="1"/>
    <col min="6" max="6" width="18.5703125" style="291" customWidth="1"/>
    <col min="7" max="7" width="23.5703125" style="291" customWidth="1"/>
    <col min="8" max="8" width="17.140625" style="291" customWidth="1"/>
    <col min="9" max="9" width="21.140625" style="291" customWidth="1"/>
    <col min="10" max="10" width="19.85546875" style="291" customWidth="1"/>
    <col min="11" max="11" width="17.5703125" style="291" customWidth="1"/>
    <col min="12" max="16384" width="8.85546875" style="291"/>
  </cols>
  <sheetData>
    <row r="1" spans="1:11" ht="18" customHeight="1">
      <c r="C1" s="351"/>
      <c r="D1" s="352"/>
      <c r="E1" s="351"/>
      <c r="F1" s="351"/>
      <c r="G1" s="351"/>
      <c r="H1" s="351"/>
      <c r="I1" s="351"/>
      <c r="J1" s="351"/>
      <c r="K1" s="351"/>
    </row>
    <row r="2" spans="1:11" ht="18" customHeight="1">
      <c r="D2" s="560" t="s">
        <v>187</v>
      </c>
      <c r="E2" s="561"/>
      <c r="F2" s="561"/>
      <c r="G2" s="561"/>
      <c r="H2" s="561"/>
    </row>
    <row r="3" spans="1:11" ht="18" customHeight="1">
      <c r="B3" s="293" t="s">
        <v>0</v>
      </c>
    </row>
    <row r="4" spans="1:11" ht="18" customHeight="1"/>
    <row r="5" spans="1:11" ht="18" customHeight="1">
      <c r="B5" s="300" t="s">
        <v>40</v>
      </c>
      <c r="C5" s="562" t="s">
        <v>505</v>
      </c>
      <c r="D5" s="563"/>
      <c r="E5" s="563"/>
      <c r="F5" s="563"/>
      <c r="G5" s="564"/>
    </row>
    <row r="6" spans="1:11" ht="18" customHeight="1">
      <c r="B6" s="300" t="s">
        <v>3</v>
      </c>
      <c r="C6" s="665">
        <v>2001</v>
      </c>
      <c r="D6" s="666"/>
      <c r="E6" s="666"/>
      <c r="F6" s="666"/>
      <c r="G6" s="667"/>
    </row>
    <row r="7" spans="1:11" ht="18" customHeight="1">
      <c r="B7" s="300" t="s">
        <v>4</v>
      </c>
      <c r="C7" s="668">
        <v>695</v>
      </c>
      <c r="D7" s="669"/>
      <c r="E7" s="669"/>
      <c r="F7" s="669"/>
      <c r="G7" s="670"/>
    </row>
    <row r="8" spans="1:11" ht="18" customHeight="1"/>
    <row r="9" spans="1:11" ht="18" customHeight="1">
      <c r="B9" s="300" t="s">
        <v>1</v>
      </c>
      <c r="C9" s="562" t="s">
        <v>504</v>
      </c>
      <c r="D9" s="563"/>
      <c r="E9" s="563"/>
      <c r="F9" s="563"/>
      <c r="G9" s="564"/>
    </row>
    <row r="10" spans="1:11" ht="18" customHeight="1">
      <c r="B10" s="300" t="s">
        <v>2</v>
      </c>
      <c r="C10" s="565" t="s">
        <v>503</v>
      </c>
      <c r="D10" s="566"/>
      <c r="E10" s="566"/>
      <c r="F10" s="566"/>
      <c r="G10" s="567"/>
    </row>
    <row r="11" spans="1:11" ht="18" customHeight="1">
      <c r="B11" s="300" t="s">
        <v>32</v>
      </c>
      <c r="C11" s="562" t="s">
        <v>502</v>
      </c>
      <c r="D11" s="568"/>
      <c r="E11" s="568"/>
      <c r="F11" s="568"/>
      <c r="G11" s="568"/>
    </row>
    <row r="12" spans="1:11" ht="18" customHeight="1">
      <c r="B12" s="300"/>
      <c r="C12" s="300"/>
      <c r="D12" s="300"/>
      <c r="E12" s="300"/>
      <c r="F12" s="300"/>
      <c r="G12" s="300"/>
    </row>
    <row r="13" spans="1:11" ht="24.6" customHeight="1">
      <c r="B13" s="569"/>
      <c r="C13" s="570"/>
      <c r="D13" s="570"/>
      <c r="E13" s="570"/>
      <c r="F13" s="570"/>
      <c r="G13" s="570"/>
      <c r="H13" s="571"/>
      <c r="I13" s="351"/>
    </row>
    <row r="14" spans="1:11" ht="18" customHeight="1">
      <c r="B14" s="353"/>
    </row>
    <row r="15" spans="1:11" ht="18" customHeight="1">
      <c r="B15" s="353"/>
    </row>
    <row r="16" spans="1:11" ht="45" customHeight="1">
      <c r="A16" s="352" t="s">
        <v>181</v>
      </c>
      <c r="B16" s="351"/>
      <c r="C16" s="351"/>
      <c r="D16" s="351"/>
      <c r="E16" s="351"/>
      <c r="F16" s="304" t="s">
        <v>9</v>
      </c>
      <c r="G16" s="304" t="s">
        <v>37</v>
      </c>
      <c r="H16" s="304" t="s">
        <v>29</v>
      </c>
      <c r="I16" s="304" t="s">
        <v>30</v>
      </c>
      <c r="J16" s="304" t="s">
        <v>33</v>
      </c>
      <c r="K16" s="304" t="s">
        <v>34</v>
      </c>
    </row>
    <row r="17" spans="1:11" ht="18" customHeight="1">
      <c r="A17" s="295" t="s">
        <v>184</v>
      </c>
      <c r="B17" s="293" t="s">
        <v>182</v>
      </c>
    </row>
    <row r="18" spans="1:11" ht="18" customHeight="1">
      <c r="A18" s="300" t="s">
        <v>185</v>
      </c>
      <c r="B18" s="311" t="s">
        <v>183</v>
      </c>
      <c r="F18" s="308" t="s">
        <v>73</v>
      </c>
      <c r="G18" s="308" t="s">
        <v>73</v>
      </c>
      <c r="H18" s="306">
        <v>2854646</v>
      </c>
      <c r="I18" s="307">
        <v>0</v>
      </c>
      <c r="J18" s="306">
        <v>2441079</v>
      </c>
      <c r="K18" s="305">
        <f>(H18+I18)-J18</f>
        <v>413567</v>
      </c>
    </row>
    <row r="19" spans="1:11" ht="45" customHeight="1">
      <c r="A19" s="352" t="s">
        <v>8</v>
      </c>
      <c r="B19" s="351"/>
      <c r="C19" s="351"/>
      <c r="D19" s="351"/>
      <c r="E19" s="351"/>
      <c r="F19" s="304" t="s">
        <v>9</v>
      </c>
      <c r="G19" s="304" t="s">
        <v>37</v>
      </c>
      <c r="H19" s="304" t="s">
        <v>29</v>
      </c>
      <c r="I19" s="304" t="s">
        <v>30</v>
      </c>
      <c r="J19" s="304" t="s">
        <v>33</v>
      </c>
      <c r="K19" s="304" t="s">
        <v>34</v>
      </c>
    </row>
    <row r="20" spans="1:11" ht="18" customHeight="1">
      <c r="A20" s="295" t="s">
        <v>74</v>
      </c>
      <c r="B20" s="293" t="s">
        <v>41</v>
      </c>
    </row>
    <row r="21" spans="1:11" ht="18" customHeight="1">
      <c r="A21" s="300" t="s">
        <v>75</v>
      </c>
      <c r="B21" s="311" t="s">
        <v>42</v>
      </c>
      <c r="F21" s="308">
        <v>41</v>
      </c>
      <c r="G21" s="308">
        <v>5500</v>
      </c>
      <c r="H21" s="306">
        <v>1522</v>
      </c>
      <c r="I21" s="307">
        <f t="shared" ref="I21:I34" si="0">H21*F$114</f>
        <v>581.22103274148878</v>
      </c>
      <c r="J21" s="306"/>
      <c r="K21" s="305">
        <f t="shared" ref="K21:K34" si="1">(H21+I21)-J21</f>
        <v>2103.2210327414887</v>
      </c>
    </row>
    <row r="22" spans="1:11" ht="18" customHeight="1">
      <c r="A22" s="300" t="s">
        <v>76</v>
      </c>
      <c r="B22" s="291" t="s">
        <v>6</v>
      </c>
      <c r="F22" s="308">
        <v>1261</v>
      </c>
      <c r="G22" s="308">
        <v>3039</v>
      </c>
      <c r="H22" s="306">
        <v>46003</v>
      </c>
      <c r="I22" s="307">
        <f t="shared" si="0"/>
        <v>17567.615748493237</v>
      </c>
      <c r="J22" s="306"/>
      <c r="K22" s="305">
        <f t="shared" si="1"/>
        <v>63570.615748493234</v>
      </c>
    </row>
    <row r="23" spans="1:11" ht="18" customHeight="1">
      <c r="A23" s="300" t="s">
        <v>77</v>
      </c>
      <c r="B23" s="291" t="s">
        <v>43</v>
      </c>
      <c r="F23" s="308"/>
      <c r="G23" s="308"/>
      <c r="H23" s="306"/>
      <c r="I23" s="307">
        <f t="shared" si="0"/>
        <v>0</v>
      </c>
      <c r="J23" s="306"/>
      <c r="K23" s="305">
        <f t="shared" si="1"/>
        <v>0</v>
      </c>
    </row>
    <row r="24" spans="1:11" ht="18" customHeight="1">
      <c r="A24" s="300" t="s">
        <v>78</v>
      </c>
      <c r="B24" s="291" t="s">
        <v>44</v>
      </c>
      <c r="F24" s="308"/>
      <c r="G24" s="308"/>
      <c r="H24" s="306"/>
      <c r="I24" s="307">
        <f t="shared" si="0"/>
        <v>0</v>
      </c>
      <c r="J24" s="306"/>
      <c r="K24" s="305">
        <f t="shared" si="1"/>
        <v>0</v>
      </c>
    </row>
    <row r="25" spans="1:11" ht="18" customHeight="1">
      <c r="A25" s="300" t="s">
        <v>79</v>
      </c>
      <c r="B25" s="291" t="s">
        <v>5</v>
      </c>
      <c r="F25" s="308"/>
      <c r="G25" s="308"/>
      <c r="H25" s="306"/>
      <c r="I25" s="307">
        <f t="shared" si="0"/>
        <v>0</v>
      </c>
      <c r="J25" s="306"/>
      <c r="K25" s="305">
        <f t="shared" si="1"/>
        <v>0</v>
      </c>
    </row>
    <row r="26" spans="1:11" ht="18" customHeight="1">
      <c r="A26" s="300" t="s">
        <v>80</v>
      </c>
      <c r="B26" s="291" t="s">
        <v>45</v>
      </c>
      <c r="F26" s="308">
        <v>123</v>
      </c>
      <c r="G26" s="308">
        <v>842</v>
      </c>
      <c r="H26" s="306">
        <v>5864</v>
      </c>
      <c r="I26" s="307">
        <f t="shared" si="0"/>
        <v>2239.3430591301512</v>
      </c>
      <c r="J26" s="306"/>
      <c r="K26" s="305">
        <f t="shared" si="1"/>
        <v>8103.3430591301512</v>
      </c>
    </row>
    <row r="27" spans="1:11" ht="18" customHeight="1">
      <c r="A27" s="300" t="s">
        <v>81</v>
      </c>
      <c r="B27" s="291" t="s">
        <v>46</v>
      </c>
      <c r="F27" s="308"/>
      <c r="G27" s="308"/>
      <c r="H27" s="306"/>
      <c r="I27" s="307">
        <f t="shared" si="0"/>
        <v>0</v>
      </c>
      <c r="J27" s="306"/>
      <c r="K27" s="305">
        <f t="shared" si="1"/>
        <v>0</v>
      </c>
    </row>
    <row r="28" spans="1:11" ht="18" customHeight="1">
      <c r="A28" s="300" t="s">
        <v>82</v>
      </c>
      <c r="B28" s="291" t="s">
        <v>47</v>
      </c>
      <c r="F28" s="308"/>
      <c r="G28" s="308"/>
      <c r="H28" s="306"/>
      <c r="I28" s="307">
        <f t="shared" si="0"/>
        <v>0</v>
      </c>
      <c r="J28" s="306"/>
      <c r="K28" s="305">
        <f t="shared" si="1"/>
        <v>0</v>
      </c>
    </row>
    <row r="29" spans="1:11" ht="18" customHeight="1">
      <c r="A29" s="300" t="s">
        <v>83</v>
      </c>
      <c r="B29" s="291" t="s">
        <v>48</v>
      </c>
      <c r="F29" s="308"/>
      <c r="G29" s="308"/>
      <c r="H29" s="306"/>
      <c r="I29" s="307">
        <f t="shared" si="0"/>
        <v>0</v>
      </c>
      <c r="J29" s="306"/>
      <c r="K29" s="305">
        <f t="shared" si="1"/>
        <v>0</v>
      </c>
    </row>
    <row r="30" spans="1:11" ht="18" customHeight="1">
      <c r="A30" s="300" t="s">
        <v>84</v>
      </c>
      <c r="B30" s="572" t="s">
        <v>501</v>
      </c>
      <c r="C30" s="573"/>
      <c r="D30" s="574"/>
      <c r="F30" s="308">
        <v>30</v>
      </c>
      <c r="G30" s="308">
        <v>1400</v>
      </c>
      <c r="H30" s="306">
        <v>1628</v>
      </c>
      <c r="I30" s="307">
        <f t="shared" si="0"/>
        <v>621.70028994950314</v>
      </c>
      <c r="J30" s="306"/>
      <c r="K30" s="305">
        <f t="shared" si="1"/>
        <v>2249.7002899495033</v>
      </c>
    </row>
    <row r="31" spans="1:11" ht="18" customHeight="1">
      <c r="A31" s="300" t="s">
        <v>133</v>
      </c>
      <c r="B31" s="572" t="s">
        <v>500</v>
      </c>
      <c r="C31" s="573"/>
      <c r="D31" s="574"/>
      <c r="F31" s="308">
        <v>12</v>
      </c>
      <c r="G31" s="308">
        <v>75</v>
      </c>
      <c r="H31" s="306">
        <v>529</v>
      </c>
      <c r="I31" s="307">
        <f t="shared" si="0"/>
        <v>202.01440625509039</v>
      </c>
      <c r="J31" s="306"/>
      <c r="K31" s="305">
        <f t="shared" si="1"/>
        <v>731.01440625509042</v>
      </c>
    </row>
    <row r="32" spans="1:11" ht="18" customHeight="1">
      <c r="A32" s="300" t="s">
        <v>134</v>
      </c>
      <c r="B32" s="350"/>
      <c r="C32" s="349"/>
      <c r="D32" s="348"/>
      <c r="F32" s="308"/>
      <c r="G32" s="347" t="s">
        <v>85</v>
      </c>
      <c r="H32" s="306"/>
      <c r="I32" s="307">
        <f t="shared" si="0"/>
        <v>0</v>
      </c>
      <c r="J32" s="306"/>
      <c r="K32" s="305">
        <f t="shared" si="1"/>
        <v>0</v>
      </c>
    </row>
    <row r="33" spans="1:11" ht="18" customHeight="1">
      <c r="A33" s="300" t="s">
        <v>135</v>
      </c>
      <c r="B33" s="350"/>
      <c r="C33" s="349"/>
      <c r="D33" s="348"/>
      <c r="F33" s="308"/>
      <c r="G33" s="347" t="s">
        <v>85</v>
      </c>
      <c r="H33" s="306"/>
      <c r="I33" s="307">
        <f t="shared" si="0"/>
        <v>0</v>
      </c>
      <c r="J33" s="306"/>
      <c r="K33" s="305">
        <f t="shared" si="1"/>
        <v>0</v>
      </c>
    </row>
    <row r="34" spans="1:11" ht="18" customHeight="1">
      <c r="A34" s="300" t="s">
        <v>136</v>
      </c>
      <c r="B34" s="572"/>
      <c r="C34" s="573"/>
      <c r="D34" s="574"/>
      <c r="F34" s="308"/>
      <c r="G34" s="347" t="s">
        <v>85</v>
      </c>
      <c r="H34" s="306"/>
      <c r="I34" s="307">
        <f t="shared" si="0"/>
        <v>0</v>
      </c>
      <c r="J34" s="306"/>
      <c r="K34" s="305">
        <f t="shared" si="1"/>
        <v>0</v>
      </c>
    </row>
    <row r="35" spans="1:11" ht="18" customHeight="1">
      <c r="K35" s="346"/>
    </row>
    <row r="36" spans="1:11" ht="18" customHeight="1">
      <c r="A36" s="295" t="s">
        <v>137</v>
      </c>
      <c r="B36" s="293" t="s">
        <v>138</v>
      </c>
      <c r="E36" s="293" t="s">
        <v>7</v>
      </c>
      <c r="F36" s="298">
        <f t="shared" ref="F36:K36" si="2">SUM(F21:F34)</f>
        <v>1467</v>
      </c>
      <c r="G36" s="298">
        <f t="shared" si="2"/>
        <v>10856</v>
      </c>
      <c r="H36" s="298">
        <f t="shared" si="2"/>
        <v>55546</v>
      </c>
      <c r="I36" s="305">
        <f t="shared" si="2"/>
        <v>21211.894536569471</v>
      </c>
      <c r="J36" s="305">
        <f t="shared" si="2"/>
        <v>0</v>
      </c>
      <c r="K36" s="305">
        <f t="shared" si="2"/>
        <v>76757.894536569467</v>
      </c>
    </row>
    <row r="37" spans="1:11" ht="18" customHeight="1" thickBot="1">
      <c r="B37" s="293"/>
      <c r="F37" s="345"/>
      <c r="G37" s="345"/>
      <c r="H37" s="344"/>
      <c r="I37" s="344"/>
      <c r="J37" s="344"/>
      <c r="K37" s="343"/>
    </row>
    <row r="38" spans="1:11" ht="42.75" customHeight="1">
      <c r="F38" s="304" t="s">
        <v>9</v>
      </c>
      <c r="G38" s="304" t="s">
        <v>37</v>
      </c>
      <c r="H38" s="304" t="s">
        <v>29</v>
      </c>
      <c r="I38" s="304" t="s">
        <v>30</v>
      </c>
      <c r="J38" s="304" t="s">
        <v>33</v>
      </c>
      <c r="K38" s="304" t="s">
        <v>34</v>
      </c>
    </row>
    <row r="39" spans="1:11" ht="18.75" customHeight="1">
      <c r="A39" s="295" t="s">
        <v>86</v>
      </c>
      <c r="B39" s="293" t="s">
        <v>49</v>
      </c>
    </row>
    <row r="40" spans="1:11" ht="18" customHeight="1">
      <c r="A40" s="300" t="s">
        <v>87</v>
      </c>
      <c r="B40" s="291" t="s">
        <v>31</v>
      </c>
      <c r="F40" s="308">
        <v>48199.540291527403</v>
      </c>
      <c r="G40" s="308"/>
      <c r="H40" s="306">
        <v>3459423.7576305452</v>
      </c>
      <c r="I40" s="307">
        <f>H40*F$114</f>
        <v>1321084.0007230404</v>
      </c>
      <c r="J40" s="306"/>
      <c r="K40" s="305">
        <f t="shared" ref="K40:K47" si="3">(H40+I40)-J40</f>
        <v>4780507.7583535854</v>
      </c>
    </row>
    <row r="41" spans="1:11" ht="18" customHeight="1">
      <c r="A41" s="300" t="s">
        <v>88</v>
      </c>
      <c r="B41" s="575" t="s">
        <v>50</v>
      </c>
      <c r="C41" s="576"/>
      <c r="F41" s="308">
        <v>19661</v>
      </c>
      <c r="G41" s="308">
        <v>311</v>
      </c>
      <c r="H41" s="306">
        <v>576763</v>
      </c>
      <c r="I41" s="307">
        <f>H41*F$114</f>
        <v>220254.13042515065</v>
      </c>
      <c r="J41" s="306"/>
      <c r="K41" s="305">
        <f t="shared" si="3"/>
        <v>797017.13042515062</v>
      </c>
    </row>
    <row r="42" spans="1:11" ht="18" customHeight="1">
      <c r="A42" s="300" t="s">
        <v>89</v>
      </c>
      <c r="B42" s="311" t="s">
        <v>11</v>
      </c>
      <c r="F42" s="308">
        <v>18242</v>
      </c>
      <c r="G42" s="308">
        <v>486</v>
      </c>
      <c r="H42" s="306">
        <v>1012475</v>
      </c>
      <c r="I42" s="307">
        <f>H42*F$114</f>
        <v>386643.73529890861</v>
      </c>
      <c r="J42" s="306"/>
      <c r="K42" s="305">
        <f t="shared" si="3"/>
        <v>1399118.7352989085</v>
      </c>
    </row>
    <row r="43" spans="1:11" ht="18" customHeight="1">
      <c r="A43" s="300" t="s">
        <v>90</v>
      </c>
      <c r="B43" s="342" t="s">
        <v>10</v>
      </c>
      <c r="C43" s="314"/>
      <c r="D43" s="314"/>
      <c r="F43" s="308"/>
      <c r="G43" s="308"/>
      <c r="H43" s="306"/>
      <c r="I43" s="307">
        <v>0</v>
      </c>
      <c r="J43" s="306"/>
      <c r="K43" s="305">
        <f t="shared" si="3"/>
        <v>0</v>
      </c>
    </row>
    <row r="44" spans="1:11" ht="18" customHeight="1">
      <c r="A44" s="300" t="s">
        <v>91</v>
      </c>
      <c r="B44" s="572" t="s">
        <v>499</v>
      </c>
      <c r="C44" s="573"/>
      <c r="D44" s="574"/>
      <c r="F44" s="308">
        <v>352</v>
      </c>
      <c r="G44" s="308">
        <v>62</v>
      </c>
      <c r="H44" s="308">
        <v>2136</v>
      </c>
      <c r="I44" s="307">
        <f>H44*F$114</f>
        <v>815.69522071998688</v>
      </c>
      <c r="J44" s="308"/>
      <c r="K44" s="310">
        <f t="shared" si="3"/>
        <v>2951.695220719987</v>
      </c>
    </row>
    <row r="45" spans="1:11" ht="18" customHeight="1">
      <c r="A45" s="300" t="s">
        <v>139</v>
      </c>
      <c r="B45" s="572" t="s">
        <v>498</v>
      </c>
      <c r="C45" s="573"/>
      <c r="D45" s="574"/>
      <c r="F45" s="308">
        <v>3749</v>
      </c>
      <c r="G45" s="308">
        <v>23</v>
      </c>
      <c r="H45" s="306">
        <v>186700</v>
      </c>
      <c r="I45" s="307">
        <f>H45*F$114</f>
        <v>71296.955856002605</v>
      </c>
      <c r="J45" s="306"/>
      <c r="K45" s="305">
        <f t="shared" si="3"/>
        <v>257996.95585600261</v>
      </c>
    </row>
    <row r="46" spans="1:11" ht="18" customHeight="1">
      <c r="A46" s="300" t="s">
        <v>140</v>
      </c>
      <c r="B46" s="572"/>
      <c r="C46" s="573"/>
      <c r="D46" s="574"/>
      <c r="F46" s="308"/>
      <c r="G46" s="308"/>
      <c r="H46" s="306"/>
      <c r="I46" s="307">
        <v>0</v>
      </c>
      <c r="J46" s="306"/>
      <c r="K46" s="305">
        <f t="shared" si="3"/>
        <v>0</v>
      </c>
    </row>
    <row r="47" spans="1:11" ht="18" customHeight="1">
      <c r="A47" s="300" t="s">
        <v>141</v>
      </c>
      <c r="B47" s="572"/>
      <c r="C47" s="573"/>
      <c r="D47" s="574"/>
      <c r="F47" s="308"/>
      <c r="G47" s="308"/>
      <c r="H47" s="306"/>
      <c r="I47" s="307">
        <v>0</v>
      </c>
      <c r="J47" s="306"/>
      <c r="K47" s="305">
        <f t="shared" si="3"/>
        <v>0</v>
      </c>
    </row>
    <row r="48" spans="1:11" ht="18" customHeight="1"/>
    <row r="49" spans="1:11" ht="18" customHeight="1">
      <c r="A49" s="295" t="s">
        <v>142</v>
      </c>
      <c r="B49" s="293" t="s">
        <v>143</v>
      </c>
      <c r="E49" s="293" t="s">
        <v>7</v>
      </c>
      <c r="F49" s="341">
        <f t="shared" ref="F49:K49" si="4">SUM(F40:F47)</f>
        <v>90203.540291527403</v>
      </c>
      <c r="G49" s="341">
        <f t="shared" si="4"/>
        <v>882</v>
      </c>
      <c r="H49" s="305">
        <f t="shared" si="4"/>
        <v>5237497.7576305456</v>
      </c>
      <c r="I49" s="305">
        <f t="shared" si="4"/>
        <v>2000094.5175238224</v>
      </c>
      <c r="J49" s="305">
        <f t="shared" si="4"/>
        <v>0</v>
      </c>
      <c r="K49" s="305">
        <f t="shared" si="4"/>
        <v>7237592.2751543671</v>
      </c>
    </row>
    <row r="50" spans="1:11" ht="18" customHeight="1" thickBot="1">
      <c r="G50" s="315"/>
      <c r="H50" s="315"/>
      <c r="I50" s="315"/>
      <c r="J50" s="315"/>
      <c r="K50" s="315"/>
    </row>
    <row r="51" spans="1:11" ht="42.75" customHeight="1">
      <c r="F51" s="304" t="s">
        <v>9</v>
      </c>
      <c r="G51" s="304" t="s">
        <v>37</v>
      </c>
      <c r="H51" s="304" t="s">
        <v>29</v>
      </c>
      <c r="I51" s="304" t="s">
        <v>30</v>
      </c>
      <c r="J51" s="304" t="s">
        <v>33</v>
      </c>
      <c r="K51" s="304" t="s">
        <v>34</v>
      </c>
    </row>
    <row r="52" spans="1:11" ht="18" customHeight="1">
      <c r="A52" s="295" t="s">
        <v>92</v>
      </c>
      <c r="B52" s="577" t="s">
        <v>38</v>
      </c>
      <c r="C52" s="578"/>
    </row>
    <row r="53" spans="1:11" ht="18" customHeight="1">
      <c r="A53" s="300" t="s">
        <v>51</v>
      </c>
      <c r="B53" s="579" t="s">
        <v>497</v>
      </c>
      <c r="C53" s="580"/>
      <c r="D53" s="581"/>
      <c r="F53" s="308">
        <v>480</v>
      </c>
      <c r="G53" s="308">
        <v>1080</v>
      </c>
      <c r="H53" s="306">
        <v>15569</v>
      </c>
      <c r="I53" s="307">
        <f t="shared" ref="I53:I59" si="5">H53*F$114</f>
        <v>5945.4863723733506</v>
      </c>
      <c r="J53" s="306"/>
      <c r="K53" s="305">
        <f t="shared" ref="K53:K62" si="6">(H53+I53)-J53</f>
        <v>21514.486372373351</v>
      </c>
    </row>
    <row r="54" spans="1:11" ht="18" customHeight="1">
      <c r="A54" s="300" t="s">
        <v>93</v>
      </c>
      <c r="B54" s="336" t="s">
        <v>496</v>
      </c>
      <c r="C54" s="335"/>
      <c r="D54" s="334"/>
      <c r="F54" s="308">
        <v>321</v>
      </c>
      <c r="G54" s="308">
        <v>320</v>
      </c>
      <c r="H54" s="306">
        <v>16797</v>
      </c>
      <c r="I54" s="307">
        <f t="shared" si="5"/>
        <v>6414.4347483303463</v>
      </c>
      <c r="J54" s="306"/>
      <c r="K54" s="305">
        <f t="shared" si="6"/>
        <v>23211.434748330346</v>
      </c>
    </row>
    <row r="55" spans="1:11" ht="18" customHeight="1">
      <c r="A55" s="300" t="s">
        <v>94</v>
      </c>
      <c r="B55" s="582" t="s">
        <v>495</v>
      </c>
      <c r="C55" s="583"/>
      <c r="D55" s="581"/>
      <c r="F55" s="308">
        <v>400</v>
      </c>
      <c r="G55" s="308">
        <v>1200</v>
      </c>
      <c r="H55" s="306">
        <v>13322</v>
      </c>
      <c r="I55" s="307">
        <f t="shared" si="5"/>
        <v>5087.4024955204432</v>
      </c>
      <c r="J55" s="306"/>
      <c r="K55" s="305">
        <f t="shared" si="6"/>
        <v>18409.402495520444</v>
      </c>
    </row>
    <row r="56" spans="1:11" ht="18" customHeight="1">
      <c r="A56" s="300" t="s">
        <v>95</v>
      </c>
      <c r="B56" s="582" t="s">
        <v>494</v>
      </c>
      <c r="C56" s="583"/>
      <c r="D56" s="581"/>
      <c r="F56" s="308" t="s">
        <v>740</v>
      </c>
      <c r="G56" s="308">
        <v>164</v>
      </c>
      <c r="H56" s="306">
        <v>1750</v>
      </c>
      <c r="I56" s="307">
        <f t="shared" si="5"/>
        <v>668.28962371721775</v>
      </c>
      <c r="J56" s="306"/>
      <c r="K56" s="305">
        <f t="shared" si="6"/>
        <v>2418.2896237172176</v>
      </c>
    </row>
    <row r="57" spans="1:11" ht="18" customHeight="1">
      <c r="A57" s="300" t="s">
        <v>96</v>
      </c>
      <c r="B57" s="582" t="s">
        <v>493</v>
      </c>
      <c r="C57" s="583"/>
      <c r="D57" s="581"/>
      <c r="F57" s="308">
        <v>251</v>
      </c>
      <c r="G57" s="308">
        <v>300</v>
      </c>
      <c r="H57" s="306">
        <v>11817</v>
      </c>
      <c r="I57" s="307">
        <f t="shared" si="5"/>
        <v>4512.6734191236355</v>
      </c>
      <c r="J57" s="306"/>
      <c r="K57" s="305">
        <f t="shared" si="6"/>
        <v>16329.673419123636</v>
      </c>
    </row>
    <row r="58" spans="1:11" ht="18" customHeight="1">
      <c r="A58" s="300" t="s">
        <v>97</v>
      </c>
      <c r="B58" s="336" t="s">
        <v>492</v>
      </c>
      <c r="C58" s="335"/>
      <c r="D58" s="334"/>
      <c r="F58" s="308">
        <v>6340</v>
      </c>
      <c r="G58" s="308">
        <v>7740</v>
      </c>
      <c r="H58" s="306">
        <v>144854</v>
      </c>
      <c r="I58" s="307">
        <f t="shared" si="5"/>
        <v>55316.814373676491</v>
      </c>
      <c r="J58" s="306">
        <v>102110</v>
      </c>
      <c r="K58" s="305">
        <f t="shared" si="6"/>
        <v>98060.814373676491</v>
      </c>
    </row>
    <row r="59" spans="1:11" ht="18" customHeight="1">
      <c r="A59" s="300" t="s">
        <v>98</v>
      </c>
      <c r="B59" s="582" t="s">
        <v>491</v>
      </c>
      <c r="C59" s="583"/>
      <c r="D59" s="581"/>
      <c r="F59" s="308">
        <v>240</v>
      </c>
      <c r="G59" s="308">
        <v>1340</v>
      </c>
      <c r="H59" s="306">
        <v>20544</v>
      </c>
      <c r="I59" s="307">
        <f t="shared" si="5"/>
        <v>7845.3383026551555</v>
      </c>
      <c r="J59" s="306"/>
      <c r="K59" s="305">
        <f t="shared" si="6"/>
        <v>28389.338302655156</v>
      </c>
    </row>
    <row r="60" spans="1:11" ht="18" customHeight="1">
      <c r="A60" s="300" t="s">
        <v>99</v>
      </c>
      <c r="B60" s="336"/>
      <c r="C60" s="335"/>
      <c r="D60" s="334"/>
      <c r="F60" s="308"/>
      <c r="G60" s="308"/>
      <c r="H60" s="306"/>
      <c r="I60" s="307">
        <v>0</v>
      </c>
      <c r="J60" s="306"/>
      <c r="K60" s="305">
        <f t="shared" si="6"/>
        <v>0</v>
      </c>
    </row>
    <row r="61" spans="1:11" ht="18" customHeight="1">
      <c r="A61" s="300" t="s">
        <v>100</v>
      </c>
      <c r="B61" s="336"/>
      <c r="C61" s="335"/>
      <c r="D61" s="334"/>
      <c r="F61" s="308"/>
      <c r="G61" s="308"/>
      <c r="H61" s="306"/>
      <c r="I61" s="307">
        <v>0</v>
      </c>
      <c r="J61" s="306"/>
      <c r="K61" s="305">
        <f t="shared" si="6"/>
        <v>0</v>
      </c>
    </row>
    <row r="62" spans="1:11" ht="18" customHeight="1">
      <c r="A62" s="300" t="s">
        <v>101</v>
      </c>
      <c r="B62" s="582"/>
      <c r="C62" s="583"/>
      <c r="D62" s="581"/>
      <c r="F62" s="308"/>
      <c r="G62" s="308"/>
      <c r="H62" s="306"/>
      <c r="I62" s="307">
        <v>0</v>
      </c>
      <c r="J62" s="306"/>
      <c r="K62" s="305">
        <f t="shared" si="6"/>
        <v>0</v>
      </c>
    </row>
    <row r="63" spans="1:11" ht="18" customHeight="1">
      <c r="A63" s="300"/>
      <c r="I63" s="340"/>
    </row>
    <row r="64" spans="1:11" ht="18" customHeight="1">
      <c r="A64" s="300" t="s">
        <v>144</v>
      </c>
      <c r="B64" s="293" t="s">
        <v>145</v>
      </c>
      <c r="E64" s="293" t="s">
        <v>7</v>
      </c>
      <c r="F64" s="298">
        <f t="shared" ref="F64:K64" si="7">SUM(F53:F62)</f>
        <v>8032</v>
      </c>
      <c r="G64" s="298">
        <f t="shared" si="7"/>
        <v>12144</v>
      </c>
      <c r="H64" s="305">
        <f t="shared" si="7"/>
        <v>224653</v>
      </c>
      <c r="I64" s="305">
        <f t="shared" si="7"/>
        <v>85790.439335396644</v>
      </c>
      <c r="J64" s="305">
        <f t="shared" si="7"/>
        <v>102110</v>
      </c>
      <c r="K64" s="305">
        <f t="shared" si="7"/>
        <v>208333.43933539663</v>
      </c>
    </row>
    <row r="65" spans="1:11" ht="18" customHeight="1">
      <c r="F65" s="297"/>
      <c r="G65" s="297"/>
      <c r="H65" s="297"/>
      <c r="I65" s="297"/>
      <c r="J65" s="297"/>
      <c r="K65" s="297"/>
    </row>
    <row r="66" spans="1:11" ht="42.75" customHeight="1">
      <c r="F66" s="339" t="s">
        <v>9</v>
      </c>
      <c r="G66" s="339" t="s">
        <v>37</v>
      </c>
      <c r="H66" s="339" t="s">
        <v>29</v>
      </c>
      <c r="I66" s="339" t="s">
        <v>30</v>
      </c>
      <c r="J66" s="339" t="s">
        <v>33</v>
      </c>
      <c r="K66" s="339" t="s">
        <v>34</v>
      </c>
    </row>
    <row r="67" spans="1:11" ht="18" customHeight="1">
      <c r="A67" s="295" t="s">
        <v>102</v>
      </c>
      <c r="B67" s="293" t="s">
        <v>12</v>
      </c>
      <c r="F67" s="338"/>
      <c r="G67" s="338"/>
      <c r="H67" s="338"/>
      <c r="I67" s="327"/>
      <c r="J67" s="338"/>
      <c r="K67" s="325"/>
    </row>
    <row r="68" spans="1:11" ht="18" customHeight="1">
      <c r="A68" s="300" t="s">
        <v>103</v>
      </c>
      <c r="B68" s="291" t="s">
        <v>52</v>
      </c>
      <c r="F68" s="337"/>
      <c r="G68" s="337"/>
      <c r="H68" s="337"/>
      <c r="I68" s="307">
        <v>0</v>
      </c>
      <c r="J68" s="337"/>
      <c r="K68" s="305">
        <f>(H68+I68)-J68</f>
        <v>0</v>
      </c>
    </row>
    <row r="69" spans="1:11" ht="18" customHeight="1">
      <c r="A69" s="300" t="s">
        <v>104</v>
      </c>
      <c r="B69" s="311" t="s">
        <v>53</v>
      </c>
      <c r="F69" s="337"/>
      <c r="G69" s="337"/>
      <c r="H69" s="337"/>
      <c r="I69" s="307">
        <v>0</v>
      </c>
      <c r="J69" s="337"/>
      <c r="K69" s="305">
        <f>(H69+I69)-J69</f>
        <v>0</v>
      </c>
    </row>
    <row r="70" spans="1:11" ht="18" customHeight="1">
      <c r="A70" s="300" t="s">
        <v>178</v>
      </c>
      <c r="B70" s="336"/>
      <c r="C70" s="335"/>
      <c r="D70" s="334"/>
      <c r="E70" s="293"/>
      <c r="F70" s="333"/>
      <c r="G70" s="333"/>
      <c r="H70" s="332"/>
      <c r="I70" s="307">
        <v>0</v>
      </c>
      <c r="J70" s="332"/>
      <c r="K70" s="305">
        <f>(H70+I70)-J70</f>
        <v>0</v>
      </c>
    </row>
    <row r="71" spans="1:11" ht="18" customHeight="1">
      <c r="A71" s="300" t="s">
        <v>179</v>
      </c>
      <c r="B71" s="336"/>
      <c r="C71" s="335"/>
      <c r="D71" s="334"/>
      <c r="E71" s="293"/>
      <c r="F71" s="333"/>
      <c r="G71" s="333"/>
      <c r="H71" s="332"/>
      <c r="I71" s="307">
        <v>0</v>
      </c>
      <c r="J71" s="332"/>
      <c r="K71" s="305">
        <f>(H71+I71)-J71</f>
        <v>0</v>
      </c>
    </row>
    <row r="72" spans="1:11" ht="18" customHeight="1">
      <c r="A72" s="300" t="s">
        <v>180</v>
      </c>
      <c r="B72" s="331"/>
      <c r="C72" s="330"/>
      <c r="D72" s="329"/>
      <c r="E72" s="293"/>
      <c r="F72" s="308"/>
      <c r="G72" s="308"/>
      <c r="H72" s="306"/>
      <c r="I72" s="307">
        <v>0</v>
      </c>
      <c r="J72" s="306"/>
      <c r="K72" s="305">
        <f>(H72+I72)-J72</f>
        <v>0</v>
      </c>
    </row>
    <row r="73" spans="1:11" ht="18" customHeight="1">
      <c r="A73" s="300"/>
      <c r="B73" s="311"/>
      <c r="E73" s="293"/>
      <c r="F73" s="328"/>
      <c r="G73" s="328"/>
      <c r="H73" s="326"/>
      <c r="I73" s="327"/>
      <c r="J73" s="326"/>
      <c r="K73" s="325"/>
    </row>
    <row r="74" spans="1:11" ht="18" customHeight="1">
      <c r="A74" s="295" t="s">
        <v>146</v>
      </c>
      <c r="B74" s="293" t="s">
        <v>147</v>
      </c>
      <c r="E74" s="293" t="s">
        <v>7</v>
      </c>
      <c r="F74" s="322">
        <f t="shared" ref="F74:K74" si="8">SUM(F68:F72)</f>
        <v>0</v>
      </c>
      <c r="G74" s="322">
        <f t="shared" si="8"/>
        <v>0</v>
      </c>
      <c r="H74" s="322">
        <f t="shared" si="8"/>
        <v>0</v>
      </c>
      <c r="I74" s="324">
        <f t="shared" si="8"/>
        <v>0</v>
      </c>
      <c r="J74" s="322">
        <f t="shared" si="8"/>
        <v>0</v>
      </c>
      <c r="K74" s="310">
        <f t="shared" si="8"/>
        <v>0</v>
      </c>
    </row>
    <row r="75" spans="1:11" ht="42.75" customHeight="1">
      <c r="F75" s="304" t="s">
        <v>9</v>
      </c>
      <c r="G75" s="304" t="s">
        <v>37</v>
      </c>
      <c r="H75" s="304" t="s">
        <v>29</v>
      </c>
      <c r="I75" s="304" t="s">
        <v>30</v>
      </c>
      <c r="J75" s="304" t="s">
        <v>33</v>
      </c>
      <c r="K75" s="304" t="s">
        <v>34</v>
      </c>
    </row>
    <row r="76" spans="1:11" ht="18" customHeight="1">
      <c r="A76" s="295" t="s">
        <v>105</v>
      </c>
      <c r="B76" s="293" t="s">
        <v>106</v>
      </c>
    </row>
    <row r="77" spans="1:11" ht="18" customHeight="1">
      <c r="A77" s="300" t="s">
        <v>107</v>
      </c>
      <c r="B77" s="311" t="s">
        <v>54</v>
      </c>
      <c r="F77" s="308"/>
      <c r="G77" s="308"/>
      <c r="H77" s="306">
        <v>45260</v>
      </c>
      <c r="I77" s="307">
        <f>H77*F$114</f>
        <v>17283.879068252158</v>
      </c>
      <c r="J77" s="306"/>
      <c r="K77" s="305">
        <f>(H77+I77)-J77</f>
        <v>62543.879068252158</v>
      </c>
    </row>
    <row r="78" spans="1:11" ht="18" customHeight="1">
      <c r="A78" s="300" t="s">
        <v>108</v>
      </c>
      <c r="B78" s="311" t="s">
        <v>55</v>
      </c>
      <c r="F78" s="308"/>
      <c r="G78" s="308"/>
      <c r="H78" s="306"/>
      <c r="I78" s="307">
        <v>0</v>
      </c>
      <c r="J78" s="306"/>
      <c r="K78" s="305">
        <f>(H78+I78)-J78</f>
        <v>0</v>
      </c>
    </row>
    <row r="79" spans="1:11" ht="18" customHeight="1">
      <c r="A79" s="300" t="s">
        <v>109</v>
      </c>
      <c r="B79" s="311" t="s">
        <v>13</v>
      </c>
      <c r="F79" s="308">
        <v>522</v>
      </c>
      <c r="G79" s="308">
        <v>3316</v>
      </c>
      <c r="H79" s="306">
        <v>15367</v>
      </c>
      <c r="I79" s="307">
        <f>H79*F$114</f>
        <v>5868.3466558071341</v>
      </c>
      <c r="J79" s="306"/>
      <c r="K79" s="305">
        <f>(H79+I79)-J79</f>
        <v>21235.346655807134</v>
      </c>
    </row>
    <row r="80" spans="1:11" ht="18" customHeight="1">
      <c r="A80" s="300" t="s">
        <v>110</v>
      </c>
      <c r="B80" s="311" t="s">
        <v>56</v>
      </c>
      <c r="F80" s="308"/>
      <c r="G80" s="308"/>
      <c r="H80" s="306"/>
      <c r="I80" s="307">
        <v>0</v>
      </c>
      <c r="J80" s="306"/>
      <c r="K80" s="305">
        <f>(H80+I80)-J80</f>
        <v>0</v>
      </c>
    </row>
    <row r="81" spans="1:11" ht="18" customHeight="1">
      <c r="A81" s="300"/>
      <c r="K81" s="323"/>
    </row>
    <row r="82" spans="1:11" ht="18" customHeight="1">
      <c r="A82" s="300" t="s">
        <v>148</v>
      </c>
      <c r="B82" s="293" t="s">
        <v>149</v>
      </c>
      <c r="E82" s="293" t="s">
        <v>7</v>
      </c>
      <c r="F82" s="322">
        <f t="shared" ref="F82:K82" si="9">SUM(F77:F80)</f>
        <v>522</v>
      </c>
      <c r="G82" s="322">
        <f t="shared" si="9"/>
        <v>3316</v>
      </c>
      <c r="H82" s="310">
        <f t="shared" si="9"/>
        <v>60627</v>
      </c>
      <c r="I82" s="310">
        <f t="shared" si="9"/>
        <v>23152.225724059292</v>
      </c>
      <c r="J82" s="310">
        <f t="shared" si="9"/>
        <v>0</v>
      </c>
      <c r="K82" s="310">
        <f t="shared" si="9"/>
        <v>83779.225724059288</v>
      </c>
    </row>
    <row r="83" spans="1:11" ht="18" customHeight="1" thickBot="1">
      <c r="A83" s="300"/>
      <c r="F83" s="315"/>
      <c r="G83" s="315"/>
      <c r="H83" s="315"/>
      <c r="I83" s="315"/>
      <c r="J83" s="315"/>
      <c r="K83" s="315"/>
    </row>
    <row r="84" spans="1:11" ht="42.75" customHeight="1">
      <c r="F84" s="304" t="s">
        <v>9</v>
      </c>
      <c r="G84" s="304" t="s">
        <v>37</v>
      </c>
      <c r="H84" s="304" t="s">
        <v>29</v>
      </c>
      <c r="I84" s="304" t="s">
        <v>30</v>
      </c>
      <c r="J84" s="304" t="s">
        <v>33</v>
      </c>
      <c r="K84" s="304" t="s">
        <v>34</v>
      </c>
    </row>
    <row r="85" spans="1:11" ht="18" customHeight="1">
      <c r="A85" s="295" t="s">
        <v>111</v>
      </c>
      <c r="B85" s="293" t="s">
        <v>57</v>
      </c>
    </row>
    <row r="86" spans="1:11" ht="18" customHeight="1">
      <c r="A86" s="300" t="s">
        <v>112</v>
      </c>
      <c r="B86" s="311" t="s">
        <v>113</v>
      </c>
      <c r="F86" s="308"/>
      <c r="G86" s="308"/>
      <c r="H86" s="306"/>
      <c r="I86" s="307">
        <f t="shared" ref="I86:I96" si="10">H86*F$114</f>
        <v>0</v>
      </c>
      <c r="J86" s="306"/>
      <c r="K86" s="305">
        <f t="shared" ref="K86:K96" si="11">(H86+I86)-J86</f>
        <v>0</v>
      </c>
    </row>
    <row r="87" spans="1:11" ht="18" customHeight="1">
      <c r="A87" s="300" t="s">
        <v>114</v>
      </c>
      <c r="B87" s="311" t="s">
        <v>14</v>
      </c>
      <c r="F87" s="308">
        <v>105</v>
      </c>
      <c r="G87" s="308">
        <v>550</v>
      </c>
      <c r="H87" s="306">
        <v>4377</v>
      </c>
      <c r="I87" s="307">
        <f t="shared" si="10"/>
        <v>1671.4878188630069</v>
      </c>
      <c r="J87" s="306"/>
      <c r="K87" s="305">
        <f t="shared" si="11"/>
        <v>6048.4878188630064</v>
      </c>
    </row>
    <row r="88" spans="1:11" ht="18" customHeight="1">
      <c r="A88" s="300" t="s">
        <v>115</v>
      </c>
      <c r="B88" s="311" t="s">
        <v>116</v>
      </c>
      <c r="F88" s="308"/>
      <c r="G88" s="308"/>
      <c r="H88" s="306"/>
      <c r="I88" s="307">
        <f t="shared" si="10"/>
        <v>0</v>
      </c>
      <c r="J88" s="306"/>
      <c r="K88" s="305">
        <f t="shared" si="11"/>
        <v>0</v>
      </c>
    </row>
    <row r="89" spans="1:11" ht="18" customHeight="1">
      <c r="A89" s="300" t="s">
        <v>117</v>
      </c>
      <c r="B89" s="311" t="s">
        <v>58</v>
      </c>
      <c r="F89" s="308"/>
      <c r="G89" s="308"/>
      <c r="H89" s="306"/>
      <c r="I89" s="307">
        <f t="shared" si="10"/>
        <v>0</v>
      </c>
      <c r="J89" s="306"/>
      <c r="K89" s="305">
        <f t="shared" si="11"/>
        <v>0</v>
      </c>
    </row>
    <row r="90" spans="1:11" ht="18" customHeight="1">
      <c r="A90" s="300" t="s">
        <v>118</v>
      </c>
      <c r="B90" s="575" t="s">
        <v>59</v>
      </c>
      <c r="C90" s="576"/>
      <c r="F90" s="308"/>
      <c r="G90" s="308"/>
      <c r="H90" s="306"/>
      <c r="I90" s="307">
        <f t="shared" si="10"/>
        <v>0</v>
      </c>
      <c r="J90" s="306"/>
      <c r="K90" s="305">
        <f t="shared" si="11"/>
        <v>0</v>
      </c>
    </row>
    <row r="91" spans="1:11" ht="18" customHeight="1">
      <c r="A91" s="300" t="s">
        <v>119</v>
      </c>
      <c r="B91" s="311" t="s">
        <v>60</v>
      </c>
      <c r="F91" s="308">
        <v>25</v>
      </c>
      <c r="G91" s="308">
        <v>50</v>
      </c>
      <c r="H91" s="306">
        <v>1042</v>
      </c>
      <c r="I91" s="307">
        <f t="shared" si="10"/>
        <v>397.91873595048054</v>
      </c>
      <c r="J91" s="306"/>
      <c r="K91" s="305">
        <f t="shared" si="11"/>
        <v>1439.9187359504806</v>
      </c>
    </row>
    <row r="92" spans="1:11" ht="18" customHeight="1">
      <c r="A92" s="300" t="s">
        <v>120</v>
      </c>
      <c r="B92" s="311" t="s">
        <v>121</v>
      </c>
      <c r="F92" s="321"/>
      <c r="G92" s="321"/>
      <c r="H92" s="320"/>
      <c r="I92" s="307">
        <f t="shared" si="10"/>
        <v>0</v>
      </c>
      <c r="J92" s="320"/>
      <c r="K92" s="305">
        <f t="shared" si="11"/>
        <v>0</v>
      </c>
    </row>
    <row r="93" spans="1:11" ht="18" customHeight="1">
      <c r="A93" s="300" t="s">
        <v>122</v>
      </c>
      <c r="B93" s="311" t="s">
        <v>123</v>
      </c>
      <c r="F93" s="308"/>
      <c r="G93" s="308"/>
      <c r="H93" s="306"/>
      <c r="I93" s="307">
        <f t="shared" si="10"/>
        <v>0</v>
      </c>
      <c r="J93" s="306"/>
      <c r="K93" s="305">
        <f t="shared" si="11"/>
        <v>0</v>
      </c>
    </row>
    <row r="94" spans="1:11" ht="18" customHeight="1">
      <c r="A94" s="300" t="s">
        <v>124</v>
      </c>
      <c r="B94" s="582"/>
      <c r="C94" s="583"/>
      <c r="D94" s="581"/>
      <c r="F94" s="308"/>
      <c r="G94" s="308"/>
      <c r="H94" s="306"/>
      <c r="I94" s="307">
        <f t="shared" si="10"/>
        <v>0</v>
      </c>
      <c r="J94" s="306"/>
      <c r="K94" s="305">
        <f t="shared" si="11"/>
        <v>0</v>
      </c>
    </row>
    <row r="95" spans="1:11" ht="18" customHeight="1">
      <c r="A95" s="300" t="s">
        <v>125</v>
      </c>
      <c r="B95" s="582"/>
      <c r="C95" s="583"/>
      <c r="D95" s="581"/>
      <c r="F95" s="308"/>
      <c r="G95" s="308"/>
      <c r="H95" s="306"/>
      <c r="I95" s="307">
        <f t="shared" si="10"/>
        <v>0</v>
      </c>
      <c r="J95" s="306"/>
      <c r="K95" s="305">
        <f t="shared" si="11"/>
        <v>0</v>
      </c>
    </row>
    <row r="96" spans="1:11" ht="18" customHeight="1">
      <c r="A96" s="300" t="s">
        <v>126</v>
      </c>
      <c r="B96" s="582"/>
      <c r="C96" s="583"/>
      <c r="D96" s="581"/>
      <c r="F96" s="308"/>
      <c r="G96" s="308"/>
      <c r="H96" s="306"/>
      <c r="I96" s="307">
        <f t="shared" si="10"/>
        <v>0</v>
      </c>
      <c r="J96" s="306"/>
      <c r="K96" s="305">
        <f t="shared" si="11"/>
        <v>0</v>
      </c>
    </row>
    <row r="97" spans="1:11" ht="18" customHeight="1">
      <c r="A97" s="300"/>
      <c r="B97" s="311"/>
    </row>
    <row r="98" spans="1:11" ht="18" customHeight="1">
      <c r="A98" s="295" t="s">
        <v>150</v>
      </c>
      <c r="B98" s="293" t="s">
        <v>151</v>
      </c>
      <c r="E98" s="293" t="s">
        <v>7</v>
      </c>
      <c r="F98" s="298">
        <f t="shared" ref="F98:K98" si="12">SUM(F86:F96)</f>
        <v>130</v>
      </c>
      <c r="G98" s="298">
        <f t="shared" si="12"/>
        <v>600</v>
      </c>
      <c r="H98" s="298">
        <f t="shared" si="12"/>
        <v>5419</v>
      </c>
      <c r="I98" s="298">
        <f t="shared" si="12"/>
        <v>2069.4065548134872</v>
      </c>
      <c r="J98" s="298">
        <f t="shared" si="12"/>
        <v>0</v>
      </c>
      <c r="K98" s="298">
        <f t="shared" si="12"/>
        <v>7488.4065548134868</v>
      </c>
    </row>
    <row r="99" spans="1:11" ht="18" customHeight="1" thickBot="1">
      <c r="B99" s="293"/>
      <c r="F99" s="315"/>
      <c r="G99" s="315"/>
      <c r="H99" s="315"/>
      <c r="I99" s="315"/>
      <c r="J99" s="315"/>
      <c r="K99" s="315"/>
    </row>
    <row r="100" spans="1:11" ht="42.75" customHeight="1">
      <c r="F100" s="304" t="s">
        <v>9</v>
      </c>
      <c r="G100" s="304" t="s">
        <v>37</v>
      </c>
      <c r="H100" s="304" t="s">
        <v>29</v>
      </c>
      <c r="I100" s="304" t="s">
        <v>30</v>
      </c>
      <c r="J100" s="304" t="s">
        <v>33</v>
      </c>
      <c r="K100" s="304" t="s">
        <v>34</v>
      </c>
    </row>
    <row r="101" spans="1:11" ht="18" customHeight="1">
      <c r="A101" s="295" t="s">
        <v>130</v>
      </c>
      <c r="B101" s="293" t="s">
        <v>63</v>
      </c>
    </row>
    <row r="102" spans="1:11" ht="18" customHeight="1">
      <c r="A102" s="300" t="s">
        <v>131</v>
      </c>
      <c r="B102" s="311" t="s">
        <v>152</v>
      </c>
      <c r="F102" s="308">
        <v>350</v>
      </c>
      <c r="G102" s="308"/>
      <c r="H102" s="306">
        <v>19593</v>
      </c>
      <c r="I102" s="307">
        <f>H102*F$114</f>
        <v>7482.1706271379699</v>
      </c>
      <c r="J102" s="306"/>
      <c r="K102" s="305">
        <f>(H102+I102)-J102</f>
        <v>27075.17062713797</v>
      </c>
    </row>
    <row r="103" spans="1:11" ht="18" customHeight="1">
      <c r="A103" s="300" t="s">
        <v>132</v>
      </c>
      <c r="B103" s="575" t="s">
        <v>62</v>
      </c>
      <c r="C103" s="575"/>
      <c r="F103" s="308">
        <v>200</v>
      </c>
      <c r="G103" s="308"/>
      <c r="H103" s="306">
        <v>8339</v>
      </c>
      <c r="I103" s="307">
        <f>H103*F$114</f>
        <v>3184.4955269587881</v>
      </c>
      <c r="J103" s="306"/>
      <c r="K103" s="305">
        <f>(H103+I103)-J103</f>
        <v>11523.495526958788</v>
      </c>
    </row>
    <row r="104" spans="1:11" ht="18" customHeight="1">
      <c r="A104" s="300" t="s">
        <v>128</v>
      </c>
      <c r="B104" s="582" t="s">
        <v>490</v>
      </c>
      <c r="C104" s="583"/>
      <c r="D104" s="581"/>
      <c r="F104" s="308">
        <v>150</v>
      </c>
      <c r="G104" s="308"/>
      <c r="H104" s="306">
        <v>6255</v>
      </c>
      <c r="I104" s="307">
        <f>H104*F$114</f>
        <v>2388.6580550578269</v>
      </c>
      <c r="J104" s="306"/>
      <c r="K104" s="305">
        <f>(H104+I104)-J104</f>
        <v>8643.6580550578274</v>
      </c>
    </row>
    <row r="105" spans="1:11" ht="18" customHeight="1">
      <c r="A105" s="300" t="s">
        <v>127</v>
      </c>
      <c r="B105" s="582" t="s">
        <v>489</v>
      </c>
      <c r="C105" s="583"/>
      <c r="D105" s="581"/>
      <c r="F105" s="308">
        <v>25</v>
      </c>
      <c r="G105" s="308"/>
      <c r="H105" s="306">
        <v>1042</v>
      </c>
      <c r="I105" s="307">
        <f>H105*F$114</f>
        <v>397.91873595048054</v>
      </c>
      <c r="J105" s="306"/>
      <c r="K105" s="305">
        <f>(H105+I105)-J105</f>
        <v>1439.9187359504806</v>
      </c>
    </row>
    <row r="106" spans="1:11" ht="18" customHeight="1">
      <c r="A106" s="300" t="s">
        <v>129</v>
      </c>
      <c r="B106" s="582" t="s">
        <v>488</v>
      </c>
      <c r="C106" s="583"/>
      <c r="D106" s="581"/>
      <c r="F106" s="308">
        <v>30</v>
      </c>
      <c r="G106" s="308"/>
      <c r="H106" s="306">
        <v>1251</v>
      </c>
      <c r="I106" s="307">
        <f>H106*F$114</f>
        <v>477.73161101156541</v>
      </c>
      <c r="J106" s="306"/>
      <c r="K106" s="305">
        <f>(H106+I106)-J106</f>
        <v>1728.7316110115653</v>
      </c>
    </row>
    <row r="107" spans="1:11" ht="18" customHeight="1">
      <c r="B107" s="293"/>
    </row>
    <row r="108" spans="1:11" s="314" customFormat="1" ht="18" customHeight="1">
      <c r="A108" s="295" t="s">
        <v>153</v>
      </c>
      <c r="B108" s="319" t="s">
        <v>154</v>
      </c>
      <c r="C108" s="291"/>
      <c r="D108" s="291"/>
      <c r="E108" s="293" t="s">
        <v>7</v>
      </c>
      <c r="F108" s="298">
        <f t="shared" ref="F108:K108" si="13">SUM(F102:F106)</f>
        <v>755</v>
      </c>
      <c r="G108" s="298">
        <f t="shared" si="13"/>
        <v>0</v>
      </c>
      <c r="H108" s="305">
        <f t="shared" si="13"/>
        <v>36480</v>
      </c>
      <c r="I108" s="305">
        <f t="shared" si="13"/>
        <v>13930.974556116633</v>
      </c>
      <c r="J108" s="305">
        <f t="shared" si="13"/>
        <v>0</v>
      </c>
      <c r="K108" s="305">
        <f t="shared" si="13"/>
        <v>50410.974556116635</v>
      </c>
    </row>
    <row r="109" spans="1:11" s="314" customFormat="1" ht="18" customHeight="1" thickBot="1">
      <c r="A109" s="318"/>
      <c r="B109" s="317"/>
      <c r="C109" s="316"/>
      <c r="D109" s="316"/>
      <c r="E109" s="316"/>
      <c r="F109" s="315"/>
      <c r="G109" s="315"/>
      <c r="H109" s="315"/>
      <c r="I109" s="315"/>
      <c r="J109" s="315"/>
      <c r="K109" s="315"/>
    </row>
    <row r="110" spans="1:11" s="314" customFormat="1" ht="18" customHeight="1">
      <c r="A110" s="295" t="s">
        <v>156</v>
      </c>
      <c r="B110" s="293" t="s">
        <v>39</v>
      </c>
      <c r="C110" s="291"/>
      <c r="D110" s="291"/>
      <c r="E110" s="291"/>
      <c r="F110" s="291"/>
      <c r="G110" s="291"/>
      <c r="H110" s="291"/>
      <c r="I110" s="291"/>
      <c r="J110" s="291"/>
      <c r="K110" s="291"/>
    </row>
    <row r="111" spans="1:11" ht="18" customHeight="1">
      <c r="A111" s="295" t="s">
        <v>155</v>
      </c>
      <c r="B111" s="293" t="s">
        <v>164</v>
      </c>
      <c r="E111" s="293" t="s">
        <v>7</v>
      </c>
      <c r="F111" s="309">
        <v>3165000</v>
      </c>
    </row>
    <row r="112" spans="1:11" ht="18" customHeight="1">
      <c r="B112" s="293"/>
      <c r="E112" s="293"/>
      <c r="F112" s="313"/>
    </row>
    <row r="113" spans="1:6" ht="18" customHeight="1">
      <c r="A113" s="295"/>
      <c r="B113" s="293" t="s">
        <v>15</v>
      </c>
    </row>
    <row r="114" spans="1:6" ht="18" customHeight="1">
      <c r="A114" s="300" t="s">
        <v>171</v>
      </c>
      <c r="B114" s="311" t="s">
        <v>35</v>
      </c>
      <c r="F114" s="312">
        <v>0.38187978498126729</v>
      </c>
    </row>
    <row r="115" spans="1:6" ht="18" customHeight="1">
      <c r="A115" s="300"/>
      <c r="B115" s="293"/>
    </row>
    <row r="116" spans="1:6" ht="18" customHeight="1">
      <c r="A116" s="300" t="s">
        <v>170</v>
      </c>
      <c r="B116" s="293" t="s">
        <v>16</v>
      </c>
    </row>
    <row r="117" spans="1:6" ht="18" customHeight="1">
      <c r="A117" s="300" t="s">
        <v>172</v>
      </c>
      <c r="B117" s="311" t="s">
        <v>17</v>
      </c>
      <c r="F117" s="309">
        <v>105273000</v>
      </c>
    </row>
    <row r="118" spans="1:6" ht="18" customHeight="1">
      <c r="A118" s="300" t="s">
        <v>173</v>
      </c>
      <c r="B118" s="291" t="s">
        <v>18</v>
      </c>
      <c r="F118" s="309">
        <v>2828000</v>
      </c>
    </row>
    <row r="119" spans="1:6" ht="18" customHeight="1">
      <c r="A119" s="300" t="s">
        <v>174</v>
      </c>
      <c r="B119" s="293" t="s">
        <v>19</v>
      </c>
      <c r="F119" s="310">
        <f>SUM(F117:F118)</f>
        <v>108101000</v>
      </c>
    </row>
    <row r="120" spans="1:6" ht="18" customHeight="1">
      <c r="A120" s="300"/>
      <c r="B120" s="293"/>
    </row>
    <row r="121" spans="1:6" ht="18" customHeight="1">
      <c r="A121" s="300" t="s">
        <v>167</v>
      </c>
      <c r="B121" s="293" t="s">
        <v>36</v>
      </c>
      <c r="F121" s="309">
        <v>103473000</v>
      </c>
    </row>
    <row r="122" spans="1:6" ht="18" customHeight="1">
      <c r="A122" s="300"/>
    </row>
    <row r="123" spans="1:6" ht="18" customHeight="1">
      <c r="A123" s="300" t="s">
        <v>175</v>
      </c>
      <c r="B123" s="293" t="s">
        <v>20</v>
      </c>
      <c r="F123" s="309">
        <v>4628000</v>
      </c>
    </row>
    <row r="124" spans="1:6" ht="18" customHeight="1">
      <c r="A124" s="300"/>
    </row>
    <row r="125" spans="1:6" ht="18" customHeight="1">
      <c r="A125" s="300" t="s">
        <v>176</v>
      </c>
      <c r="B125" s="293" t="s">
        <v>21</v>
      </c>
      <c r="F125" s="309">
        <v>-181000</v>
      </c>
    </row>
    <row r="126" spans="1:6" ht="18" customHeight="1">
      <c r="A126" s="300"/>
    </row>
    <row r="127" spans="1:6" ht="18" customHeight="1">
      <c r="A127" s="300" t="s">
        <v>177</v>
      </c>
      <c r="B127" s="293" t="s">
        <v>22</v>
      </c>
      <c r="F127" s="309">
        <v>4447000</v>
      </c>
    </row>
    <row r="128" spans="1:6" ht="18" customHeight="1">
      <c r="A128" s="300"/>
    </row>
    <row r="129" spans="1:11" ht="42.75" customHeight="1">
      <c r="F129" s="304" t="s">
        <v>9</v>
      </c>
      <c r="G129" s="304" t="s">
        <v>37</v>
      </c>
      <c r="H129" s="304" t="s">
        <v>29</v>
      </c>
      <c r="I129" s="304" t="s">
        <v>30</v>
      </c>
      <c r="J129" s="304" t="s">
        <v>33</v>
      </c>
      <c r="K129" s="304" t="s">
        <v>34</v>
      </c>
    </row>
    <row r="130" spans="1:11" ht="18" customHeight="1">
      <c r="A130" s="295" t="s">
        <v>157</v>
      </c>
      <c r="B130" s="293" t="s">
        <v>23</v>
      </c>
    </row>
    <row r="131" spans="1:11" ht="18" customHeight="1">
      <c r="A131" s="300" t="s">
        <v>158</v>
      </c>
      <c r="B131" s="291" t="s">
        <v>24</v>
      </c>
      <c r="F131" s="308"/>
      <c r="G131" s="308"/>
      <c r="H131" s="306"/>
      <c r="I131" s="307">
        <v>0</v>
      </c>
      <c r="J131" s="306"/>
      <c r="K131" s="305">
        <f>(H131+I131)-J131</f>
        <v>0</v>
      </c>
    </row>
    <row r="132" spans="1:11" ht="18" customHeight="1">
      <c r="A132" s="300" t="s">
        <v>159</v>
      </c>
      <c r="B132" s="291" t="s">
        <v>25</v>
      </c>
      <c r="F132" s="308"/>
      <c r="G132" s="308"/>
      <c r="H132" s="306"/>
      <c r="I132" s="307">
        <v>0</v>
      </c>
      <c r="J132" s="306"/>
      <c r="K132" s="305">
        <f>(H132+I132)-J132</f>
        <v>0</v>
      </c>
    </row>
    <row r="133" spans="1:11" ht="18" customHeight="1">
      <c r="A133" s="300" t="s">
        <v>160</v>
      </c>
      <c r="B133" s="572"/>
      <c r="C133" s="573"/>
      <c r="D133" s="574"/>
      <c r="F133" s="308"/>
      <c r="G133" s="308"/>
      <c r="H133" s="306"/>
      <c r="I133" s="307">
        <v>0</v>
      </c>
      <c r="J133" s="306"/>
      <c r="K133" s="305">
        <f>(H133+I133)-J133</f>
        <v>0</v>
      </c>
    </row>
    <row r="134" spans="1:11" ht="18" customHeight="1">
      <c r="A134" s="300" t="s">
        <v>161</v>
      </c>
      <c r="B134" s="572"/>
      <c r="C134" s="573"/>
      <c r="D134" s="574"/>
      <c r="F134" s="308"/>
      <c r="G134" s="308"/>
      <c r="H134" s="306"/>
      <c r="I134" s="307">
        <v>0</v>
      </c>
      <c r="J134" s="306"/>
      <c r="K134" s="305">
        <f>(H134+I134)-J134</f>
        <v>0</v>
      </c>
    </row>
    <row r="135" spans="1:11" ht="18" customHeight="1">
      <c r="A135" s="300" t="s">
        <v>162</v>
      </c>
      <c r="B135" s="572"/>
      <c r="C135" s="573"/>
      <c r="D135" s="574"/>
      <c r="F135" s="308"/>
      <c r="G135" s="308"/>
      <c r="H135" s="306"/>
      <c r="I135" s="307">
        <v>0</v>
      </c>
      <c r="J135" s="306"/>
      <c r="K135" s="305">
        <f>(H135+I135)-J135</f>
        <v>0</v>
      </c>
    </row>
    <row r="136" spans="1:11" ht="18" customHeight="1">
      <c r="A136" s="295"/>
    </row>
    <row r="137" spans="1:11" ht="18" customHeight="1">
      <c r="A137" s="295" t="s">
        <v>163</v>
      </c>
      <c r="B137" s="293" t="s">
        <v>27</v>
      </c>
      <c r="F137" s="298">
        <f t="shared" ref="F137:K137" si="14">SUM(F131:F135)</f>
        <v>0</v>
      </c>
      <c r="G137" s="298">
        <f t="shared" si="14"/>
        <v>0</v>
      </c>
      <c r="H137" s="305">
        <f t="shared" si="14"/>
        <v>0</v>
      </c>
      <c r="I137" s="305">
        <f t="shared" si="14"/>
        <v>0</v>
      </c>
      <c r="J137" s="305">
        <f t="shared" si="14"/>
        <v>0</v>
      </c>
      <c r="K137" s="305">
        <f t="shared" si="14"/>
        <v>0</v>
      </c>
    </row>
    <row r="138" spans="1:11" ht="18" customHeight="1">
      <c r="A138" s="291"/>
    </row>
    <row r="139" spans="1:11" ht="42.75" customHeight="1">
      <c r="F139" s="304" t="s">
        <v>9</v>
      </c>
      <c r="G139" s="304" t="s">
        <v>37</v>
      </c>
      <c r="H139" s="304" t="s">
        <v>29</v>
      </c>
      <c r="I139" s="304" t="s">
        <v>30</v>
      </c>
      <c r="J139" s="304" t="s">
        <v>33</v>
      </c>
      <c r="K139" s="304" t="s">
        <v>34</v>
      </c>
    </row>
    <row r="140" spans="1:11" ht="18" customHeight="1">
      <c r="A140" s="295" t="s">
        <v>166</v>
      </c>
      <c r="B140" s="293" t="s">
        <v>26</v>
      </c>
    </row>
    <row r="141" spans="1:11" ht="18" customHeight="1">
      <c r="A141" s="300" t="s">
        <v>137</v>
      </c>
      <c r="B141" s="293" t="s">
        <v>64</v>
      </c>
      <c r="F141" s="303">
        <f t="shared" ref="F141:K141" si="15">F36</f>
        <v>1467</v>
      </c>
      <c r="G141" s="303">
        <f t="shared" si="15"/>
        <v>10856</v>
      </c>
      <c r="H141" s="303">
        <f t="shared" si="15"/>
        <v>55546</v>
      </c>
      <c r="I141" s="303">
        <f t="shared" si="15"/>
        <v>21211.894536569471</v>
      </c>
      <c r="J141" s="303">
        <f t="shared" si="15"/>
        <v>0</v>
      </c>
      <c r="K141" s="303">
        <f t="shared" si="15"/>
        <v>76757.894536569467</v>
      </c>
    </row>
    <row r="142" spans="1:11" ht="18" customHeight="1">
      <c r="A142" s="300" t="s">
        <v>142</v>
      </c>
      <c r="B142" s="293" t="s">
        <v>65</v>
      </c>
      <c r="F142" s="303">
        <f t="shared" ref="F142:K142" si="16">F49</f>
        <v>90203.540291527403</v>
      </c>
      <c r="G142" s="303">
        <f t="shared" si="16"/>
        <v>882</v>
      </c>
      <c r="H142" s="303">
        <f t="shared" si="16"/>
        <v>5237497.7576305456</v>
      </c>
      <c r="I142" s="303">
        <f t="shared" si="16"/>
        <v>2000094.5175238224</v>
      </c>
      <c r="J142" s="303">
        <f t="shared" si="16"/>
        <v>0</v>
      </c>
      <c r="K142" s="303">
        <f t="shared" si="16"/>
        <v>7237592.2751543671</v>
      </c>
    </row>
    <row r="143" spans="1:11" ht="18" customHeight="1">
      <c r="A143" s="300" t="s">
        <v>144</v>
      </c>
      <c r="B143" s="293" t="s">
        <v>66</v>
      </c>
      <c r="F143" s="303">
        <f t="shared" ref="F143:K143" si="17">F64</f>
        <v>8032</v>
      </c>
      <c r="G143" s="303">
        <f t="shared" si="17"/>
        <v>12144</v>
      </c>
      <c r="H143" s="303">
        <f t="shared" si="17"/>
        <v>224653</v>
      </c>
      <c r="I143" s="303">
        <f t="shared" si="17"/>
        <v>85790.439335396644</v>
      </c>
      <c r="J143" s="303">
        <f t="shared" si="17"/>
        <v>102110</v>
      </c>
      <c r="K143" s="303">
        <f t="shared" si="17"/>
        <v>208333.43933539663</v>
      </c>
    </row>
    <row r="144" spans="1:11" ht="18" customHeight="1">
      <c r="A144" s="300" t="s">
        <v>146</v>
      </c>
      <c r="B144" s="293" t="s">
        <v>67</v>
      </c>
      <c r="F144" s="303">
        <f t="shared" ref="F144:K144" si="18">F74</f>
        <v>0</v>
      </c>
      <c r="G144" s="303">
        <f t="shared" si="18"/>
        <v>0</v>
      </c>
      <c r="H144" s="303">
        <f t="shared" si="18"/>
        <v>0</v>
      </c>
      <c r="I144" s="303">
        <f t="shared" si="18"/>
        <v>0</v>
      </c>
      <c r="J144" s="303">
        <f t="shared" si="18"/>
        <v>0</v>
      </c>
      <c r="K144" s="303">
        <f t="shared" si="18"/>
        <v>0</v>
      </c>
    </row>
    <row r="145" spans="1:11" ht="18" customHeight="1">
      <c r="A145" s="300" t="s">
        <v>148</v>
      </c>
      <c r="B145" s="293" t="s">
        <v>68</v>
      </c>
      <c r="F145" s="303">
        <f t="shared" ref="F145:K145" si="19">F82</f>
        <v>522</v>
      </c>
      <c r="G145" s="303">
        <f t="shared" si="19"/>
        <v>3316</v>
      </c>
      <c r="H145" s="303">
        <f t="shared" si="19"/>
        <v>60627</v>
      </c>
      <c r="I145" s="303">
        <f t="shared" si="19"/>
        <v>23152.225724059292</v>
      </c>
      <c r="J145" s="303">
        <f t="shared" si="19"/>
        <v>0</v>
      </c>
      <c r="K145" s="303">
        <f t="shared" si="19"/>
        <v>83779.225724059288</v>
      </c>
    </row>
    <row r="146" spans="1:11" ht="18" customHeight="1">
      <c r="A146" s="300" t="s">
        <v>150</v>
      </c>
      <c r="B146" s="293" t="s">
        <v>69</v>
      </c>
      <c r="F146" s="303">
        <f t="shared" ref="F146:K146" si="20">F98</f>
        <v>130</v>
      </c>
      <c r="G146" s="303">
        <f t="shared" si="20"/>
        <v>600</v>
      </c>
      <c r="H146" s="303">
        <f t="shared" si="20"/>
        <v>5419</v>
      </c>
      <c r="I146" s="303">
        <f t="shared" si="20"/>
        <v>2069.4065548134872</v>
      </c>
      <c r="J146" s="303">
        <f t="shared" si="20"/>
        <v>0</v>
      </c>
      <c r="K146" s="303">
        <f t="shared" si="20"/>
        <v>7488.4065548134868</v>
      </c>
    </row>
    <row r="147" spans="1:11" ht="18" customHeight="1">
      <c r="A147" s="300" t="s">
        <v>153</v>
      </c>
      <c r="B147" s="293" t="s">
        <v>61</v>
      </c>
      <c r="F147" s="298">
        <f t="shared" ref="F147:K147" si="21">F108</f>
        <v>755</v>
      </c>
      <c r="G147" s="298">
        <f t="shared" si="21"/>
        <v>0</v>
      </c>
      <c r="H147" s="298">
        <f t="shared" si="21"/>
        <v>36480</v>
      </c>
      <c r="I147" s="298">
        <f t="shared" si="21"/>
        <v>13930.974556116633</v>
      </c>
      <c r="J147" s="298">
        <f t="shared" si="21"/>
        <v>0</v>
      </c>
      <c r="K147" s="298">
        <f t="shared" si="21"/>
        <v>50410.974556116635</v>
      </c>
    </row>
    <row r="148" spans="1:11" ht="18" customHeight="1">
      <c r="A148" s="300" t="s">
        <v>155</v>
      </c>
      <c r="B148" s="293" t="s">
        <v>70</v>
      </c>
      <c r="F148" s="299" t="s">
        <v>73</v>
      </c>
      <c r="G148" s="299" t="s">
        <v>73</v>
      </c>
      <c r="H148" s="302" t="s">
        <v>73</v>
      </c>
      <c r="I148" s="302" t="s">
        <v>73</v>
      </c>
      <c r="J148" s="302" t="s">
        <v>73</v>
      </c>
      <c r="K148" s="301">
        <f>F111</f>
        <v>3165000</v>
      </c>
    </row>
    <row r="149" spans="1:11" ht="18" customHeight="1">
      <c r="A149" s="300" t="s">
        <v>163</v>
      </c>
      <c r="B149" s="293" t="s">
        <v>71</v>
      </c>
      <c r="F149" s="298">
        <f t="shared" ref="F149:K149" si="22">F137</f>
        <v>0</v>
      </c>
      <c r="G149" s="298">
        <f t="shared" si="22"/>
        <v>0</v>
      </c>
      <c r="H149" s="298">
        <f t="shared" si="22"/>
        <v>0</v>
      </c>
      <c r="I149" s="298">
        <f t="shared" si="22"/>
        <v>0</v>
      </c>
      <c r="J149" s="298">
        <f t="shared" si="22"/>
        <v>0</v>
      </c>
      <c r="K149" s="298">
        <f t="shared" si="22"/>
        <v>0</v>
      </c>
    </row>
    <row r="150" spans="1:11" ht="18" customHeight="1">
      <c r="A150" s="300" t="s">
        <v>185</v>
      </c>
      <c r="B150" s="293" t="s">
        <v>186</v>
      </c>
      <c r="F150" s="299" t="s">
        <v>73</v>
      </c>
      <c r="G150" s="299" t="s">
        <v>73</v>
      </c>
      <c r="H150" s="298">
        <f>H18</f>
        <v>2854646</v>
      </c>
      <c r="I150" s="298">
        <f>I18</f>
        <v>0</v>
      </c>
      <c r="J150" s="298">
        <f>J18</f>
        <v>2441079</v>
      </c>
      <c r="K150" s="298">
        <f>K18</f>
        <v>413567</v>
      </c>
    </row>
    <row r="151" spans="1:11" ht="18" customHeight="1">
      <c r="B151" s="293"/>
      <c r="F151" s="297"/>
      <c r="G151" s="297"/>
      <c r="H151" s="297"/>
      <c r="I151" s="297"/>
      <c r="J151" s="297"/>
      <c r="K151" s="297"/>
    </row>
    <row r="152" spans="1:11" ht="18" customHeight="1">
      <c r="A152" s="295" t="s">
        <v>165</v>
      </c>
      <c r="B152" s="293" t="s">
        <v>26</v>
      </c>
      <c r="F152" s="296">
        <f t="shared" ref="F152:K152" si="23">SUM(F141:F150)</f>
        <v>101109.5402915274</v>
      </c>
      <c r="G152" s="296">
        <f t="shared" si="23"/>
        <v>27798</v>
      </c>
      <c r="H152" s="296">
        <f t="shared" si="23"/>
        <v>8474868.7576305456</v>
      </c>
      <c r="I152" s="296">
        <f t="shared" si="23"/>
        <v>2146249.4582307781</v>
      </c>
      <c r="J152" s="296">
        <f t="shared" si="23"/>
        <v>2543189</v>
      </c>
      <c r="K152" s="296">
        <f t="shared" si="23"/>
        <v>11242929.215861322</v>
      </c>
    </row>
    <row r="153" spans="1:11" ht="18" customHeight="1"/>
    <row r="154" spans="1:11" ht="18" customHeight="1">
      <c r="A154" s="295" t="s">
        <v>168</v>
      </c>
      <c r="B154" s="293" t="s">
        <v>28</v>
      </c>
      <c r="F154" s="294">
        <f>K152/F121</f>
        <v>0.10865568037904885</v>
      </c>
    </row>
    <row r="155" spans="1:11" ht="18" customHeight="1">
      <c r="A155" s="295" t="s">
        <v>169</v>
      </c>
      <c r="B155" s="293" t="s">
        <v>72</v>
      </c>
      <c r="F155" s="294">
        <f>K152/F127</f>
        <v>2.5282053554893911</v>
      </c>
      <c r="G155" s="293"/>
    </row>
    <row r="156" spans="1:11" ht="18" customHeight="1">
      <c r="G156" s="293"/>
    </row>
  </sheetData>
  <sheetProtection password="EF72" sheet="1" objects="1" scenarios="1"/>
  <mergeCells count="34"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  <mergeCell ref="B57:D57"/>
    <mergeCell ref="B59:D59"/>
    <mergeCell ref="B62:D62"/>
    <mergeCell ref="B90:C90"/>
    <mergeCell ref="B106:D106"/>
    <mergeCell ref="B47:D47"/>
    <mergeCell ref="B52:C52"/>
    <mergeCell ref="B53:D53"/>
    <mergeCell ref="B55:D55"/>
    <mergeCell ref="B56:D56"/>
    <mergeCell ref="B34:D34"/>
    <mergeCell ref="B41:C41"/>
    <mergeCell ref="B44:D44"/>
    <mergeCell ref="B45:D45"/>
    <mergeCell ref="B46:D46"/>
    <mergeCell ref="C10:G10"/>
    <mergeCell ref="C11:G11"/>
    <mergeCell ref="B13:H13"/>
    <mergeCell ref="B30:D30"/>
    <mergeCell ref="B31:D31"/>
    <mergeCell ref="D2:H2"/>
    <mergeCell ref="C5:G5"/>
    <mergeCell ref="C6:G6"/>
    <mergeCell ref="C7:G7"/>
    <mergeCell ref="C9:G9"/>
  </mergeCells>
  <pageMargins left="0.7" right="0.7" top="0.75" bottom="0.75" header="0.3" footer="0.3"/>
  <pageSetup scale="52" orientation="landscape" r:id="rId1"/>
  <rowBreaks count="3" manualBreakCount="3">
    <brk id="50" max="16383" man="1"/>
    <brk id="83" max="16383" man="1"/>
    <brk id="109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84" zoomScaleNormal="50" zoomScaleSheetLayoutView="84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577</v>
      </c>
      <c r="D5" s="534"/>
      <c r="E5" s="534"/>
      <c r="F5" s="534"/>
      <c r="G5" s="535"/>
    </row>
    <row r="6" spans="1:11" ht="18" customHeight="1">
      <c r="B6" s="5" t="s">
        <v>3</v>
      </c>
      <c r="C6" s="658">
        <v>55</v>
      </c>
      <c r="D6" s="656"/>
      <c r="E6" s="656"/>
      <c r="F6" s="656"/>
      <c r="G6" s="657"/>
    </row>
    <row r="7" spans="1:11" ht="18" customHeight="1">
      <c r="B7" s="5" t="s">
        <v>4</v>
      </c>
      <c r="C7" s="640">
        <v>739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576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575</v>
      </c>
      <c r="D10" s="543"/>
      <c r="E10" s="543"/>
      <c r="F10" s="543"/>
      <c r="G10" s="544"/>
    </row>
    <row r="11" spans="1:11" ht="18" customHeight="1">
      <c r="B11" s="5" t="s">
        <v>32</v>
      </c>
      <c r="C11" s="639" t="s">
        <v>574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2979550</v>
      </c>
      <c r="I18" s="55">
        <v>0</v>
      </c>
      <c r="J18" s="15">
        <v>2547888</v>
      </c>
      <c r="K18" s="16">
        <f>(H18+I18)-J18</f>
        <v>431662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195.5</v>
      </c>
      <c r="G21" s="54">
        <v>2484</v>
      </c>
      <c r="H21" s="15">
        <v>7291</v>
      </c>
      <c r="I21" s="55">
        <f t="shared" ref="I21:I34" si="0">H21*F$114</f>
        <v>4219.3017</v>
      </c>
      <c r="J21" s="15">
        <v>208</v>
      </c>
      <c r="K21" s="16">
        <f t="shared" ref="K21:K34" si="1">(H21+I21)-J21</f>
        <v>11302.3017</v>
      </c>
    </row>
    <row r="22" spans="1:11" ht="18" customHeight="1">
      <c r="A22" s="5" t="s">
        <v>76</v>
      </c>
      <c r="B22" t="s">
        <v>6</v>
      </c>
      <c r="F22" s="54">
        <v>72</v>
      </c>
      <c r="G22" s="54">
        <v>511</v>
      </c>
      <c r="H22" s="15">
        <v>2860</v>
      </c>
      <c r="I22" s="55">
        <f t="shared" si="0"/>
        <v>1655.0819999999999</v>
      </c>
      <c r="J22" s="15"/>
      <c r="K22" s="16">
        <f t="shared" si="1"/>
        <v>4515.0820000000003</v>
      </c>
    </row>
    <row r="23" spans="1:11" ht="18" customHeight="1">
      <c r="A23" s="5" t="s">
        <v>77</v>
      </c>
      <c r="B23" t="s">
        <v>43</v>
      </c>
      <c r="F23" s="54">
        <v>7.5</v>
      </c>
      <c r="G23" s="54">
        <v>1</v>
      </c>
      <c r="H23" s="15">
        <v>314</v>
      </c>
      <c r="I23" s="55">
        <f t="shared" si="0"/>
        <v>181.71180000000001</v>
      </c>
      <c r="J23" s="15">
        <v>42</v>
      </c>
      <c r="K23" s="16">
        <f t="shared" si="1"/>
        <v>453.71180000000004</v>
      </c>
    </row>
    <row r="24" spans="1:11" ht="18" customHeight="1">
      <c r="A24" s="5" t="s">
        <v>78</v>
      </c>
      <c r="B24" t="s">
        <v>44</v>
      </c>
      <c r="F24" s="54"/>
      <c r="G24" s="54"/>
      <c r="H24" s="15"/>
      <c r="I24" s="55">
        <f t="shared" si="0"/>
        <v>0</v>
      </c>
      <c r="J24" s="15"/>
      <c r="K24" s="16">
        <f t="shared" si="1"/>
        <v>0</v>
      </c>
    </row>
    <row r="25" spans="1:11" ht="18" customHeight="1">
      <c r="A25" s="5" t="s">
        <v>79</v>
      </c>
      <c r="B25" t="s">
        <v>5</v>
      </c>
      <c r="F25" s="54"/>
      <c r="G25" s="54"/>
      <c r="H25" s="15"/>
      <c r="I25" s="55">
        <f t="shared" si="0"/>
        <v>0</v>
      </c>
      <c r="J25" s="15"/>
      <c r="K25" s="16">
        <f t="shared" si="1"/>
        <v>0</v>
      </c>
    </row>
    <row r="26" spans="1:11" ht="18" customHeight="1">
      <c r="A26" s="5" t="s">
        <v>80</v>
      </c>
      <c r="B26" t="s">
        <v>45</v>
      </c>
      <c r="F26" s="54"/>
      <c r="G26" s="54"/>
      <c r="H26" s="15"/>
      <c r="I26" s="55">
        <f t="shared" si="0"/>
        <v>0</v>
      </c>
      <c r="J26" s="15"/>
      <c r="K26" s="16">
        <f t="shared" si="1"/>
        <v>0</v>
      </c>
    </row>
    <row r="27" spans="1:11" ht="18" customHeight="1">
      <c r="A27" s="5" t="s">
        <v>81</v>
      </c>
      <c r="B27" t="s">
        <v>46</v>
      </c>
      <c r="F27" s="54"/>
      <c r="G27" s="54"/>
      <c r="H27" s="15"/>
      <c r="I27" s="55">
        <f t="shared" si="0"/>
        <v>0</v>
      </c>
      <c r="J27" s="15"/>
      <c r="K27" s="16">
        <f t="shared" si="1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15"/>
      <c r="I28" s="55">
        <f t="shared" si="0"/>
        <v>0</v>
      </c>
      <c r="J28" s="15"/>
      <c r="K28" s="16">
        <f t="shared" si="1"/>
        <v>0</v>
      </c>
    </row>
    <row r="29" spans="1:11" ht="18" customHeight="1">
      <c r="A29" s="5" t="s">
        <v>83</v>
      </c>
      <c r="B29" t="s">
        <v>48</v>
      </c>
      <c r="F29" s="54"/>
      <c r="G29" s="54"/>
      <c r="H29" s="15"/>
      <c r="I29" s="55">
        <f t="shared" si="0"/>
        <v>0</v>
      </c>
      <c r="J29" s="15"/>
      <c r="K29" s="16">
        <f t="shared" si="1"/>
        <v>0</v>
      </c>
    </row>
    <row r="30" spans="1:11" ht="18" customHeight="1">
      <c r="A30" s="5" t="s">
        <v>84</v>
      </c>
      <c r="B30" s="547" t="s">
        <v>573</v>
      </c>
      <c r="C30" s="548"/>
      <c r="D30" s="549"/>
      <c r="F30" s="54">
        <v>37</v>
      </c>
      <c r="G30" s="54">
        <v>78</v>
      </c>
      <c r="H30" s="15">
        <v>972</v>
      </c>
      <c r="I30" s="55">
        <f t="shared" si="0"/>
        <v>562.49639999999999</v>
      </c>
      <c r="J30" s="15"/>
      <c r="K30" s="16">
        <f t="shared" si="1"/>
        <v>1534.4964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 t="shared" si="0"/>
        <v>0</v>
      </c>
      <c r="J31" s="15"/>
      <c r="K31" s="16">
        <f t="shared" si="1"/>
        <v>0</v>
      </c>
    </row>
    <row r="32" spans="1:11" ht="18" customHeight="1">
      <c r="A32" s="5" t="s">
        <v>134</v>
      </c>
      <c r="B32" s="284"/>
      <c r="C32" s="285"/>
      <c r="D32" s="286"/>
      <c r="F32" s="54"/>
      <c r="G32" s="52" t="s">
        <v>85</v>
      </c>
      <c r="H32" s="15"/>
      <c r="I32" s="55">
        <f t="shared" si="0"/>
        <v>0</v>
      </c>
      <c r="J32" s="15"/>
      <c r="K32" s="16">
        <f t="shared" si="1"/>
        <v>0</v>
      </c>
    </row>
    <row r="33" spans="1:11" ht="18" customHeight="1">
      <c r="A33" s="5" t="s">
        <v>135</v>
      </c>
      <c r="B33" s="284"/>
      <c r="C33" s="285"/>
      <c r="D33" s="286"/>
      <c r="F33" s="54"/>
      <c r="G33" s="52" t="s">
        <v>85</v>
      </c>
      <c r="H33" s="15"/>
      <c r="I33" s="55">
        <f t="shared" si="0"/>
        <v>0</v>
      </c>
      <c r="J33" s="15"/>
      <c r="K33" s="16">
        <f t="shared" si="1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 t="shared" si="0"/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312</v>
      </c>
      <c r="G36" s="18">
        <f t="shared" si="2"/>
        <v>3074</v>
      </c>
      <c r="H36" s="18">
        <f t="shared" si="2"/>
        <v>11437</v>
      </c>
      <c r="I36" s="16">
        <f t="shared" si="2"/>
        <v>6618.5919000000004</v>
      </c>
      <c r="J36" s="16">
        <f t="shared" si="2"/>
        <v>250</v>
      </c>
      <c r="K36" s="16">
        <f t="shared" si="2"/>
        <v>17805.591899999999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/>
      <c r="G40" s="54"/>
      <c r="H40" s="15"/>
      <c r="I40" s="55">
        <v>0</v>
      </c>
      <c r="J40" s="15"/>
      <c r="K40" s="16">
        <f t="shared" ref="K40:K47" si="3">(H40+I40)-J40</f>
        <v>0</v>
      </c>
    </row>
    <row r="41" spans="1:11" ht="18" customHeight="1">
      <c r="A41" s="5" t="s">
        <v>88</v>
      </c>
      <c r="B41" s="550" t="s">
        <v>50</v>
      </c>
      <c r="C41" s="551"/>
      <c r="F41" s="54"/>
      <c r="G41" s="54"/>
      <c r="H41" s="15"/>
      <c r="I41" s="55">
        <v>0</v>
      </c>
      <c r="J41" s="15"/>
      <c r="K41" s="16">
        <f t="shared" si="3"/>
        <v>0</v>
      </c>
    </row>
    <row r="42" spans="1:11" ht="18" customHeight="1">
      <c r="A42" s="5" t="s">
        <v>89</v>
      </c>
      <c r="B42" s="1" t="s">
        <v>11</v>
      </c>
      <c r="F42" s="54">
        <v>154</v>
      </c>
      <c r="G42" s="54">
        <v>2146</v>
      </c>
      <c r="H42" s="15">
        <v>66161</v>
      </c>
      <c r="I42" s="55">
        <f>H42*F$114</f>
        <v>38287.370699999999</v>
      </c>
      <c r="J42" s="15"/>
      <c r="K42" s="16">
        <f t="shared" si="3"/>
        <v>104448.3707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/>
      <c r="I43" s="55">
        <v>0</v>
      </c>
      <c r="J43" s="15"/>
      <c r="K43" s="16">
        <f t="shared" si="3"/>
        <v>0</v>
      </c>
    </row>
    <row r="44" spans="1:11" ht="18" customHeight="1">
      <c r="A44" s="5" t="s">
        <v>91</v>
      </c>
      <c r="B44" s="547"/>
      <c r="C44" s="548"/>
      <c r="D44" s="549"/>
      <c r="F44" s="54"/>
      <c r="G44" s="54"/>
      <c r="H44" s="54"/>
      <c r="I44" s="55">
        <f>H44*F$114</f>
        <v>0</v>
      </c>
      <c r="J44" s="54"/>
      <c r="K44" s="56">
        <f t="shared" si="3"/>
        <v>0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3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3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3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154</v>
      </c>
      <c r="G49" s="23">
        <f t="shared" si="4"/>
        <v>2146</v>
      </c>
      <c r="H49" s="16">
        <f t="shared" si="4"/>
        <v>66161</v>
      </c>
      <c r="I49" s="16">
        <f t="shared" si="4"/>
        <v>38287.370699999999</v>
      </c>
      <c r="J49" s="16">
        <f t="shared" si="4"/>
        <v>0</v>
      </c>
      <c r="K49" s="16">
        <f t="shared" si="4"/>
        <v>104448.3707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 t="s">
        <v>256</v>
      </c>
      <c r="C53" s="559"/>
      <c r="D53" s="532"/>
      <c r="F53" s="54"/>
      <c r="G53" s="54"/>
      <c r="H53" s="15">
        <v>6846100</v>
      </c>
      <c r="I53" s="55">
        <f>H53*F$114</f>
        <v>3961838.07</v>
      </c>
      <c r="J53" s="15">
        <v>1273200</v>
      </c>
      <c r="K53" s="16">
        <f t="shared" ref="K53:K62" si="5">(H53+I53)-J53</f>
        <v>9534738.0700000003</v>
      </c>
    </row>
    <row r="54" spans="1:11" ht="18" customHeight="1">
      <c r="A54" s="5" t="s">
        <v>93</v>
      </c>
      <c r="B54" s="289" t="s">
        <v>415</v>
      </c>
      <c r="C54" s="282"/>
      <c r="D54" s="283"/>
      <c r="F54" s="54"/>
      <c r="G54" s="54"/>
      <c r="H54" s="15">
        <v>99351</v>
      </c>
      <c r="I54" s="55">
        <v>0</v>
      </c>
      <c r="J54" s="15">
        <v>66441</v>
      </c>
      <c r="K54" s="16">
        <f t="shared" si="5"/>
        <v>32910</v>
      </c>
    </row>
    <row r="55" spans="1:11" ht="18" customHeight="1">
      <c r="A55" s="5" t="s">
        <v>94</v>
      </c>
      <c r="B55" s="530"/>
      <c r="C55" s="531"/>
      <c r="D55" s="532"/>
      <c r="F55" s="54"/>
      <c r="G55" s="54"/>
      <c r="H55" s="15"/>
      <c r="I55" s="55">
        <v>0</v>
      </c>
      <c r="J55" s="15"/>
      <c r="K55" s="16">
        <f t="shared" si="5"/>
        <v>0</v>
      </c>
    </row>
    <row r="56" spans="1:11" ht="18" customHeight="1">
      <c r="A56" s="5" t="s">
        <v>95</v>
      </c>
      <c r="B56" s="530"/>
      <c r="C56" s="531"/>
      <c r="D56" s="532"/>
      <c r="F56" s="54" t="s">
        <v>740</v>
      </c>
      <c r="G56" s="54"/>
      <c r="H56" s="15"/>
      <c r="I56" s="55">
        <v>0</v>
      </c>
      <c r="J56" s="15"/>
      <c r="K56" s="16">
        <f t="shared" si="5"/>
        <v>0</v>
      </c>
    </row>
    <row r="57" spans="1:11" ht="18" customHeight="1">
      <c r="A57" s="5" t="s">
        <v>96</v>
      </c>
      <c r="B57" s="530"/>
      <c r="C57" s="531"/>
      <c r="D57" s="532"/>
      <c r="F57" s="54"/>
      <c r="G57" s="54"/>
      <c r="H57" s="15"/>
      <c r="I57" s="55">
        <v>0</v>
      </c>
      <c r="J57" s="15"/>
      <c r="K57" s="16">
        <f t="shared" si="5"/>
        <v>0</v>
      </c>
    </row>
    <row r="58" spans="1:11" ht="18" customHeight="1">
      <c r="A58" s="5" t="s">
        <v>97</v>
      </c>
      <c r="B58" s="281"/>
      <c r="C58" s="282"/>
      <c r="D58" s="283"/>
      <c r="F58" s="54"/>
      <c r="G58" s="54"/>
      <c r="H58" s="15"/>
      <c r="I58" s="55">
        <v>0</v>
      </c>
      <c r="J58" s="15"/>
      <c r="K58" s="16">
        <f t="shared" si="5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v>0</v>
      </c>
      <c r="J59" s="15"/>
      <c r="K59" s="16">
        <f t="shared" si="5"/>
        <v>0</v>
      </c>
    </row>
    <row r="60" spans="1:11" ht="18" customHeight="1">
      <c r="A60" s="5" t="s">
        <v>99</v>
      </c>
      <c r="B60" s="281"/>
      <c r="C60" s="282"/>
      <c r="D60" s="283"/>
      <c r="F60" s="54"/>
      <c r="G60" s="54"/>
      <c r="H60" s="15"/>
      <c r="I60" s="55">
        <v>0</v>
      </c>
      <c r="J60" s="15"/>
      <c r="K60" s="16">
        <f t="shared" si="5"/>
        <v>0</v>
      </c>
    </row>
    <row r="61" spans="1:11" ht="18" customHeight="1">
      <c r="A61" s="5" t="s">
        <v>100</v>
      </c>
      <c r="B61" s="281"/>
      <c r="C61" s="282"/>
      <c r="D61" s="283"/>
      <c r="F61" s="54"/>
      <c r="G61" s="54"/>
      <c r="H61" s="15"/>
      <c r="I61" s="55">
        <v>0</v>
      </c>
      <c r="J61" s="15"/>
      <c r="K61" s="16">
        <f t="shared" si="5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5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6">SUM(F53:F62)</f>
        <v>0</v>
      </c>
      <c r="G64" s="18">
        <f t="shared" si="6"/>
        <v>0</v>
      </c>
      <c r="H64" s="16">
        <f t="shared" si="6"/>
        <v>6945451</v>
      </c>
      <c r="I64" s="16">
        <f t="shared" si="6"/>
        <v>3961838.07</v>
      </c>
      <c r="J64" s="16">
        <f t="shared" si="6"/>
        <v>1339641</v>
      </c>
      <c r="K64" s="16">
        <f t="shared" si="6"/>
        <v>9567648.0700000003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/>
      <c r="G68" s="51"/>
      <c r="H68" s="51"/>
      <c r="I68" s="55">
        <v>0</v>
      </c>
      <c r="J68" s="51"/>
      <c r="K68" s="16">
        <f>(H68+I68)-J68</f>
        <v>0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281"/>
      <c r="C70" s="282"/>
      <c r="D70" s="283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281"/>
      <c r="C71" s="282"/>
      <c r="D71" s="283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287"/>
      <c r="C72" s="288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7">SUM(F68:F72)</f>
        <v>0</v>
      </c>
      <c r="G74" s="21">
        <f t="shared" si="7"/>
        <v>0</v>
      </c>
      <c r="H74" s="21">
        <f t="shared" si="7"/>
        <v>0</v>
      </c>
      <c r="I74" s="53">
        <f t="shared" si="7"/>
        <v>0</v>
      </c>
      <c r="J74" s="21">
        <f t="shared" si="7"/>
        <v>0</v>
      </c>
      <c r="K74" s="56">
        <f t="shared" si="7"/>
        <v>0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/>
      <c r="G77" s="54"/>
      <c r="H77" s="15"/>
      <c r="I77" s="55">
        <v>0</v>
      </c>
      <c r="J77" s="15"/>
      <c r="K77" s="16">
        <f>(H77+I77)-J77</f>
        <v>0</v>
      </c>
    </row>
    <row r="78" spans="1:11" ht="18" customHeight="1">
      <c r="A78" s="5" t="s">
        <v>108</v>
      </c>
      <c r="B78" s="1" t="s">
        <v>55</v>
      </c>
      <c r="F78" s="54"/>
      <c r="G78" s="54"/>
      <c r="H78" s="15"/>
      <c r="I78" s="55"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/>
      <c r="G79" s="54"/>
      <c r="H79" s="15"/>
      <c r="I79" s="55">
        <v>0</v>
      </c>
      <c r="J79" s="15"/>
      <c r="K79" s="16">
        <f>(H79+I79)-J79</f>
        <v>0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8">SUM(F77:F80)</f>
        <v>0</v>
      </c>
      <c r="G82" s="21">
        <f t="shared" si="8"/>
        <v>0</v>
      </c>
      <c r="H82" s="56">
        <f t="shared" si="8"/>
        <v>0</v>
      </c>
      <c r="I82" s="56">
        <f t="shared" si="8"/>
        <v>0</v>
      </c>
      <c r="J82" s="56">
        <f t="shared" si="8"/>
        <v>0</v>
      </c>
      <c r="K82" s="56">
        <f t="shared" si="8"/>
        <v>0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f t="shared" ref="I86:I96" si="9">H86*F$114</f>
        <v>0</v>
      </c>
      <c r="J86" s="15"/>
      <c r="K86" s="16">
        <f t="shared" ref="K86:K96" si="10">(H86+I86)-J86</f>
        <v>0</v>
      </c>
    </row>
    <row r="87" spans="1:11" ht="18" customHeight="1">
      <c r="A87" s="5" t="s">
        <v>114</v>
      </c>
      <c r="B87" s="1" t="s">
        <v>14</v>
      </c>
      <c r="F87" s="54"/>
      <c r="G87" s="54"/>
      <c r="H87" s="15"/>
      <c r="I87" s="55">
        <f t="shared" si="9"/>
        <v>0</v>
      </c>
      <c r="J87" s="15"/>
      <c r="K87" s="16">
        <f t="shared" si="10"/>
        <v>0</v>
      </c>
    </row>
    <row r="88" spans="1:11" ht="18" customHeight="1">
      <c r="A88" s="5" t="s">
        <v>115</v>
      </c>
      <c r="B88" s="1" t="s">
        <v>116</v>
      </c>
      <c r="F88" s="54"/>
      <c r="G88" s="54"/>
      <c r="H88" s="15"/>
      <c r="I88" s="55">
        <f t="shared" si="9"/>
        <v>0</v>
      </c>
      <c r="J88" s="15"/>
      <c r="K88" s="16">
        <f t="shared" si="10"/>
        <v>0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 t="shared" si="9"/>
        <v>0</v>
      </c>
      <c r="J89" s="15"/>
      <c r="K89" s="16">
        <f t="shared" si="10"/>
        <v>0</v>
      </c>
    </row>
    <row r="90" spans="1:11" ht="18" customHeight="1">
      <c r="A90" s="5" t="s">
        <v>118</v>
      </c>
      <c r="B90" s="550" t="s">
        <v>59</v>
      </c>
      <c r="C90" s="551"/>
      <c r="F90" s="54"/>
      <c r="G90" s="54"/>
      <c r="H90" s="15"/>
      <c r="I90" s="55">
        <f t="shared" si="9"/>
        <v>0</v>
      </c>
      <c r="J90" s="15"/>
      <c r="K90" s="16">
        <f t="shared" si="10"/>
        <v>0</v>
      </c>
    </row>
    <row r="91" spans="1:11" ht="18" customHeight="1">
      <c r="A91" s="5" t="s">
        <v>119</v>
      </c>
      <c r="B91" s="1" t="s">
        <v>60</v>
      </c>
      <c r="F91" s="54"/>
      <c r="G91" s="54"/>
      <c r="H91" s="15"/>
      <c r="I91" s="55">
        <f t="shared" si="9"/>
        <v>0</v>
      </c>
      <c r="J91" s="15"/>
      <c r="K91" s="16">
        <f t="shared" si="10"/>
        <v>0</v>
      </c>
    </row>
    <row r="92" spans="1:11" ht="18" customHeight="1">
      <c r="A92" s="5" t="s">
        <v>120</v>
      </c>
      <c r="B92" s="1" t="s">
        <v>121</v>
      </c>
      <c r="F92" s="38"/>
      <c r="G92" s="38"/>
      <c r="H92" s="39"/>
      <c r="I92" s="55">
        <f t="shared" si="9"/>
        <v>0</v>
      </c>
      <c r="J92" s="39"/>
      <c r="K92" s="16">
        <f t="shared" si="10"/>
        <v>0</v>
      </c>
    </row>
    <row r="93" spans="1:11" ht="18" customHeight="1">
      <c r="A93" s="5" t="s">
        <v>122</v>
      </c>
      <c r="B93" s="1" t="s">
        <v>123</v>
      </c>
      <c r="F93" s="54">
        <v>40</v>
      </c>
      <c r="G93" s="54">
        <v>1</v>
      </c>
      <c r="H93" s="15">
        <v>1600</v>
      </c>
      <c r="I93" s="55">
        <f t="shared" si="9"/>
        <v>925.92</v>
      </c>
      <c r="J93" s="15"/>
      <c r="K93" s="16">
        <f t="shared" si="10"/>
        <v>2525.92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f t="shared" si="9"/>
        <v>0</v>
      </c>
      <c r="J94" s="15"/>
      <c r="K94" s="16">
        <f t="shared" si="10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9"/>
        <v>0</v>
      </c>
      <c r="J95" s="15"/>
      <c r="K95" s="16">
        <f t="shared" si="10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9"/>
        <v>0</v>
      </c>
      <c r="J96" s="15"/>
      <c r="K96" s="16">
        <f t="shared" si="10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1">SUM(F86:F96)</f>
        <v>40</v>
      </c>
      <c r="G98" s="18">
        <f t="shared" si="11"/>
        <v>1</v>
      </c>
      <c r="H98" s="18">
        <f t="shared" si="11"/>
        <v>1600</v>
      </c>
      <c r="I98" s="18">
        <f t="shared" si="11"/>
        <v>925.92</v>
      </c>
      <c r="J98" s="18">
        <f t="shared" si="11"/>
        <v>0</v>
      </c>
      <c r="K98" s="18">
        <f t="shared" si="11"/>
        <v>2525.92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>
        <f>190+120</f>
        <v>310</v>
      </c>
      <c r="G102" s="54"/>
      <c r="H102" s="15">
        <f>4800+7600</f>
        <v>12400</v>
      </c>
      <c r="I102" s="55">
        <f>H102*F$114</f>
        <v>7175.88</v>
      </c>
      <c r="J102" s="15"/>
      <c r="K102" s="16">
        <f>(H102+I102)-J102</f>
        <v>19575.88</v>
      </c>
    </row>
    <row r="103" spans="1:11" ht="18" customHeight="1">
      <c r="A103" s="5" t="s">
        <v>132</v>
      </c>
      <c r="B103" s="550" t="s">
        <v>62</v>
      </c>
      <c r="C103" s="550"/>
      <c r="F103" s="54"/>
      <c r="G103" s="54"/>
      <c r="H103" s="15">
        <v>41000</v>
      </c>
      <c r="I103" s="55">
        <f>H103*F$114</f>
        <v>23726.7</v>
      </c>
      <c r="J103" s="15"/>
      <c r="K103" s="16">
        <f>(H103+I103)-J103</f>
        <v>64726.7</v>
      </c>
    </row>
    <row r="104" spans="1:11" ht="18" customHeight="1">
      <c r="A104" s="5" t="s">
        <v>128</v>
      </c>
      <c r="B104" s="530"/>
      <c r="C104" s="531"/>
      <c r="D104" s="532"/>
      <c r="F104" s="54"/>
      <c r="G104" s="54"/>
      <c r="H104" s="15"/>
      <c r="I104" s="55">
        <f>H104*F$114</f>
        <v>0</v>
      </c>
      <c r="J104" s="15"/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2">SUM(F102:F106)</f>
        <v>310</v>
      </c>
      <c r="G108" s="18">
        <f t="shared" si="12"/>
        <v>0</v>
      </c>
      <c r="H108" s="16">
        <f t="shared" si="12"/>
        <v>53400</v>
      </c>
      <c r="I108" s="16">
        <f t="shared" si="12"/>
        <v>30902.58</v>
      </c>
      <c r="J108" s="16">
        <f t="shared" si="12"/>
        <v>0</v>
      </c>
      <c r="K108" s="16">
        <f t="shared" si="12"/>
        <v>84302.58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7918100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0.57869999999999999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93954800</v>
      </c>
    </row>
    <row r="118" spans="1:6" ht="18" customHeight="1">
      <c r="A118" s="5" t="s">
        <v>173</v>
      </c>
      <c r="B118" t="s">
        <v>18</v>
      </c>
      <c r="F118" s="15">
        <v>-189100</v>
      </c>
    </row>
    <row r="119" spans="1:6" ht="18" customHeight="1">
      <c r="A119" s="5" t="s">
        <v>174</v>
      </c>
      <c r="B119" s="2" t="s">
        <v>19</v>
      </c>
      <c r="F119" s="56">
        <f>SUM(F117:F118)</f>
        <v>93765700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96874600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v>-3108900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0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v>-3108900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3">SUM(F131:F135)</f>
        <v>0</v>
      </c>
      <c r="G137" s="18">
        <f t="shared" si="13"/>
        <v>0</v>
      </c>
      <c r="H137" s="16">
        <f t="shared" si="13"/>
        <v>0</v>
      </c>
      <c r="I137" s="16">
        <f t="shared" si="13"/>
        <v>0</v>
      </c>
      <c r="J137" s="16">
        <f t="shared" si="13"/>
        <v>0</v>
      </c>
      <c r="K137" s="16">
        <f t="shared" si="13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4">F36</f>
        <v>312</v>
      </c>
      <c r="G141" s="41">
        <f t="shared" si="14"/>
        <v>3074</v>
      </c>
      <c r="H141" s="41">
        <f t="shared" si="14"/>
        <v>11437</v>
      </c>
      <c r="I141" s="41">
        <f t="shared" si="14"/>
        <v>6618.5919000000004</v>
      </c>
      <c r="J141" s="41">
        <f t="shared" si="14"/>
        <v>250</v>
      </c>
      <c r="K141" s="41">
        <f t="shared" si="14"/>
        <v>17805.591899999999</v>
      </c>
    </row>
    <row r="142" spans="1:11" ht="18" customHeight="1">
      <c r="A142" s="5" t="s">
        <v>142</v>
      </c>
      <c r="B142" s="2" t="s">
        <v>65</v>
      </c>
      <c r="F142" s="41">
        <f t="shared" ref="F142:K142" si="15">F49</f>
        <v>154</v>
      </c>
      <c r="G142" s="41">
        <f t="shared" si="15"/>
        <v>2146</v>
      </c>
      <c r="H142" s="41">
        <f t="shared" si="15"/>
        <v>66161</v>
      </c>
      <c r="I142" s="41">
        <f t="shared" si="15"/>
        <v>38287.370699999999</v>
      </c>
      <c r="J142" s="41">
        <f t="shared" si="15"/>
        <v>0</v>
      </c>
      <c r="K142" s="41">
        <f t="shared" si="15"/>
        <v>104448.3707</v>
      </c>
    </row>
    <row r="143" spans="1:11" ht="18" customHeight="1">
      <c r="A143" s="5" t="s">
        <v>144</v>
      </c>
      <c r="B143" s="2" t="s">
        <v>66</v>
      </c>
      <c r="F143" s="41">
        <f t="shared" ref="F143:K143" si="16">F64</f>
        <v>0</v>
      </c>
      <c r="G143" s="41">
        <f t="shared" si="16"/>
        <v>0</v>
      </c>
      <c r="H143" s="41">
        <f t="shared" si="16"/>
        <v>6945451</v>
      </c>
      <c r="I143" s="41">
        <f t="shared" si="16"/>
        <v>3961838.07</v>
      </c>
      <c r="J143" s="41">
        <f t="shared" si="16"/>
        <v>1339641</v>
      </c>
      <c r="K143" s="41">
        <f t="shared" si="16"/>
        <v>9567648.0700000003</v>
      </c>
    </row>
    <row r="144" spans="1:11" ht="18" customHeight="1">
      <c r="A144" s="5" t="s">
        <v>146</v>
      </c>
      <c r="B144" s="2" t="s">
        <v>67</v>
      </c>
      <c r="F144" s="41">
        <f t="shared" ref="F144:K144" si="17">F74</f>
        <v>0</v>
      </c>
      <c r="G144" s="41">
        <f t="shared" si="17"/>
        <v>0</v>
      </c>
      <c r="H144" s="41">
        <f t="shared" si="17"/>
        <v>0</v>
      </c>
      <c r="I144" s="41">
        <f t="shared" si="17"/>
        <v>0</v>
      </c>
      <c r="J144" s="41">
        <f t="shared" si="17"/>
        <v>0</v>
      </c>
      <c r="K144" s="41">
        <f t="shared" si="17"/>
        <v>0</v>
      </c>
    </row>
    <row r="145" spans="1:11" ht="18" customHeight="1">
      <c r="A145" s="5" t="s">
        <v>148</v>
      </c>
      <c r="B145" s="2" t="s">
        <v>68</v>
      </c>
      <c r="F145" s="41">
        <f t="shared" ref="F145:K145" si="18">F82</f>
        <v>0</v>
      </c>
      <c r="G145" s="41">
        <f t="shared" si="18"/>
        <v>0</v>
      </c>
      <c r="H145" s="41">
        <f t="shared" si="18"/>
        <v>0</v>
      </c>
      <c r="I145" s="41">
        <f t="shared" si="18"/>
        <v>0</v>
      </c>
      <c r="J145" s="41">
        <f t="shared" si="18"/>
        <v>0</v>
      </c>
      <c r="K145" s="41">
        <f t="shared" si="18"/>
        <v>0</v>
      </c>
    </row>
    <row r="146" spans="1:11" ht="18" customHeight="1">
      <c r="A146" s="5" t="s">
        <v>150</v>
      </c>
      <c r="B146" s="2" t="s">
        <v>69</v>
      </c>
      <c r="F146" s="41">
        <f t="shared" ref="F146:K146" si="19">F98</f>
        <v>40</v>
      </c>
      <c r="G146" s="41">
        <f t="shared" si="19"/>
        <v>1</v>
      </c>
      <c r="H146" s="41">
        <f t="shared" si="19"/>
        <v>1600</v>
      </c>
      <c r="I146" s="41">
        <f t="shared" si="19"/>
        <v>925.92</v>
      </c>
      <c r="J146" s="41">
        <f t="shared" si="19"/>
        <v>0</v>
      </c>
      <c r="K146" s="41">
        <f t="shared" si="19"/>
        <v>2525.92</v>
      </c>
    </row>
    <row r="147" spans="1:11" ht="18" customHeight="1">
      <c r="A147" s="5" t="s">
        <v>153</v>
      </c>
      <c r="B147" s="2" t="s">
        <v>61</v>
      </c>
      <c r="F147" s="18">
        <f t="shared" ref="F147:K147" si="20">F108</f>
        <v>310</v>
      </c>
      <c r="G147" s="18">
        <f t="shared" si="20"/>
        <v>0</v>
      </c>
      <c r="H147" s="18">
        <f t="shared" si="20"/>
        <v>53400</v>
      </c>
      <c r="I147" s="18">
        <f t="shared" si="20"/>
        <v>30902.58</v>
      </c>
      <c r="J147" s="18">
        <f t="shared" si="20"/>
        <v>0</v>
      </c>
      <c r="K147" s="18">
        <f t="shared" si="20"/>
        <v>84302.58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7918100</v>
      </c>
    </row>
    <row r="149" spans="1:11" ht="18" customHeight="1">
      <c r="A149" s="5" t="s">
        <v>163</v>
      </c>
      <c r="B149" s="2" t="s">
        <v>71</v>
      </c>
      <c r="F149" s="18">
        <f t="shared" ref="F149:K149" si="21">F137</f>
        <v>0</v>
      </c>
      <c r="G149" s="18">
        <f t="shared" si="21"/>
        <v>0</v>
      </c>
      <c r="H149" s="18">
        <f t="shared" si="21"/>
        <v>0</v>
      </c>
      <c r="I149" s="18">
        <f t="shared" si="21"/>
        <v>0</v>
      </c>
      <c r="J149" s="18">
        <f t="shared" si="21"/>
        <v>0</v>
      </c>
      <c r="K149" s="18">
        <f t="shared" si="21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2979550</v>
      </c>
      <c r="I150" s="18">
        <f>I18</f>
        <v>0</v>
      </c>
      <c r="J150" s="18">
        <f>J18</f>
        <v>2547888</v>
      </c>
      <c r="K150" s="18">
        <f>K18</f>
        <v>431662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2">SUM(F141:F150)</f>
        <v>816</v>
      </c>
      <c r="G152" s="49">
        <f t="shared" si="22"/>
        <v>5221</v>
      </c>
      <c r="H152" s="49">
        <f t="shared" si="22"/>
        <v>10057599</v>
      </c>
      <c r="I152" s="49">
        <f t="shared" si="22"/>
        <v>4038572.5326</v>
      </c>
      <c r="J152" s="49">
        <f t="shared" si="22"/>
        <v>3887779</v>
      </c>
      <c r="K152" s="49">
        <f t="shared" si="22"/>
        <v>18126492.532600001</v>
      </c>
    </row>
    <row r="154" spans="1:11" ht="18" customHeight="1">
      <c r="A154" s="6" t="s">
        <v>168</v>
      </c>
      <c r="B154" s="2" t="s">
        <v>28</v>
      </c>
      <c r="F154" s="64">
        <f>K152/F121</f>
        <v>0.18711295357709865</v>
      </c>
    </row>
    <row r="155" spans="1:11" ht="18" customHeight="1">
      <c r="A155" s="6" t="s">
        <v>169</v>
      </c>
      <c r="B155" s="2" t="s">
        <v>72</v>
      </c>
      <c r="F155" s="64">
        <f>K152/F127</f>
        <v>-5.8305164310849502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B57:D57"/>
    <mergeCell ref="B52:C52"/>
    <mergeCell ref="B90:C90"/>
    <mergeCell ref="B53:D53"/>
    <mergeCell ref="B55:D55"/>
    <mergeCell ref="B56:D56"/>
    <mergeCell ref="B59:D59"/>
    <mergeCell ref="B62:D62"/>
    <mergeCell ref="D2:H2"/>
    <mergeCell ref="B45:D45"/>
    <mergeCell ref="B46:D46"/>
    <mergeCell ref="B47:D47"/>
    <mergeCell ref="B34:D34"/>
    <mergeCell ref="C11:G11"/>
    <mergeCell ref="B41:C41"/>
    <mergeCell ref="B44:D44"/>
    <mergeCell ref="B13:H13"/>
    <mergeCell ref="B31:D31"/>
    <mergeCell ref="C5:G5"/>
    <mergeCell ref="C6:G6"/>
    <mergeCell ref="C7:G7"/>
    <mergeCell ref="C9:G9"/>
    <mergeCell ref="C10:G10"/>
    <mergeCell ref="B30:D30"/>
    <mergeCell ref="B135:D135"/>
    <mergeCell ref="B133:D133"/>
    <mergeCell ref="B104:D104"/>
    <mergeCell ref="B105:D105"/>
    <mergeCell ref="B106:D106"/>
    <mergeCell ref="B94:D94"/>
    <mergeCell ref="B96:D96"/>
    <mergeCell ref="B95:D95"/>
    <mergeCell ref="B103:C103"/>
    <mergeCell ref="B134:D134"/>
  </mergeCells>
  <hyperlinks>
    <hyperlink ref="C11" r:id="rId1" display="PATRICIA.TIHANSKY@DIMENSIONSHEALTH.ORG"/>
  </hyperlinks>
  <printOptions headings="1" gridLines="1"/>
  <pageMargins left="0.17" right="0.16" top="0.35" bottom="0.32" header="0.17" footer="0.17"/>
  <pageSetup scale="59" fitToHeight="3" orientation="landscape" horizontalDpi="200" verticalDpi="200" r:id="rId2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90" zoomScaleNormal="75" zoomScaleSheetLayoutView="9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279</v>
      </c>
      <c r="D5" s="534"/>
      <c r="E5" s="534"/>
      <c r="F5" s="534"/>
      <c r="G5" s="535"/>
    </row>
    <row r="6" spans="1:11" ht="18" customHeight="1">
      <c r="B6" s="5" t="s">
        <v>3</v>
      </c>
      <c r="C6" s="536" t="s">
        <v>278</v>
      </c>
      <c r="D6" s="537"/>
      <c r="E6" s="537"/>
      <c r="F6" s="537"/>
      <c r="G6" s="538"/>
    </row>
    <row r="7" spans="1:11" ht="18" customHeight="1">
      <c r="B7" s="5" t="s">
        <v>4</v>
      </c>
      <c r="C7" s="640">
        <v>1200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277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276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275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5289960</v>
      </c>
      <c r="I18" s="55">
        <v>0</v>
      </c>
      <c r="J18" s="15">
        <v>4523577</v>
      </c>
      <c r="K18" s="16">
        <f>(H18+I18)-J18</f>
        <v>766383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f>[11]Detail!$I$22</f>
        <v>148.5</v>
      </c>
      <c r="G21" s="54">
        <v>1410</v>
      </c>
      <c r="H21" s="15">
        <v>4232</v>
      </c>
      <c r="I21" s="55">
        <f t="shared" ref="I21:I34" si="0">H21*F$114</f>
        <v>2327.6000000000004</v>
      </c>
      <c r="J21" s="15"/>
      <c r="K21" s="16">
        <f t="shared" ref="K21:K34" si="1">(H21+I21)-J21</f>
        <v>6559.6</v>
      </c>
    </row>
    <row r="22" spans="1:11" ht="18" customHeight="1">
      <c r="A22" s="5" t="s">
        <v>76</v>
      </c>
      <c r="B22" t="s">
        <v>6</v>
      </c>
      <c r="F22" s="54"/>
      <c r="G22" s="54"/>
      <c r="H22" s="15"/>
      <c r="I22" s="55">
        <f t="shared" si="0"/>
        <v>0</v>
      </c>
      <c r="J22" s="15"/>
      <c r="K22" s="16">
        <f t="shared" si="1"/>
        <v>0</v>
      </c>
    </row>
    <row r="23" spans="1:11" ht="18" customHeight="1">
      <c r="A23" s="5" t="s">
        <v>77</v>
      </c>
      <c r="B23" t="s">
        <v>43</v>
      </c>
      <c r="F23" s="54"/>
      <c r="G23" s="54"/>
      <c r="H23" s="15"/>
      <c r="I23" s="55">
        <f t="shared" si="0"/>
        <v>0</v>
      </c>
      <c r="J23" s="15"/>
      <c r="K23" s="16">
        <f t="shared" si="1"/>
        <v>0</v>
      </c>
    </row>
    <row r="24" spans="1:11" ht="18" customHeight="1">
      <c r="A24" s="5" t="s">
        <v>78</v>
      </c>
      <c r="B24" t="s">
        <v>44</v>
      </c>
      <c r="F24" s="54">
        <f>[11]Detail!$I$28</f>
        <v>1496.7400000000002</v>
      </c>
      <c r="G24" s="54">
        <v>7323</v>
      </c>
      <c r="H24" s="15">
        <v>55946</v>
      </c>
      <c r="I24" s="55">
        <f t="shared" si="0"/>
        <v>30770.300000000003</v>
      </c>
      <c r="J24" s="15"/>
      <c r="K24" s="16">
        <f t="shared" si="1"/>
        <v>86716.3</v>
      </c>
    </row>
    <row r="25" spans="1:11" ht="18" customHeight="1">
      <c r="A25" s="5" t="s">
        <v>79</v>
      </c>
      <c r="B25" t="s">
        <v>5</v>
      </c>
      <c r="F25" s="54"/>
      <c r="G25" s="54"/>
      <c r="H25" s="15"/>
      <c r="I25" s="55">
        <f t="shared" si="0"/>
        <v>0</v>
      </c>
      <c r="J25" s="15"/>
      <c r="K25" s="16">
        <f t="shared" si="1"/>
        <v>0</v>
      </c>
    </row>
    <row r="26" spans="1:11" ht="18" customHeight="1">
      <c r="A26" s="5" t="s">
        <v>80</v>
      </c>
      <c r="B26" t="s">
        <v>45</v>
      </c>
      <c r="F26" s="54"/>
      <c r="G26" s="54"/>
      <c r="H26" s="15"/>
      <c r="I26" s="55">
        <f t="shared" si="0"/>
        <v>0</v>
      </c>
      <c r="J26" s="15"/>
      <c r="K26" s="16">
        <f t="shared" si="1"/>
        <v>0</v>
      </c>
    </row>
    <row r="27" spans="1:11" ht="18" customHeight="1">
      <c r="A27" s="5" t="s">
        <v>81</v>
      </c>
      <c r="B27" t="s">
        <v>46</v>
      </c>
      <c r="F27" s="54"/>
      <c r="G27" s="54"/>
      <c r="H27" s="15"/>
      <c r="I27" s="55">
        <f t="shared" si="0"/>
        <v>0</v>
      </c>
      <c r="J27" s="15"/>
      <c r="K27" s="16">
        <f t="shared" si="1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15"/>
      <c r="I28" s="55">
        <f t="shared" si="0"/>
        <v>0</v>
      </c>
      <c r="J28" s="15"/>
      <c r="K28" s="16">
        <f t="shared" si="1"/>
        <v>0</v>
      </c>
    </row>
    <row r="29" spans="1:11" ht="18" customHeight="1">
      <c r="A29" s="5" t="s">
        <v>83</v>
      </c>
      <c r="B29" t="s">
        <v>48</v>
      </c>
      <c r="F29" s="54">
        <f>[11]Detail!$I$34</f>
        <v>18576</v>
      </c>
      <c r="G29" s="54">
        <v>22055</v>
      </c>
      <c r="H29" s="15">
        <v>425994</v>
      </c>
      <c r="I29" s="55">
        <f t="shared" si="0"/>
        <v>234296.7</v>
      </c>
      <c r="J29" s="15"/>
      <c r="K29" s="16">
        <f t="shared" si="1"/>
        <v>660290.69999999995</v>
      </c>
    </row>
    <row r="30" spans="1:11" ht="18" customHeight="1">
      <c r="A30" s="5" t="s">
        <v>84</v>
      </c>
      <c r="B30" s="547" t="s">
        <v>274</v>
      </c>
      <c r="C30" s="548"/>
      <c r="D30" s="549"/>
      <c r="F30" s="54">
        <f>[11]Detail!$I$37</f>
        <v>148</v>
      </c>
      <c r="G30" s="54">
        <v>104</v>
      </c>
      <c r="H30" s="15">
        <v>3821</v>
      </c>
      <c r="I30" s="55">
        <f t="shared" si="0"/>
        <v>2101.5500000000002</v>
      </c>
      <c r="J30" s="15"/>
      <c r="K30" s="16">
        <f t="shared" si="1"/>
        <v>5922.55</v>
      </c>
    </row>
    <row r="31" spans="1:11" ht="18" customHeight="1">
      <c r="A31" s="5" t="s">
        <v>133</v>
      </c>
      <c r="B31" s="547" t="s">
        <v>273</v>
      </c>
      <c r="C31" s="548"/>
      <c r="D31" s="549"/>
      <c r="F31" s="54">
        <f>[11]Detail!$I$54</f>
        <v>328</v>
      </c>
      <c r="G31" s="54">
        <v>1426</v>
      </c>
      <c r="H31" s="15">
        <v>12900</v>
      </c>
      <c r="I31" s="55">
        <f t="shared" si="0"/>
        <v>7095.0000000000009</v>
      </c>
      <c r="J31" s="15"/>
      <c r="K31" s="16">
        <f t="shared" si="1"/>
        <v>19995</v>
      </c>
    </row>
    <row r="32" spans="1:11" ht="18" customHeight="1">
      <c r="A32" s="5" t="s">
        <v>134</v>
      </c>
      <c r="B32" s="367"/>
      <c r="C32" s="368"/>
      <c r="D32" s="369"/>
      <c r="F32" s="54"/>
      <c r="G32" s="52" t="s">
        <v>85</v>
      </c>
      <c r="H32" s="15"/>
      <c r="I32" s="55">
        <f t="shared" si="0"/>
        <v>0</v>
      </c>
      <c r="J32" s="15"/>
      <c r="K32" s="16">
        <f t="shared" si="1"/>
        <v>0</v>
      </c>
    </row>
    <row r="33" spans="1:11" ht="18" customHeight="1">
      <c r="A33" s="5" t="s">
        <v>135</v>
      </c>
      <c r="B33" s="367"/>
      <c r="C33" s="368"/>
      <c r="D33" s="369"/>
      <c r="F33" s="54"/>
      <c r="G33" s="52" t="s">
        <v>85</v>
      </c>
      <c r="H33" s="15"/>
      <c r="I33" s="55">
        <f t="shared" si="0"/>
        <v>0</v>
      </c>
      <c r="J33" s="15"/>
      <c r="K33" s="16">
        <f t="shared" si="1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 t="shared" si="0"/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20697.240000000002</v>
      </c>
      <c r="G36" s="18">
        <f t="shared" si="2"/>
        <v>32318</v>
      </c>
      <c r="H36" s="18">
        <f t="shared" si="2"/>
        <v>502893</v>
      </c>
      <c r="I36" s="16">
        <f t="shared" si="2"/>
        <v>276591.15000000002</v>
      </c>
      <c r="J36" s="16">
        <f t="shared" si="2"/>
        <v>0</v>
      </c>
      <c r="K36" s="16">
        <f t="shared" si="2"/>
        <v>779484.15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>
        <v>15064</v>
      </c>
      <c r="G40" s="54"/>
      <c r="H40" s="15">
        <v>1252460</v>
      </c>
      <c r="I40" s="55">
        <v>0</v>
      </c>
      <c r="J40" s="15"/>
      <c r="K40" s="16">
        <f t="shared" ref="K40:K47" si="3">(H40+I40)-J40</f>
        <v>1252460</v>
      </c>
    </row>
    <row r="41" spans="1:11" ht="18" customHeight="1">
      <c r="A41" s="5" t="s">
        <v>88</v>
      </c>
      <c r="B41" s="550" t="s">
        <v>50</v>
      </c>
      <c r="C41" s="551"/>
      <c r="F41" s="54">
        <v>120</v>
      </c>
      <c r="G41" s="54"/>
      <c r="H41" s="15">
        <v>4488</v>
      </c>
      <c r="I41" s="55">
        <v>0</v>
      </c>
      <c r="J41" s="15"/>
      <c r="K41" s="16">
        <f t="shared" si="3"/>
        <v>4488</v>
      </c>
    </row>
    <row r="42" spans="1:11" ht="18" customHeight="1">
      <c r="A42" s="5" t="s">
        <v>89</v>
      </c>
      <c r="B42" s="1" t="s">
        <v>11</v>
      </c>
      <c r="F42" s="54">
        <v>960</v>
      </c>
      <c r="G42" s="54"/>
      <c r="H42" s="15">
        <v>21544</v>
      </c>
      <c r="I42" s="55">
        <v>0</v>
      </c>
      <c r="J42" s="15"/>
      <c r="K42" s="16">
        <f t="shared" si="3"/>
        <v>21544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/>
      <c r="I43" s="55">
        <v>0</v>
      </c>
      <c r="J43" s="15"/>
      <c r="K43" s="16">
        <f t="shared" si="3"/>
        <v>0</v>
      </c>
    </row>
    <row r="44" spans="1:11" ht="18" customHeight="1">
      <c r="A44" s="5" t="s">
        <v>91</v>
      </c>
      <c r="B44" s="547" t="s">
        <v>272</v>
      </c>
      <c r="C44" s="548"/>
      <c r="D44" s="549"/>
      <c r="F44" s="54">
        <v>2080</v>
      </c>
      <c r="G44" s="54">
        <v>500</v>
      </c>
      <c r="H44" s="54">
        <v>51065</v>
      </c>
      <c r="I44" s="55">
        <v>0</v>
      </c>
      <c r="J44" s="54"/>
      <c r="K44" s="56">
        <f t="shared" si="3"/>
        <v>51065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3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3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3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18224</v>
      </c>
      <c r="G49" s="23">
        <f t="shared" si="4"/>
        <v>500</v>
      </c>
      <c r="H49" s="16">
        <f t="shared" si="4"/>
        <v>1329557</v>
      </c>
      <c r="I49" s="16">
        <f t="shared" si="4"/>
        <v>0</v>
      </c>
      <c r="J49" s="16">
        <f t="shared" si="4"/>
        <v>0</v>
      </c>
      <c r="K49" s="16">
        <f t="shared" si="4"/>
        <v>1329557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 t="s">
        <v>271</v>
      </c>
      <c r="C53" s="559"/>
      <c r="D53" s="532"/>
      <c r="F53" s="54">
        <v>7077</v>
      </c>
      <c r="G53" s="54">
        <v>5745</v>
      </c>
      <c r="H53" s="15">
        <v>179977</v>
      </c>
      <c r="I53" s="55">
        <v>0</v>
      </c>
      <c r="J53" s="15"/>
      <c r="K53" s="16">
        <f t="shared" ref="K53:K62" si="5">(H53+I53)-J53</f>
        <v>179977</v>
      </c>
    </row>
    <row r="54" spans="1:11" ht="18" customHeight="1">
      <c r="A54" s="5" t="s">
        <v>93</v>
      </c>
      <c r="B54" s="362"/>
      <c r="C54" s="363"/>
      <c r="D54" s="364"/>
      <c r="F54" s="54"/>
      <c r="G54" s="54"/>
      <c r="H54" s="15"/>
      <c r="I54" s="55">
        <v>0</v>
      </c>
      <c r="J54" s="15"/>
      <c r="K54" s="16">
        <f t="shared" si="5"/>
        <v>0</v>
      </c>
    </row>
    <row r="55" spans="1:11" ht="18" customHeight="1">
      <c r="A55" s="5" t="s">
        <v>94</v>
      </c>
      <c r="B55" s="530"/>
      <c r="C55" s="531"/>
      <c r="D55" s="532"/>
      <c r="F55" s="54"/>
      <c r="G55" s="54"/>
      <c r="H55" s="15"/>
      <c r="I55" s="55">
        <v>0</v>
      </c>
      <c r="J55" s="15"/>
      <c r="K55" s="16">
        <f t="shared" si="5"/>
        <v>0</v>
      </c>
    </row>
    <row r="56" spans="1:11" ht="18" customHeight="1">
      <c r="A56" s="5" t="s">
        <v>95</v>
      </c>
      <c r="B56" s="530"/>
      <c r="C56" s="531"/>
      <c r="D56" s="532"/>
      <c r="F56" s="54" t="s">
        <v>740</v>
      </c>
      <c r="G56" s="54"/>
      <c r="H56" s="15"/>
      <c r="I56" s="55">
        <v>0</v>
      </c>
      <c r="J56" s="15"/>
      <c r="K56" s="16">
        <f t="shared" si="5"/>
        <v>0</v>
      </c>
    </row>
    <row r="57" spans="1:11" ht="18" customHeight="1">
      <c r="A57" s="5" t="s">
        <v>96</v>
      </c>
      <c r="B57" s="530"/>
      <c r="C57" s="531"/>
      <c r="D57" s="532"/>
      <c r="F57" s="54"/>
      <c r="G57" s="54"/>
      <c r="H57" s="15"/>
      <c r="I57" s="55">
        <v>0</v>
      </c>
      <c r="J57" s="15"/>
      <c r="K57" s="16">
        <f t="shared" si="5"/>
        <v>0</v>
      </c>
    </row>
    <row r="58" spans="1:11" ht="18" customHeight="1">
      <c r="A58" s="5" t="s">
        <v>97</v>
      </c>
      <c r="B58" s="362"/>
      <c r="C58" s="363"/>
      <c r="D58" s="364"/>
      <c r="F58" s="54"/>
      <c r="G58" s="54"/>
      <c r="H58" s="15"/>
      <c r="I58" s="55">
        <v>0</v>
      </c>
      <c r="J58" s="15"/>
      <c r="K58" s="16">
        <f t="shared" si="5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v>0</v>
      </c>
      <c r="J59" s="15"/>
      <c r="K59" s="16">
        <f t="shared" si="5"/>
        <v>0</v>
      </c>
    </row>
    <row r="60" spans="1:11" ht="18" customHeight="1">
      <c r="A60" s="5" t="s">
        <v>99</v>
      </c>
      <c r="B60" s="362"/>
      <c r="C60" s="363"/>
      <c r="D60" s="364"/>
      <c r="F60" s="54"/>
      <c r="G60" s="54"/>
      <c r="H60" s="15"/>
      <c r="I60" s="55">
        <v>0</v>
      </c>
      <c r="J60" s="15"/>
      <c r="K60" s="16">
        <f t="shared" si="5"/>
        <v>0</v>
      </c>
    </row>
    <row r="61" spans="1:11" ht="18" customHeight="1">
      <c r="A61" s="5" t="s">
        <v>100</v>
      </c>
      <c r="B61" s="362"/>
      <c r="C61" s="363"/>
      <c r="D61" s="364"/>
      <c r="F61" s="54"/>
      <c r="G61" s="54"/>
      <c r="H61" s="15"/>
      <c r="I61" s="55">
        <v>0</v>
      </c>
      <c r="J61" s="15"/>
      <c r="K61" s="16">
        <f t="shared" si="5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5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6">SUM(F53:F62)</f>
        <v>7077</v>
      </c>
      <c r="G64" s="18">
        <f t="shared" si="6"/>
        <v>5745</v>
      </c>
      <c r="H64" s="16">
        <f t="shared" si="6"/>
        <v>179977</v>
      </c>
      <c r="I64" s="16">
        <f t="shared" si="6"/>
        <v>0</v>
      </c>
      <c r="J64" s="16">
        <f t="shared" si="6"/>
        <v>0</v>
      </c>
      <c r="K64" s="16">
        <f t="shared" si="6"/>
        <v>179977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/>
      <c r="G68" s="51"/>
      <c r="H68" s="51"/>
      <c r="I68" s="55">
        <v>0</v>
      </c>
      <c r="J68" s="51"/>
      <c r="K68" s="16">
        <f>(H68+I68)-J68</f>
        <v>0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362"/>
      <c r="C70" s="363"/>
      <c r="D70" s="364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362"/>
      <c r="C71" s="363"/>
      <c r="D71" s="364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365"/>
      <c r="C72" s="366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7">SUM(F68:F72)</f>
        <v>0</v>
      </c>
      <c r="G74" s="21">
        <f t="shared" si="7"/>
        <v>0</v>
      </c>
      <c r="H74" s="21">
        <f t="shared" si="7"/>
        <v>0</v>
      </c>
      <c r="I74" s="53">
        <f t="shared" si="7"/>
        <v>0</v>
      </c>
      <c r="J74" s="21">
        <f t="shared" si="7"/>
        <v>0</v>
      </c>
      <c r="K74" s="56">
        <f t="shared" si="7"/>
        <v>0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/>
      <c r="G77" s="54"/>
      <c r="H77" s="15"/>
      <c r="I77" s="55">
        <v>0</v>
      </c>
      <c r="J77" s="15"/>
      <c r="K77" s="16">
        <f>(H77+I77)-J77</f>
        <v>0</v>
      </c>
    </row>
    <row r="78" spans="1:11" ht="18" customHeight="1">
      <c r="A78" s="5" t="s">
        <v>108</v>
      </c>
      <c r="B78" s="1" t="s">
        <v>55</v>
      </c>
      <c r="F78" s="54"/>
      <c r="G78" s="54"/>
      <c r="H78" s="15"/>
      <c r="I78" s="55"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/>
      <c r="G79" s="54"/>
      <c r="H79" s="15"/>
      <c r="I79" s="55">
        <v>0</v>
      </c>
      <c r="J79" s="15"/>
      <c r="K79" s="16">
        <f>(H79+I79)-J79</f>
        <v>0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8">SUM(F77:F80)</f>
        <v>0</v>
      </c>
      <c r="G82" s="21">
        <f t="shared" si="8"/>
        <v>0</v>
      </c>
      <c r="H82" s="56">
        <f t="shared" si="8"/>
        <v>0</v>
      </c>
      <c r="I82" s="56">
        <f t="shared" si="8"/>
        <v>0</v>
      </c>
      <c r="J82" s="56">
        <f t="shared" si="8"/>
        <v>0</v>
      </c>
      <c r="K82" s="56">
        <f t="shared" si="8"/>
        <v>0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f t="shared" ref="I86:I96" si="9">H86*F$114</f>
        <v>0</v>
      </c>
      <c r="J86" s="15"/>
      <c r="K86" s="16">
        <f t="shared" ref="K86:K96" si="10">(H86+I86)-J86</f>
        <v>0</v>
      </c>
    </row>
    <row r="87" spans="1:11" ht="18" customHeight="1">
      <c r="A87" s="5" t="s">
        <v>114</v>
      </c>
      <c r="B87" s="1" t="s">
        <v>14</v>
      </c>
      <c r="F87" s="54"/>
      <c r="G87" s="54"/>
      <c r="H87" s="15"/>
      <c r="I87" s="55">
        <f t="shared" si="9"/>
        <v>0</v>
      </c>
      <c r="J87" s="15"/>
      <c r="K87" s="16">
        <f t="shared" si="10"/>
        <v>0</v>
      </c>
    </row>
    <row r="88" spans="1:11" ht="18" customHeight="1">
      <c r="A88" s="5" t="s">
        <v>115</v>
      </c>
      <c r="B88" s="1" t="s">
        <v>116</v>
      </c>
      <c r="F88" s="54"/>
      <c r="G88" s="54"/>
      <c r="H88" s="15"/>
      <c r="I88" s="55">
        <f t="shared" si="9"/>
        <v>0</v>
      </c>
      <c r="J88" s="15"/>
      <c r="K88" s="16">
        <f t="shared" si="10"/>
        <v>0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 t="shared" si="9"/>
        <v>0</v>
      </c>
      <c r="J89" s="15"/>
      <c r="K89" s="16">
        <f t="shared" si="10"/>
        <v>0</v>
      </c>
    </row>
    <row r="90" spans="1:11" ht="18" customHeight="1">
      <c r="A90" s="5" t="s">
        <v>118</v>
      </c>
      <c r="B90" s="550" t="s">
        <v>59</v>
      </c>
      <c r="C90" s="551"/>
      <c r="F90" s="54"/>
      <c r="G90" s="54"/>
      <c r="H90" s="15"/>
      <c r="I90" s="55">
        <f t="shared" si="9"/>
        <v>0</v>
      </c>
      <c r="J90" s="15"/>
      <c r="K90" s="16">
        <f t="shared" si="10"/>
        <v>0</v>
      </c>
    </row>
    <row r="91" spans="1:11" ht="18" customHeight="1">
      <c r="A91" s="5" t="s">
        <v>119</v>
      </c>
      <c r="B91" s="1" t="s">
        <v>60</v>
      </c>
      <c r="F91" s="54"/>
      <c r="G91" s="54"/>
      <c r="H91" s="15"/>
      <c r="I91" s="55">
        <f t="shared" si="9"/>
        <v>0</v>
      </c>
      <c r="J91" s="15"/>
      <c r="K91" s="16">
        <f t="shared" si="10"/>
        <v>0</v>
      </c>
    </row>
    <row r="92" spans="1:11" ht="18" customHeight="1">
      <c r="A92" s="5" t="s">
        <v>120</v>
      </c>
      <c r="B92" s="1" t="s">
        <v>121</v>
      </c>
      <c r="F92" s="38"/>
      <c r="G92" s="38"/>
      <c r="H92" s="39"/>
      <c r="I92" s="55">
        <f t="shared" si="9"/>
        <v>0</v>
      </c>
      <c r="J92" s="39"/>
      <c r="K92" s="16">
        <f t="shared" si="10"/>
        <v>0</v>
      </c>
    </row>
    <row r="93" spans="1:11" ht="18" customHeight="1">
      <c r="A93" s="5" t="s">
        <v>122</v>
      </c>
      <c r="B93" s="1" t="s">
        <v>123</v>
      </c>
      <c r="F93" s="54"/>
      <c r="G93" s="54"/>
      <c r="H93" s="15"/>
      <c r="I93" s="55">
        <f t="shared" si="9"/>
        <v>0</v>
      </c>
      <c r="J93" s="15"/>
      <c r="K93" s="16">
        <f t="shared" si="10"/>
        <v>0</v>
      </c>
    </row>
    <row r="94" spans="1:11" ht="18" customHeight="1">
      <c r="A94" s="5" t="s">
        <v>124</v>
      </c>
      <c r="B94" s="530" t="s">
        <v>270</v>
      </c>
      <c r="C94" s="531"/>
      <c r="D94" s="532"/>
      <c r="F94" s="54">
        <v>5</v>
      </c>
      <c r="G94" s="54"/>
      <c r="H94" s="15">
        <v>112</v>
      </c>
      <c r="I94" s="55">
        <f t="shared" si="9"/>
        <v>61.600000000000009</v>
      </c>
      <c r="J94" s="15"/>
      <c r="K94" s="16">
        <f t="shared" si="10"/>
        <v>173.60000000000002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9"/>
        <v>0</v>
      </c>
      <c r="J95" s="15"/>
      <c r="K95" s="16">
        <f t="shared" si="10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9"/>
        <v>0</v>
      </c>
      <c r="J96" s="15"/>
      <c r="K96" s="16">
        <f t="shared" si="10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1">SUM(F86:F96)</f>
        <v>5</v>
      </c>
      <c r="G98" s="18">
        <f t="shared" si="11"/>
        <v>0</v>
      </c>
      <c r="H98" s="18">
        <f t="shared" si="11"/>
        <v>112</v>
      </c>
      <c r="I98" s="18">
        <f t="shared" si="11"/>
        <v>61.600000000000009</v>
      </c>
      <c r="J98" s="18">
        <f t="shared" si="11"/>
        <v>0</v>
      </c>
      <c r="K98" s="18">
        <f t="shared" si="11"/>
        <v>173.60000000000002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>
        <v>862</v>
      </c>
      <c r="G102" s="54"/>
      <c r="H102" s="15">
        <v>35683</v>
      </c>
      <c r="I102" s="55">
        <f>H102*F$114</f>
        <v>19625.650000000001</v>
      </c>
      <c r="J102" s="15"/>
      <c r="K102" s="16">
        <f>(H102+I102)-J102</f>
        <v>55308.65</v>
      </c>
    </row>
    <row r="103" spans="1:11" ht="18" customHeight="1">
      <c r="A103" s="5" t="s">
        <v>132</v>
      </c>
      <c r="B103" s="550" t="s">
        <v>62</v>
      </c>
      <c r="C103" s="550"/>
      <c r="F103" s="54"/>
      <c r="G103" s="54"/>
      <c r="H103" s="15"/>
      <c r="I103" s="55">
        <f>H103*F$114</f>
        <v>0</v>
      </c>
      <c r="J103" s="15"/>
      <c r="K103" s="16">
        <f>(H103+I103)-J103</f>
        <v>0</v>
      </c>
    </row>
    <row r="104" spans="1:11" ht="18" customHeight="1">
      <c r="A104" s="5" t="s">
        <v>128</v>
      </c>
      <c r="B104" s="530"/>
      <c r="C104" s="531"/>
      <c r="D104" s="532"/>
      <c r="F104" s="54"/>
      <c r="G104" s="54"/>
      <c r="H104" s="15"/>
      <c r="I104" s="55">
        <f>H104*F$114</f>
        <v>0</v>
      </c>
      <c r="J104" s="15"/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2">SUM(F102:F106)</f>
        <v>862</v>
      </c>
      <c r="G108" s="18">
        <f t="shared" si="12"/>
        <v>0</v>
      </c>
      <c r="H108" s="16">
        <f t="shared" si="12"/>
        <v>35683</v>
      </c>
      <c r="I108" s="16">
        <f t="shared" si="12"/>
        <v>19625.650000000001</v>
      </c>
      <c r="J108" s="16">
        <f t="shared" si="12"/>
        <v>0</v>
      </c>
      <c r="K108" s="16">
        <f t="shared" si="12"/>
        <v>55308.65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15217000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0.55000000000000004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174332000</v>
      </c>
    </row>
    <row r="118" spans="1:6" ht="18" customHeight="1">
      <c r="A118" s="5" t="s">
        <v>173</v>
      </c>
      <c r="B118" t="s">
        <v>18</v>
      </c>
      <c r="F118" s="15">
        <v>1429000</v>
      </c>
    </row>
    <row r="119" spans="1:6" ht="18" customHeight="1">
      <c r="A119" s="5" t="s">
        <v>174</v>
      </c>
      <c r="B119" s="2" t="s">
        <v>19</v>
      </c>
      <c r="F119" s="56">
        <f>SUM(F117:F118)</f>
        <v>175761000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179896000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f>F119-F121</f>
        <v>-4135000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-678000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f>F123+F125</f>
        <v>-4813000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3">SUM(F131:F135)</f>
        <v>0</v>
      </c>
      <c r="G137" s="18">
        <f t="shared" si="13"/>
        <v>0</v>
      </c>
      <c r="H137" s="16">
        <f t="shared" si="13"/>
        <v>0</v>
      </c>
      <c r="I137" s="16">
        <f t="shared" si="13"/>
        <v>0</v>
      </c>
      <c r="J137" s="16">
        <f t="shared" si="13"/>
        <v>0</v>
      </c>
      <c r="K137" s="16">
        <f t="shared" si="13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4">F36</f>
        <v>20697.240000000002</v>
      </c>
      <c r="G141" s="41">
        <f t="shared" si="14"/>
        <v>32318</v>
      </c>
      <c r="H141" s="41">
        <f t="shared" si="14"/>
        <v>502893</v>
      </c>
      <c r="I141" s="41">
        <f t="shared" si="14"/>
        <v>276591.15000000002</v>
      </c>
      <c r="J141" s="41">
        <f t="shared" si="14"/>
        <v>0</v>
      </c>
      <c r="K141" s="41">
        <f t="shared" si="14"/>
        <v>779484.15</v>
      </c>
    </row>
    <row r="142" spans="1:11" ht="18" customHeight="1">
      <c r="A142" s="5" t="s">
        <v>142</v>
      </c>
      <c r="B142" s="2" t="s">
        <v>65</v>
      </c>
      <c r="F142" s="41">
        <f t="shared" ref="F142:K142" si="15">F49</f>
        <v>18224</v>
      </c>
      <c r="G142" s="41">
        <f t="shared" si="15"/>
        <v>500</v>
      </c>
      <c r="H142" s="41">
        <f t="shared" si="15"/>
        <v>1329557</v>
      </c>
      <c r="I142" s="41">
        <f t="shared" si="15"/>
        <v>0</v>
      </c>
      <c r="J142" s="41">
        <f t="shared" si="15"/>
        <v>0</v>
      </c>
      <c r="K142" s="41">
        <f t="shared" si="15"/>
        <v>1329557</v>
      </c>
    </row>
    <row r="143" spans="1:11" ht="18" customHeight="1">
      <c r="A143" s="5" t="s">
        <v>144</v>
      </c>
      <c r="B143" s="2" t="s">
        <v>66</v>
      </c>
      <c r="F143" s="41">
        <f t="shared" ref="F143:K143" si="16">F64</f>
        <v>7077</v>
      </c>
      <c r="G143" s="41">
        <f t="shared" si="16"/>
        <v>5745</v>
      </c>
      <c r="H143" s="41">
        <f t="shared" si="16"/>
        <v>179977</v>
      </c>
      <c r="I143" s="41">
        <f t="shared" si="16"/>
        <v>0</v>
      </c>
      <c r="J143" s="41">
        <f t="shared" si="16"/>
        <v>0</v>
      </c>
      <c r="K143" s="41">
        <f t="shared" si="16"/>
        <v>179977</v>
      </c>
    </row>
    <row r="144" spans="1:11" ht="18" customHeight="1">
      <c r="A144" s="5" t="s">
        <v>146</v>
      </c>
      <c r="B144" s="2" t="s">
        <v>67</v>
      </c>
      <c r="F144" s="41">
        <f t="shared" ref="F144:K144" si="17">F74</f>
        <v>0</v>
      </c>
      <c r="G144" s="41">
        <f t="shared" si="17"/>
        <v>0</v>
      </c>
      <c r="H144" s="41">
        <f t="shared" si="17"/>
        <v>0</v>
      </c>
      <c r="I144" s="41">
        <f t="shared" si="17"/>
        <v>0</v>
      </c>
      <c r="J144" s="41">
        <f t="shared" si="17"/>
        <v>0</v>
      </c>
      <c r="K144" s="41">
        <f t="shared" si="17"/>
        <v>0</v>
      </c>
    </row>
    <row r="145" spans="1:11" ht="18" customHeight="1">
      <c r="A145" s="5" t="s">
        <v>148</v>
      </c>
      <c r="B145" s="2" t="s">
        <v>68</v>
      </c>
      <c r="F145" s="41">
        <f t="shared" ref="F145:K145" si="18">F82</f>
        <v>0</v>
      </c>
      <c r="G145" s="41">
        <f t="shared" si="18"/>
        <v>0</v>
      </c>
      <c r="H145" s="41">
        <f t="shared" si="18"/>
        <v>0</v>
      </c>
      <c r="I145" s="41">
        <f t="shared" si="18"/>
        <v>0</v>
      </c>
      <c r="J145" s="41">
        <f t="shared" si="18"/>
        <v>0</v>
      </c>
      <c r="K145" s="41">
        <f t="shared" si="18"/>
        <v>0</v>
      </c>
    </row>
    <row r="146" spans="1:11" ht="18" customHeight="1">
      <c r="A146" s="5" t="s">
        <v>150</v>
      </c>
      <c r="B146" s="2" t="s">
        <v>69</v>
      </c>
      <c r="F146" s="41">
        <f t="shared" ref="F146:K146" si="19">F98</f>
        <v>5</v>
      </c>
      <c r="G146" s="41">
        <f t="shared" si="19"/>
        <v>0</v>
      </c>
      <c r="H146" s="41">
        <f t="shared" si="19"/>
        <v>112</v>
      </c>
      <c r="I146" s="41">
        <f t="shared" si="19"/>
        <v>61.600000000000009</v>
      </c>
      <c r="J146" s="41">
        <f t="shared" si="19"/>
        <v>0</v>
      </c>
      <c r="K146" s="41">
        <f t="shared" si="19"/>
        <v>173.60000000000002</v>
      </c>
    </row>
    <row r="147" spans="1:11" ht="18" customHeight="1">
      <c r="A147" s="5" t="s">
        <v>153</v>
      </c>
      <c r="B147" s="2" t="s">
        <v>61</v>
      </c>
      <c r="F147" s="18">
        <f t="shared" ref="F147:K147" si="20">F108</f>
        <v>862</v>
      </c>
      <c r="G147" s="18">
        <f t="shared" si="20"/>
        <v>0</v>
      </c>
      <c r="H147" s="18">
        <f t="shared" si="20"/>
        <v>35683</v>
      </c>
      <c r="I147" s="18">
        <f t="shared" si="20"/>
        <v>19625.650000000001</v>
      </c>
      <c r="J147" s="18">
        <f t="shared" si="20"/>
        <v>0</v>
      </c>
      <c r="K147" s="18">
        <f t="shared" si="20"/>
        <v>55308.65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15217000</v>
      </c>
    </row>
    <row r="149" spans="1:11" ht="18" customHeight="1">
      <c r="A149" s="5" t="s">
        <v>163</v>
      </c>
      <c r="B149" s="2" t="s">
        <v>71</v>
      </c>
      <c r="F149" s="18">
        <f t="shared" ref="F149:K149" si="21">F137</f>
        <v>0</v>
      </c>
      <c r="G149" s="18">
        <f t="shared" si="21"/>
        <v>0</v>
      </c>
      <c r="H149" s="18">
        <f t="shared" si="21"/>
        <v>0</v>
      </c>
      <c r="I149" s="18">
        <f t="shared" si="21"/>
        <v>0</v>
      </c>
      <c r="J149" s="18">
        <f t="shared" si="21"/>
        <v>0</v>
      </c>
      <c r="K149" s="18">
        <f t="shared" si="21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5289960</v>
      </c>
      <c r="I150" s="18">
        <f>I18</f>
        <v>0</v>
      </c>
      <c r="J150" s="18">
        <f>J18</f>
        <v>4523577</v>
      </c>
      <c r="K150" s="18">
        <f>K18</f>
        <v>766383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2">SUM(F141:F150)</f>
        <v>46865.240000000005</v>
      </c>
      <c r="G152" s="49">
        <f t="shared" si="22"/>
        <v>38563</v>
      </c>
      <c r="H152" s="49">
        <f t="shared" si="22"/>
        <v>7338182</v>
      </c>
      <c r="I152" s="49">
        <f t="shared" si="22"/>
        <v>296278.40000000002</v>
      </c>
      <c r="J152" s="49">
        <f t="shared" si="22"/>
        <v>4523577</v>
      </c>
      <c r="K152" s="49">
        <f t="shared" si="22"/>
        <v>18327883.399999999</v>
      </c>
    </row>
    <row r="154" spans="1:11" ht="18" customHeight="1">
      <c r="A154" s="6" t="s">
        <v>168</v>
      </c>
      <c r="B154" s="2" t="s">
        <v>28</v>
      </c>
      <c r="F154" s="64">
        <f>K152/F121</f>
        <v>0.10188043869791434</v>
      </c>
    </row>
    <row r="155" spans="1:11" ht="18" customHeight="1">
      <c r="A155" s="6" t="s">
        <v>169</v>
      </c>
      <c r="B155" s="2" t="s">
        <v>72</v>
      </c>
      <c r="F155" s="64">
        <f>K152/F127</f>
        <v>-3.8079957199252021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B57:D57"/>
    <mergeCell ref="B52:C52"/>
    <mergeCell ref="B90:C90"/>
    <mergeCell ref="B53:D53"/>
    <mergeCell ref="B55:D55"/>
    <mergeCell ref="B56:D56"/>
    <mergeCell ref="B59:D59"/>
    <mergeCell ref="B62:D62"/>
    <mergeCell ref="D2:H2"/>
    <mergeCell ref="B45:D45"/>
    <mergeCell ref="B46:D46"/>
    <mergeCell ref="B47:D47"/>
    <mergeCell ref="B34:D34"/>
    <mergeCell ref="C11:G11"/>
    <mergeCell ref="B41:C41"/>
    <mergeCell ref="B44:D44"/>
    <mergeCell ref="B13:H13"/>
    <mergeCell ref="B31:D31"/>
    <mergeCell ref="C5:G5"/>
    <mergeCell ref="C6:G6"/>
    <mergeCell ref="C7:G7"/>
    <mergeCell ref="C9:G9"/>
    <mergeCell ref="C10:G10"/>
    <mergeCell ref="B30:D30"/>
    <mergeCell ref="B135:D135"/>
    <mergeCell ref="B133:D133"/>
    <mergeCell ref="B104:D104"/>
    <mergeCell ref="B105:D105"/>
    <mergeCell ref="B106:D106"/>
    <mergeCell ref="B94:D94"/>
    <mergeCell ref="B96:D96"/>
    <mergeCell ref="B95:D95"/>
    <mergeCell ref="B103:C103"/>
    <mergeCell ref="B134:D134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80" zoomScaleNormal="75" zoomScaleSheetLayoutView="80" workbookViewId="0">
      <selection activeCell="C6" sqref="C6:G6"/>
    </sheetView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188</v>
      </c>
      <c r="D5" s="534"/>
      <c r="E5" s="534"/>
      <c r="F5" s="534"/>
      <c r="G5" s="535"/>
    </row>
    <row r="6" spans="1:11" ht="18" customHeight="1">
      <c r="B6" s="5" t="s">
        <v>3</v>
      </c>
      <c r="C6" s="658">
        <v>45</v>
      </c>
      <c r="D6" s="656"/>
      <c r="E6" s="656"/>
      <c r="F6" s="656"/>
      <c r="G6" s="657"/>
    </row>
    <row r="7" spans="1:11" ht="18" customHeight="1">
      <c r="B7" s="5" t="s">
        <v>4</v>
      </c>
      <c r="C7" s="640">
        <v>275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189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190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191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14" t="s">
        <v>73</v>
      </c>
      <c r="G18" s="14" t="s">
        <v>73</v>
      </c>
      <c r="H18" s="15">
        <v>526067</v>
      </c>
      <c r="I18" s="50">
        <v>0</v>
      </c>
      <c r="J18" s="15">
        <v>449853</v>
      </c>
      <c r="K18" s="16">
        <f>(H18+I18)-J18</f>
        <v>76214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14">
        <v>18</v>
      </c>
      <c r="G21" s="14">
        <v>100</v>
      </c>
      <c r="H21" s="15">
        <v>448</v>
      </c>
      <c r="I21" s="50">
        <v>0</v>
      </c>
      <c r="J21" s="15"/>
      <c r="K21" s="16">
        <f t="shared" ref="K21:K34" si="0">(H21+I21)-J21</f>
        <v>448</v>
      </c>
    </row>
    <row r="22" spans="1:11" ht="18" customHeight="1">
      <c r="A22" s="5" t="s">
        <v>76</v>
      </c>
      <c r="B22" t="s">
        <v>6</v>
      </c>
      <c r="F22" s="14"/>
      <c r="G22" s="14"/>
      <c r="H22" s="15"/>
      <c r="I22" s="50">
        <f t="shared" ref="I22:I34" si="1">H22*F$114</f>
        <v>0</v>
      </c>
      <c r="J22" s="15"/>
      <c r="K22" s="16">
        <f t="shared" si="0"/>
        <v>0</v>
      </c>
    </row>
    <row r="23" spans="1:11" ht="18" customHeight="1">
      <c r="A23" s="5" t="s">
        <v>77</v>
      </c>
      <c r="B23" t="s">
        <v>43</v>
      </c>
      <c r="F23" s="14"/>
      <c r="G23" s="14"/>
      <c r="H23" s="15"/>
      <c r="I23" s="50">
        <f t="shared" si="1"/>
        <v>0</v>
      </c>
      <c r="J23" s="15"/>
      <c r="K23" s="16">
        <f t="shared" si="0"/>
        <v>0</v>
      </c>
    </row>
    <row r="24" spans="1:11" ht="18" customHeight="1">
      <c r="A24" s="5" t="s">
        <v>78</v>
      </c>
      <c r="B24" t="s">
        <v>44</v>
      </c>
      <c r="F24" s="14">
        <v>27</v>
      </c>
      <c r="G24" s="14">
        <v>145</v>
      </c>
      <c r="H24" s="15">
        <v>2202</v>
      </c>
      <c r="I24" s="50">
        <f t="shared" si="1"/>
        <v>1880.508</v>
      </c>
      <c r="J24" s="15">
        <v>395</v>
      </c>
      <c r="K24" s="16">
        <f t="shared" si="0"/>
        <v>3687.5079999999998</v>
      </c>
    </row>
    <row r="25" spans="1:11" ht="18" customHeight="1">
      <c r="A25" s="5" t="s">
        <v>79</v>
      </c>
      <c r="B25" t="s">
        <v>5</v>
      </c>
      <c r="F25" s="14">
        <v>655</v>
      </c>
      <c r="G25" s="14">
        <v>95</v>
      </c>
      <c r="H25" s="15">
        <v>23120</v>
      </c>
      <c r="I25" s="50">
        <f t="shared" si="1"/>
        <v>19744.48</v>
      </c>
      <c r="J25" s="15"/>
      <c r="K25" s="16">
        <f t="shared" si="0"/>
        <v>42864.479999999996</v>
      </c>
    </row>
    <row r="26" spans="1:11" ht="18" customHeight="1">
      <c r="A26" s="5" t="s">
        <v>80</v>
      </c>
      <c r="B26" t="s">
        <v>45</v>
      </c>
      <c r="F26" s="14"/>
      <c r="G26" s="14"/>
      <c r="H26" s="15"/>
      <c r="I26" s="50">
        <f t="shared" si="1"/>
        <v>0</v>
      </c>
      <c r="J26" s="15"/>
      <c r="K26" s="16">
        <f t="shared" si="0"/>
        <v>0</v>
      </c>
    </row>
    <row r="27" spans="1:11" ht="18" customHeight="1">
      <c r="A27" s="5" t="s">
        <v>81</v>
      </c>
      <c r="B27" t="s">
        <v>46</v>
      </c>
      <c r="F27" s="14"/>
      <c r="G27" s="14"/>
      <c r="H27" s="15"/>
      <c r="I27" s="50">
        <f t="shared" si="1"/>
        <v>0</v>
      </c>
      <c r="J27" s="15"/>
      <c r="K27" s="16">
        <f t="shared" si="0"/>
        <v>0</v>
      </c>
    </row>
    <row r="28" spans="1:11" ht="18" customHeight="1">
      <c r="A28" s="5" t="s">
        <v>82</v>
      </c>
      <c r="B28" t="s">
        <v>47</v>
      </c>
      <c r="F28" s="14"/>
      <c r="G28" s="14"/>
      <c r="H28" s="15"/>
      <c r="I28" s="50">
        <f t="shared" si="1"/>
        <v>0</v>
      </c>
      <c r="J28" s="15"/>
      <c r="K28" s="16">
        <f t="shared" si="0"/>
        <v>0</v>
      </c>
    </row>
    <row r="29" spans="1:11" ht="18" customHeight="1">
      <c r="A29" s="5" t="s">
        <v>83</v>
      </c>
      <c r="B29" t="s">
        <v>48</v>
      </c>
      <c r="F29" s="14">
        <v>616.20000000000005</v>
      </c>
      <c r="G29" s="14">
        <v>358</v>
      </c>
      <c r="H29" s="15">
        <v>9540</v>
      </c>
      <c r="I29" s="50">
        <f t="shared" si="1"/>
        <v>8147.16</v>
      </c>
      <c r="J29" s="15"/>
      <c r="K29" s="16">
        <f t="shared" si="0"/>
        <v>17687.16</v>
      </c>
    </row>
    <row r="30" spans="1:11" ht="18" customHeight="1">
      <c r="A30" s="5" t="s">
        <v>84</v>
      </c>
      <c r="B30" s="547" t="s">
        <v>192</v>
      </c>
      <c r="C30" s="548"/>
      <c r="D30" s="549"/>
      <c r="F30" s="14">
        <v>168</v>
      </c>
      <c r="G30" s="14">
        <v>1080</v>
      </c>
      <c r="H30" s="15">
        <v>2550</v>
      </c>
      <c r="I30" s="50">
        <f t="shared" si="1"/>
        <v>2177.6999999999998</v>
      </c>
      <c r="J30" s="15"/>
      <c r="K30" s="16">
        <f t="shared" si="0"/>
        <v>4727.7</v>
      </c>
    </row>
    <row r="31" spans="1:11" ht="18" customHeight="1">
      <c r="A31" s="5" t="s">
        <v>133</v>
      </c>
      <c r="B31" s="547" t="s">
        <v>193</v>
      </c>
      <c r="C31" s="548"/>
      <c r="D31" s="549"/>
      <c r="F31" s="14">
        <v>1400</v>
      </c>
      <c r="G31" s="14">
        <v>171</v>
      </c>
      <c r="H31" s="15">
        <v>19424</v>
      </c>
      <c r="I31" s="50">
        <f t="shared" si="1"/>
        <v>16588.096000000001</v>
      </c>
      <c r="J31" s="15">
        <v>7920</v>
      </c>
      <c r="K31" s="16">
        <f t="shared" si="0"/>
        <v>28092.096000000005</v>
      </c>
    </row>
    <row r="32" spans="1:11" ht="18" customHeight="1">
      <c r="A32" s="5" t="s">
        <v>134</v>
      </c>
      <c r="B32" s="29"/>
      <c r="C32" s="30"/>
      <c r="D32" s="31"/>
      <c r="F32" s="14"/>
      <c r="G32" s="52" t="s">
        <v>85</v>
      </c>
      <c r="H32" s="15"/>
      <c r="I32" s="50">
        <f t="shared" si="1"/>
        <v>0</v>
      </c>
      <c r="J32" s="15"/>
      <c r="K32" s="16">
        <f t="shared" si="0"/>
        <v>0</v>
      </c>
    </row>
    <row r="33" spans="1:11" ht="18" customHeight="1">
      <c r="A33" s="5" t="s">
        <v>135</v>
      </c>
      <c r="B33" s="29"/>
      <c r="C33" s="30"/>
      <c r="D33" s="31"/>
      <c r="F33" s="14"/>
      <c r="G33" s="52" t="s">
        <v>85</v>
      </c>
      <c r="H33" s="15"/>
      <c r="I33" s="50">
        <f t="shared" si="1"/>
        <v>0</v>
      </c>
      <c r="J33" s="15"/>
      <c r="K33" s="16">
        <f t="shared" si="0"/>
        <v>0</v>
      </c>
    </row>
    <row r="34" spans="1:11" ht="18" customHeight="1">
      <c r="A34" s="5" t="s">
        <v>136</v>
      </c>
      <c r="B34" s="547"/>
      <c r="C34" s="548"/>
      <c r="D34" s="549"/>
      <c r="F34" s="14"/>
      <c r="G34" s="52" t="s">
        <v>85</v>
      </c>
      <c r="H34" s="15"/>
      <c r="I34" s="50">
        <f t="shared" si="1"/>
        <v>0</v>
      </c>
      <c r="J34" s="15"/>
      <c r="K34" s="16">
        <f t="shared" si="0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2884.2</v>
      </c>
      <c r="G36" s="18">
        <f t="shared" si="2"/>
        <v>1949</v>
      </c>
      <c r="H36" s="18">
        <f t="shared" si="2"/>
        <v>57284</v>
      </c>
      <c r="I36" s="16">
        <f t="shared" si="2"/>
        <v>48537.944000000003</v>
      </c>
      <c r="J36" s="16">
        <f t="shared" si="2"/>
        <v>8315</v>
      </c>
      <c r="K36" s="16">
        <f t="shared" si="2"/>
        <v>97506.944000000003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14"/>
      <c r="G40" s="14"/>
      <c r="H40" s="15"/>
      <c r="I40" s="50">
        <v>0</v>
      </c>
      <c r="J40" s="15"/>
      <c r="K40" s="16">
        <f t="shared" ref="K40:K47" si="3">(H40+I40)-J40</f>
        <v>0</v>
      </c>
    </row>
    <row r="41" spans="1:11" ht="18" customHeight="1">
      <c r="A41" s="5" t="s">
        <v>88</v>
      </c>
      <c r="B41" s="550" t="s">
        <v>50</v>
      </c>
      <c r="C41" s="551"/>
      <c r="F41" s="14"/>
      <c r="G41" s="14"/>
      <c r="H41" s="15"/>
      <c r="I41" s="50">
        <v>0</v>
      </c>
      <c r="J41" s="15"/>
      <c r="K41" s="16">
        <f t="shared" si="3"/>
        <v>0</v>
      </c>
    </row>
    <row r="42" spans="1:11" ht="18" customHeight="1">
      <c r="A42" s="5" t="s">
        <v>89</v>
      </c>
      <c r="B42" s="1" t="s">
        <v>11</v>
      </c>
      <c r="F42" s="14"/>
      <c r="G42" s="14"/>
      <c r="H42" s="15"/>
      <c r="I42" s="50">
        <v>0</v>
      </c>
      <c r="J42" s="15"/>
      <c r="K42" s="16">
        <f t="shared" si="3"/>
        <v>0</v>
      </c>
    </row>
    <row r="43" spans="1:11" ht="18" customHeight="1">
      <c r="A43" s="5" t="s">
        <v>90</v>
      </c>
      <c r="B43" s="47" t="s">
        <v>10</v>
      </c>
      <c r="C43" s="10"/>
      <c r="D43" s="10"/>
      <c r="F43" s="14"/>
      <c r="G43" s="14"/>
      <c r="H43" s="15"/>
      <c r="I43" s="50">
        <v>0</v>
      </c>
      <c r="J43" s="15"/>
      <c r="K43" s="16">
        <f t="shared" si="3"/>
        <v>0</v>
      </c>
    </row>
    <row r="44" spans="1:11" ht="18" customHeight="1">
      <c r="A44" s="5" t="s">
        <v>91</v>
      </c>
      <c r="B44" s="547" t="s">
        <v>196</v>
      </c>
      <c r="C44" s="548"/>
      <c r="D44" s="549"/>
      <c r="F44" s="54">
        <v>1311</v>
      </c>
      <c r="G44" s="54">
        <v>16</v>
      </c>
      <c r="H44" s="54">
        <v>46394</v>
      </c>
      <c r="I44" s="55">
        <f>H44*F$114</f>
        <v>39620.476000000002</v>
      </c>
      <c r="J44" s="54"/>
      <c r="K44" s="56">
        <f t="shared" si="3"/>
        <v>86014.475999999995</v>
      </c>
    </row>
    <row r="45" spans="1:11" ht="18" customHeight="1">
      <c r="A45" s="5" t="s">
        <v>139</v>
      </c>
      <c r="B45" s="547"/>
      <c r="C45" s="548"/>
      <c r="D45" s="549"/>
      <c r="F45" s="14"/>
      <c r="G45" s="14"/>
      <c r="H45" s="15"/>
      <c r="I45" s="50">
        <v>0</v>
      </c>
      <c r="J45" s="15"/>
      <c r="K45" s="16">
        <f t="shared" si="3"/>
        <v>0</v>
      </c>
    </row>
    <row r="46" spans="1:11" ht="18" customHeight="1">
      <c r="A46" s="5" t="s">
        <v>140</v>
      </c>
      <c r="B46" s="547"/>
      <c r="C46" s="548"/>
      <c r="D46" s="549"/>
      <c r="F46" s="14"/>
      <c r="G46" s="14"/>
      <c r="H46" s="15"/>
      <c r="I46" s="50">
        <v>0</v>
      </c>
      <c r="J46" s="15"/>
      <c r="K46" s="16">
        <f t="shared" si="3"/>
        <v>0</v>
      </c>
    </row>
    <row r="47" spans="1:11" ht="18" customHeight="1">
      <c r="A47" s="5" t="s">
        <v>141</v>
      </c>
      <c r="B47" s="547"/>
      <c r="C47" s="548"/>
      <c r="D47" s="549"/>
      <c r="F47" s="14"/>
      <c r="G47" s="14"/>
      <c r="H47" s="15"/>
      <c r="I47" s="50">
        <v>0</v>
      </c>
      <c r="J47" s="15"/>
      <c r="K47" s="16">
        <f t="shared" si="3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1311</v>
      </c>
      <c r="G49" s="23">
        <f t="shared" si="4"/>
        <v>16</v>
      </c>
      <c r="H49" s="16">
        <f t="shared" si="4"/>
        <v>46394</v>
      </c>
      <c r="I49" s="16">
        <f t="shared" si="4"/>
        <v>39620.476000000002</v>
      </c>
      <c r="J49" s="16">
        <f t="shared" si="4"/>
        <v>0</v>
      </c>
      <c r="K49" s="16">
        <f t="shared" si="4"/>
        <v>86014.475999999995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/>
      <c r="C53" s="559"/>
      <c r="D53" s="532"/>
      <c r="F53" s="14"/>
      <c r="G53" s="14"/>
      <c r="H53" s="15"/>
      <c r="I53" s="50">
        <v>0</v>
      </c>
      <c r="J53" s="15"/>
      <c r="K53" s="16">
        <f t="shared" ref="K53:K62" si="5">(H53+I53)-J53</f>
        <v>0</v>
      </c>
    </row>
    <row r="54" spans="1:11" ht="18" customHeight="1">
      <c r="A54" s="5" t="s">
        <v>93</v>
      </c>
      <c r="B54" s="26"/>
      <c r="C54" s="27"/>
      <c r="D54" s="28"/>
      <c r="F54" s="14"/>
      <c r="G54" s="14"/>
      <c r="H54" s="15"/>
      <c r="I54" s="50">
        <v>0</v>
      </c>
      <c r="J54" s="15"/>
      <c r="K54" s="16">
        <f t="shared" si="5"/>
        <v>0</v>
      </c>
    </row>
    <row r="55" spans="1:11" ht="18" customHeight="1">
      <c r="A55" s="5" t="s">
        <v>94</v>
      </c>
      <c r="B55" s="530"/>
      <c r="C55" s="531"/>
      <c r="D55" s="532"/>
      <c r="F55" s="14"/>
      <c r="G55" s="14"/>
      <c r="H55" s="15"/>
      <c r="I55" s="50">
        <v>0</v>
      </c>
      <c r="J55" s="15"/>
      <c r="K55" s="16">
        <f t="shared" si="5"/>
        <v>0</v>
      </c>
    </row>
    <row r="56" spans="1:11" ht="18" customHeight="1">
      <c r="A56" s="5" t="s">
        <v>95</v>
      </c>
      <c r="B56" s="530" t="s">
        <v>195</v>
      </c>
      <c r="C56" s="531"/>
      <c r="D56" s="532"/>
      <c r="F56" s="14" t="s">
        <v>740</v>
      </c>
      <c r="G56" s="14">
        <v>89</v>
      </c>
      <c r="H56" s="15">
        <v>85921</v>
      </c>
      <c r="I56" s="50">
        <v>0</v>
      </c>
      <c r="J56" s="15"/>
      <c r="K56" s="16">
        <f t="shared" si="5"/>
        <v>85921</v>
      </c>
    </row>
    <row r="57" spans="1:11" ht="18" customHeight="1">
      <c r="A57" s="5" t="s">
        <v>96</v>
      </c>
      <c r="B57" s="530"/>
      <c r="C57" s="531"/>
      <c r="D57" s="532"/>
      <c r="F57" s="14"/>
      <c r="G57" s="14"/>
      <c r="H57" s="15"/>
      <c r="I57" s="50">
        <v>0</v>
      </c>
      <c r="J57" s="15"/>
      <c r="K57" s="16">
        <f t="shared" si="5"/>
        <v>0</v>
      </c>
    </row>
    <row r="58" spans="1:11" ht="18" customHeight="1">
      <c r="A58" s="5" t="s">
        <v>97</v>
      </c>
      <c r="B58" s="26"/>
      <c r="C58" s="27"/>
      <c r="D58" s="28"/>
      <c r="F58" s="14"/>
      <c r="G58" s="14"/>
      <c r="H58" s="15"/>
      <c r="I58" s="50">
        <v>0</v>
      </c>
      <c r="J58" s="15"/>
      <c r="K58" s="16">
        <f t="shared" si="5"/>
        <v>0</v>
      </c>
    </row>
    <row r="59" spans="1:11" ht="18" customHeight="1">
      <c r="A59" s="5" t="s">
        <v>98</v>
      </c>
      <c r="B59" s="530"/>
      <c r="C59" s="531"/>
      <c r="D59" s="532"/>
      <c r="F59" s="14"/>
      <c r="G59" s="14"/>
      <c r="H59" s="15"/>
      <c r="I59" s="50">
        <v>0</v>
      </c>
      <c r="J59" s="15"/>
      <c r="K59" s="16">
        <f t="shared" si="5"/>
        <v>0</v>
      </c>
    </row>
    <row r="60" spans="1:11" ht="18" customHeight="1">
      <c r="A60" s="5" t="s">
        <v>99</v>
      </c>
      <c r="B60" s="26"/>
      <c r="C60" s="27"/>
      <c r="D60" s="28"/>
      <c r="F60" s="14"/>
      <c r="G60" s="14"/>
      <c r="H60" s="15"/>
      <c r="I60" s="50">
        <v>0</v>
      </c>
      <c r="J60" s="15"/>
      <c r="K60" s="16">
        <f t="shared" si="5"/>
        <v>0</v>
      </c>
    </row>
    <row r="61" spans="1:11" ht="18" customHeight="1">
      <c r="A61" s="5" t="s">
        <v>100</v>
      </c>
      <c r="B61" s="26"/>
      <c r="C61" s="27"/>
      <c r="D61" s="28"/>
      <c r="F61" s="14"/>
      <c r="G61" s="14"/>
      <c r="H61" s="15"/>
      <c r="I61" s="50">
        <v>0</v>
      </c>
      <c r="J61" s="15"/>
      <c r="K61" s="16">
        <f t="shared" si="5"/>
        <v>0</v>
      </c>
    </row>
    <row r="62" spans="1:11" ht="18" customHeight="1">
      <c r="A62" s="5" t="s">
        <v>101</v>
      </c>
      <c r="B62" s="530"/>
      <c r="C62" s="531"/>
      <c r="D62" s="532"/>
      <c r="F62" s="14"/>
      <c r="G62" s="14"/>
      <c r="H62" s="15"/>
      <c r="I62" s="50">
        <v>0</v>
      </c>
      <c r="J62" s="15"/>
      <c r="K62" s="16">
        <f t="shared" si="5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6">SUM(F53:F62)</f>
        <v>0</v>
      </c>
      <c r="G64" s="18">
        <f t="shared" si="6"/>
        <v>89</v>
      </c>
      <c r="H64" s="16">
        <f t="shared" si="6"/>
        <v>85921</v>
      </c>
      <c r="I64" s="16">
        <f t="shared" si="6"/>
        <v>0</v>
      </c>
      <c r="J64" s="16">
        <f t="shared" si="6"/>
        <v>0</v>
      </c>
      <c r="K64" s="16">
        <f t="shared" si="6"/>
        <v>85921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/>
      <c r="G68" s="51"/>
      <c r="H68" s="51"/>
      <c r="I68" s="50">
        <v>0</v>
      </c>
      <c r="J68" s="51"/>
      <c r="K68" s="16">
        <f>(H68+I68)-J68</f>
        <v>0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0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26"/>
      <c r="C70" s="27"/>
      <c r="D70" s="28"/>
      <c r="E70" s="2"/>
      <c r="F70" s="35"/>
      <c r="G70" s="35"/>
      <c r="H70" s="36"/>
      <c r="I70" s="50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26"/>
      <c r="C71" s="27"/>
      <c r="D71" s="28"/>
      <c r="E71" s="2"/>
      <c r="F71" s="35"/>
      <c r="G71" s="35"/>
      <c r="H71" s="36"/>
      <c r="I71" s="50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32"/>
      <c r="C72" s="33"/>
      <c r="D72" s="34"/>
      <c r="E72" s="2"/>
      <c r="F72" s="14"/>
      <c r="G72" s="14"/>
      <c r="H72" s="15"/>
      <c r="I72" s="50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7">SUM(F68:F72)</f>
        <v>0</v>
      </c>
      <c r="G74" s="21">
        <f t="shared" si="7"/>
        <v>0</v>
      </c>
      <c r="H74" s="21">
        <f t="shared" si="7"/>
        <v>0</v>
      </c>
      <c r="I74" s="53">
        <f t="shared" si="7"/>
        <v>0</v>
      </c>
      <c r="J74" s="21">
        <f t="shared" si="7"/>
        <v>0</v>
      </c>
      <c r="K74" s="17">
        <f t="shared" si="7"/>
        <v>0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14"/>
      <c r="G77" s="14"/>
      <c r="H77" s="15"/>
      <c r="I77" s="50">
        <v>0</v>
      </c>
      <c r="J77" s="15"/>
      <c r="K77" s="16">
        <f>(H77+I77)-J77</f>
        <v>0</v>
      </c>
    </row>
    <row r="78" spans="1:11" ht="18" customHeight="1">
      <c r="A78" s="5" t="s">
        <v>108</v>
      </c>
      <c r="B78" s="1" t="s">
        <v>55</v>
      </c>
      <c r="F78" s="14"/>
      <c r="G78" s="14"/>
      <c r="H78" s="15"/>
      <c r="I78" s="50"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14"/>
      <c r="G79" s="14"/>
      <c r="H79" s="15"/>
      <c r="I79" s="50">
        <v>0</v>
      </c>
      <c r="J79" s="15"/>
      <c r="K79" s="16">
        <f>(H79+I79)-J79</f>
        <v>0</v>
      </c>
    </row>
    <row r="80" spans="1:11" ht="18" customHeight="1">
      <c r="A80" s="5" t="s">
        <v>110</v>
      </c>
      <c r="B80" s="1" t="s">
        <v>56</v>
      </c>
      <c r="F80" s="14"/>
      <c r="G80" s="14"/>
      <c r="H80" s="15"/>
      <c r="I80" s="50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8">SUM(F77:F80)</f>
        <v>0</v>
      </c>
      <c r="G82" s="21">
        <f t="shared" si="8"/>
        <v>0</v>
      </c>
      <c r="H82" s="17">
        <f t="shared" si="8"/>
        <v>0</v>
      </c>
      <c r="I82" s="17">
        <f t="shared" si="8"/>
        <v>0</v>
      </c>
      <c r="J82" s="17">
        <f t="shared" si="8"/>
        <v>0</v>
      </c>
      <c r="K82" s="17">
        <f t="shared" si="8"/>
        <v>0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14"/>
      <c r="G86" s="14"/>
      <c r="H86" s="15"/>
      <c r="I86" s="50">
        <f t="shared" ref="I86:I96" si="9">H86*F$114</f>
        <v>0</v>
      </c>
      <c r="J86" s="15"/>
      <c r="K86" s="16">
        <f t="shared" ref="K86:K96" si="10">(H86+I86)-J86</f>
        <v>0</v>
      </c>
    </row>
    <row r="87" spans="1:11" ht="18" customHeight="1">
      <c r="A87" s="5" t="s">
        <v>114</v>
      </c>
      <c r="B87" s="1" t="s">
        <v>14</v>
      </c>
      <c r="F87" s="14"/>
      <c r="G87" s="14"/>
      <c r="H87" s="15"/>
      <c r="I87" s="50">
        <f t="shared" si="9"/>
        <v>0</v>
      </c>
      <c r="J87" s="15"/>
      <c r="K87" s="16">
        <f t="shared" si="10"/>
        <v>0</v>
      </c>
    </row>
    <row r="88" spans="1:11" ht="18" customHeight="1">
      <c r="A88" s="5" t="s">
        <v>115</v>
      </c>
      <c r="B88" s="1" t="s">
        <v>116</v>
      </c>
      <c r="F88" s="14">
        <v>485</v>
      </c>
      <c r="G88" s="14">
        <v>3500</v>
      </c>
      <c r="H88" s="15">
        <v>19315</v>
      </c>
      <c r="I88" s="50">
        <f t="shared" si="9"/>
        <v>16495.009999999998</v>
      </c>
      <c r="J88" s="15"/>
      <c r="K88" s="16">
        <f t="shared" si="10"/>
        <v>35810.009999999995</v>
      </c>
    </row>
    <row r="89" spans="1:11" ht="18" customHeight="1">
      <c r="A89" s="5" t="s">
        <v>117</v>
      </c>
      <c r="B89" s="1" t="s">
        <v>58</v>
      </c>
      <c r="F89" s="14"/>
      <c r="G89" s="14"/>
      <c r="H89" s="15"/>
      <c r="I89" s="50">
        <f t="shared" si="9"/>
        <v>0</v>
      </c>
      <c r="J89" s="15"/>
      <c r="K89" s="16">
        <f t="shared" si="10"/>
        <v>0</v>
      </c>
    </row>
    <row r="90" spans="1:11" ht="18" customHeight="1">
      <c r="A90" s="5" t="s">
        <v>118</v>
      </c>
      <c r="B90" s="550" t="s">
        <v>59</v>
      </c>
      <c r="C90" s="551"/>
      <c r="F90" s="14">
        <v>19</v>
      </c>
      <c r="G90" s="14">
        <v>84</v>
      </c>
      <c r="H90" s="15">
        <v>659</v>
      </c>
      <c r="I90" s="50">
        <v>0</v>
      </c>
      <c r="J90" s="15"/>
      <c r="K90" s="16">
        <f t="shared" si="10"/>
        <v>659</v>
      </c>
    </row>
    <row r="91" spans="1:11" ht="18" customHeight="1">
      <c r="A91" s="5" t="s">
        <v>119</v>
      </c>
      <c r="B91" s="1" t="s">
        <v>60</v>
      </c>
      <c r="F91" s="14">
        <v>34</v>
      </c>
      <c r="G91" s="14">
        <v>806</v>
      </c>
      <c r="H91" s="15">
        <v>845</v>
      </c>
      <c r="I91" s="50">
        <v>0</v>
      </c>
      <c r="J91" s="15"/>
      <c r="K91" s="16">
        <f t="shared" si="10"/>
        <v>845</v>
      </c>
    </row>
    <row r="92" spans="1:11" ht="18" customHeight="1">
      <c r="A92" s="5" t="s">
        <v>120</v>
      </c>
      <c r="B92" s="1" t="s">
        <v>121</v>
      </c>
      <c r="F92" s="38"/>
      <c r="G92" s="38"/>
      <c r="H92" s="39"/>
      <c r="I92" s="50">
        <f t="shared" si="9"/>
        <v>0</v>
      </c>
      <c r="J92" s="39"/>
      <c r="K92" s="16">
        <f t="shared" si="10"/>
        <v>0</v>
      </c>
    </row>
    <row r="93" spans="1:11" ht="18" customHeight="1">
      <c r="A93" s="5" t="s">
        <v>122</v>
      </c>
      <c r="B93" s="1" t="s">
        <v>123</v>
      </c>
      <c r="F93" s="14"/>
      <c r="G93" s="14"/>
      <c r="H93" s="15"/>
      <c r="I93" s="50">
        <f t="shared" si="9"/>
        <v>0</v>
      </c>
      <c r="J93" s="15"/>
      <c r="K93" s="16">
        <f t="shared" si="10"/>
        <v>0</v>
      </c>
    </row>
    <row r="94" spans="1:11" ht="18" customHeight="1">
      <c r="A94" s="5" t="s">
        <v>124</v>
      </c>
      <c r="B94" s="530" t="s">
        <v>194</v>
      </c>
      <c r="C94" s="531"/>
      <c r="D94" s="532"/>
      <c r="F94" s="14">
        <v>3</v>
      </c>
      <c r="G94" s="14">
        <v>40</v>
      </c>
      <c r="H94" s="15">
        <v>76</v>
      </c>
      <c r="I94" s="50">
        <v>0</v>
      </c>
      <c r="J94" s="15"/>
      <c r="K94" s="16">
        <f t="shared" si="10"/>
        <v>76</v>
      </c>
    </row>
    <row r="95" spans="1:11" ht="18" customHeight="1">
      <c r="A95" s="5" t="s">
        <v>125</v>
      </c>
      <c r="B95" s="530"/>
      <c r="C95" s="531"/>
      <c r="D95" s="532"/>
      <c r="F95" s="14"/>
      <c r="G95" s="14"/>
      <c r="H95" s="15"/>
      <c r="I95" s="50">
        <f t="shared" si="9"/>
        <v>0</v>
      </c>
      <c r="J95" s="15"/>
      <c r="K95" s="16">
        <f t="shared" si="10"/>
        <v>0</v>
      </c>
    </row>
    <row r="96" spans="1:11" ht="18" customHeight="1">
      <c r="A96" s="5" t="s">
        <v>126</v>
      </c>
      <c r="B96" s="530"/>
      <c r="C96" s="531"/>
      <c r="D96" s="532"/>
      <c r="F96" s="14"/>
      <c r="G96" s="14"/>
      <c r="H96" s="15"/>
      <c r="I96" s="50">
        <f t="shared" si="9"/>
        <v>0</v>
      </c>
      <c r="J96" s="15"/>
      <c r="K96" s="16">
        <f t="shared" si="10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1">SUM(F86:F96)</f>
        <v>541</v>
      </c>
      <c r="G98" s="18">
        <f t="shared" si="11"/>
        <v>4430</v>
      </c>
      <c r="H98" s="18">
        <f t="shared" si="11"/>
        <v>20895</v>
      </c>
      <c r="I98" s="18">
        <f t="shared" si="11"/>
        <v>16495.009999999998</v>
      </c>
      <c r="J98" s="18">
        <f t="shared" si="11"/>
        <v>0</v>
      </c>
      <c r="K98" s="18">
        <f t="shared" si="11"/>
        <v>37390.009999999995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14">
        <v>80</v>
      </c>
      <c r="G102" s="14"/>
      <c r="H102" s="15">
        <v>2388</v>
      </c>
      <c r="I102" s="50">
        <f>H102*F$114</f>
        <v>2039.3519999999999</v>
      </c>
      <c r="J102" s="15"/>
      <c r="K102" s="16">
        <f>(H102+I102)-J102</f>
        <v>4427.3519999999999</v>
      </c>
    </row>
    <row r="103" spans="1:11" ht="18" customHeight="1">
      <c r="A103" s="5" t="s">
        <v>132</v>
      </c>
      <c r="B103" s="550" t="s">
        <v>62</v>
      </c>
      <c r="C103" s="550"/>
      <c r="F103" s="14"/>
      <c r="G103" s="14"/>
      <c r="H103" s="15"/>
      <c r="I103" s="50">
        <f>H103*F$114</f>
        <v>0</v>
      </c>
      <c r="J103" s="15"/>
      <c r="K103" s="16">
        <f>(H103+I103)-J103</f>
        <v>0</v>
      </c>
    </row>
    <row r="104" spans="1:11" ht="18" customHeight="1">
      <c r="A104" s="5" t="s">
        <v>128</v>
      </c>
      <c r="B104" s="530"/>
      <c r="C104" s="531"/>
      <c r="D104" s="532"/>
      <c r="F104" s="14"/>
      <c r="G104" s="14"/>
      <c r="H104" s="15"/>
      <c r="I104" s="50">
        <f>H104*F$114</f>
        <v>0</v>
      </c>
      <c r="J104" s="15"/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14"/>
      <c r="G105" s="14"/>
      <c r="H105" s="15"/>
      <c r="I105" s="50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14"/>
      <c r="G106" s="14"/>
      <c r="H106" s="15"/>
      <c r="I106" s="50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2">SUM(F102:F106)</f>
        <v>80</v>
      </c>
      <c r="G108" s="18">
        <f t="shared" si="12"/>
        <v>0</v>
      </c>
      <c r="H108" s="16">
        <f t="shared" si="12"/>
        <v>2388</v>
      </c>
      <c r="I108" s="16">
        <f t="shared" si="12"/>
        <v>2039.3519999999999</v>
      </c>
      <c r="J108" s="16">
        <f t="shared" si="12"/>
        <v>0</v>
      </c>
      <c r="K108" s="16">
        <f t="shared" si="12"/>
        <v>4427.3519999999999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745292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0.85399999999999998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21664403</v>
      </c>
    </row>
    <row r="118" spans="1:6" ht="18" customHeight="1">
      <c r="A118" s="5" t="s">
        <v>173</v>
      </c>
      <c r="B118" t="s">
        <v>18</v>
      </c>
      <c r="F118" s="15">
        <v>124653</v>
      </c>
    </row>
    <row r="119" spans="1:6" ht="18" customHeight="1">
      <c r="A119" s="5" t="s">
        <v>174</v>
      </c>
      <c r="B119" s="2" t="s">
        <v>19</v>
      </c>
      <c r="F119" s="17">
        <f>SUM(F117:F118)</f>
        <v>21789056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21636518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v>152538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1879662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v>2044924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14"/>
      <c r="G131" s="14"/>
      <c r="H131" s="15"/>
      <c r="I131" s="50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14"/>
      <c r="G132" s="14"/>
      <c r="H132" s="15"/>
      <c r="I132" s="50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14"/>
      <c r="G133" s="14"/>
      <c r="H133" s="15"/>
      <c r="I133" s="50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14"/>
      <c r="G134" s="14"/>
      <c r="H134" s="15"/>
      <c r="I134" s="50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14"/>
      <c r="G135" s="14"/>
      <c r="H135" s="15"/>
      <c r="I135" s="50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3">SUM(F131:F135)</f>
        <v>0</v>
      </c>
      <c r="G137" s="18">
        <f t="shared" si="13"/>
        <v>0</v>
      </c>
      <c r="H137" s="16">
        <f t="shared" si="13"/>
        <v>0</v>
      </c>
      <c r="I137" s="16">
        <f t="shared" si="13"/>
        <v>0</v>
      </c>
      <c r="J137" s="16">
        <f t="shared" si="13"/>
        <v>0</v>
      </c>
      <c r="K137" s="16">
        <f t="shared" si="13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4">F36</f>
        <v>2884.2</v>
      </c>
      <c r="G141" s="41">
        <f t="shared" si="14"/>
        <v>1949</v>
      </c>
      <c r="H141" s="41">
        <f t="shared" si="14"/>
        <v>57284</v>
      </c>
      <c r="I141" s="41">
        <f t="shared" si="14"/>
        <v>48537.944000000003</v>
      </c>
      <c r="J141" s="41">
        <f t="shared" si="14"/>
        <v>8315</v>
      </c>
      <c r="K141" s="41">
        <f t="shared" si="14"/>
        <v>97506.944000000003</v>
      </c>
    </row>
    <row r="142" spans="1:11" ht="18" customHeight="1">
      <c r="A142" s="5" t="s">
        <v>142</v>
      </c>
      <c r="B142" s="2" t="s">
        <v>65</v>
      </c>
      <c r="F142" s="41">
        <f t="shared" ref="F142:K142" si="15">F49</f>
        <v>1311</v>
      </c>
      <c r="G142" s="41">
        <f t="shared" si="15"/>
        <v>16</v>
      </c>
      <c r="H142" s="41">
        <f t="shared" si="15"/>
        <v>46394</v>
      </c>
      <c r="I142" s="41">
        <f t="shared" si="15"/>
        <v>39620.476000000002</v>
      </c>
      <c r="J142" s="41">
        <f t="shared" si="15"/>
        <v>0</v>
      </c>
      <c r="K142" s="41">
        <f t="shared" si="15"/>
        <v>86014.475999999995</v>
      </c>
    </row>
    <row r="143" spans="1:11" ht="18" customHeight="1">
      <c r="A143" s="5" t="s">
        <v>144</v>
      </c>
      <c r="B143" s="2" t="s">
        <v>66</v>
      </c>
      <c r="F143" s="41">
        <f t="shared" ref="F143:K143" si="16">F64</f>
        <v>0</v>
      </c>
      <c r="G143" s="41">
        <f t="shared" si="16"/>
        <v>89</v>
      </c>
      <c r="H143" s="41">
        <f t="shared" si="16"/>
        <v>85921</v>
      </c>
      <c r="I143" s="41">
        <f t="shared" si="16"/>
        <v>0</v>
      </c>
      <c r="J143" s="41">
        <f t="shared" si="16"/>
        <v>0</v>
      </c>
      <c r="K143" s="41">
        <f t="shared" si="16"/>
        <v>85921</v>
      </c>
    </row>
    <row r="144" spans="1:11" ht="18" customHeight="1">
      <c r="A144" s="5" t="s">
        <v>146</v>
      </c>
      <c r="B144" s="2" t="s">
        <v>67</v>
      </c>
      <c r="F144" s="41">
        <f t="shared" ref="F144:K144" si="17">F74</f>
        <v>0</v>
      </c>
      <c r="G144" s="41">
        <f t="shared" si="17"/>
        <v>0</v>
      </c>
      <c r="H144" s="41">
        <f t="shared" si="17"/>
        <v>0</v>
      </c>
      <c r="I144" s="41">
        <f t="shared" si="17"/>
        <v>0</v>
      </c>
      <c r="J144" s="41">
        <f t="shared" si="17"/>
        <v>0</v>
      </c>
      <c r="K144" s="41">
        <f t="shared" si="17"/>
        <v>0</v>
      </c>
    </row>
    <row r="145" spans="1:11" ht="18" customHeight="1">
      <c r="A145" s="5" t="s">
        <v>148</v>
      </c>
      <c r="B145" s="2" t="s">
        <v>68</v>
      </c>
      <c r="F145" s="41">
        <f t="shared" ref="F145:K145" si="18">F82</f>
        <v>0</v>
      </c>
      <c r="G145" s="41">
        <f t="shared" si="18"/>
        <v>0</v>
      </c>
      <c r="H145" s="41">
        <f t="shared" si="18"/>
        <v>0</v>
      </c>
      <c r="I145" s="41">
        <f t="shared" si="18"/>
        <v>0</v>
      </c>
      <c r="J145" s="41">
        <f t="shared" si="18"/>
        <v>0</v>
      </c>
      <c r="K145" s="41">
        <f t="shared" si="18"/>
        <v>0</v>
      </c>
    </row>
    <row r="146" spans="1:11" ht="18" customHeight="1">
      <c r="A146" s="5" t="s">
        <v>150</v>
      </c>
      <c r="B146" s="2" t="s">
        <v>69</v>
      </c>
      <c r="F146" s="41">
        <f t="shared" ref="F146:K146" si="19">F98</f>
        <v>541</v>
      </c>
      <c r="G146" s="41">
        <f t="shared" si="19"/>
        <v>4430</v>
      </c>
      <c r="H146" s="41">
        <f t="shared" si="19"/>
        <v>20895</v>
      </c>
      <c r="I146" s="41">
        <f t="shared" si="19"/>
        <v>16495.009999999998</v>
      </c>
      <c r="J146" s="41">
        <f t="shared" si="19"/>
        <v>0</v>
      </c>
      <c r="K146" s="41">
        <f t="shared" si="19"/>
        <v>37390.009999999995</v>
      </c>
    </row>
    <row r="147" spans="1:11" ht="18" customHeight="1">
      <c r="A147" s="5" t="s">
        <v>153</v>
      </c>
      <c r="B147" s="2" t="s">
        <v>61</v>
      </c>
      <c r="F147" s="18">
        <f t="shared" ref="F147:K147" si="20">F108</f>
        <v>80</v>
      </c>
      <c r="G147" s="18">
        <f t="shared" si="20"/>
        <v>0</v>
      </c>
      <c r="H147" s="18">
        <f t="shared" si="20"/>
        <v>2388</v>
      </c>
      <c r="I147" s="18">
        <f t="shared" si="20"/>
        <v>2039.3519999999999</v>
      </c>
      <c r="J147" s="18">
        <f t="shared" si="20"/>
        <v>0</v>
      </c>
      <c r="K147" s="18">
        <f t="shared" si="20"/>
        <v>4427.3519999999999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745292</v>
      </c>
    </row>
    <row r="149" spans="1:11" ht="18" customHeight="1">
      <c r="A149" s="5" t="s">
        <v>163</v>
      </c>
      <c r="B149" s="2" t="s">
        <v>71</v>
      </c>
      <c r="F149" s="18">
        <f t="shared" ref="F149:K149" si="21">F137</f>
        <v>0</v>
      </c>
      <c r="G149" s="18">
        <f t="shared" si="21"/>
        <v>0</v>
      </c>
      <c r="H149" s="18">
        <f t="shared" si="21"/>
        <v>0</v>
      </c>
      <c r="I149" s="18">
        <f t="shared" si="21"/>
        <v>0</v>
      </c>
      <c r="J149" s="18">
        <f t="shared" si="21"/>
        <v>0</v>
      </c>
      <c r="K149" s="18">
        <f t="shared" si="21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526067</v>
      </c>
      <c r="I150" s="18">
        <f>I18</f>
        <v>0</v>
      </c>
      <c r="J150" s="18">
        <f>J18</f>
        <v>449853</v>
      </c>
      <c r="K150" s="18">
        <f>K18</f>
        <v>76214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2">SUM(F141:F150)</f>
        <v>4816.2</v>
      </c>
      <c r="G152" s="49">
        <f t="shared" si="22"/>
        <v>6484</v>
      </c>
      <c r="H152" s="49">
        <f t="shared" si="22"/>
        <v>738949</v>
      </c>
      <c r="I152" s="49">
        <f t="shared" si="22"/>
        <v>106692.78200000001</v>
      </c>
      <c r="J152" s="49">
        <f t="shared" si="22"/>
        <v>458168</v>
      </c>
      <c r="K152" s="49">
        <f t="shared" si="22"/>
        <v>1132765.7820000001</v>
      </c>
    </row>
    <row r="154" spans="1:11" ht="18" customHeight="1">
      <c r="A154" s="6" t="s">
        <v>168</v>
      </c>
      <c r="B154" s="2" t="s">
        <v>28</v>
      </c>
      <c r="F154" s="64">
        <f>K152/F121</f>
        <v>5.2354347497134246E-2</v>
      </c>
    </row>
    <row r="155" spans="1:11" ht="18" customHeight="1">
      <c r="A155" s="6" t="s">
        <v>169</v>
      </c>
      <c r="B155" s="2" t="s">
        <v>72</v>
      </c>
      <c r="F155" s="64">
        <f>K152/F127</f>
        <v>0.55394028433330533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B94:D94"/>
    <mergeCell ref="B96:D96"/>
    <mergeCell ref="B95:D95"/>
    <mergeCell ref="B103:C103"/>
    <mergeCell ref="B134:D134"/>
    <mergeCell ref="B135:D135"/>
    <mergeCell ref="B133:D133"/>
    <mergeCell ref="B104:D104"/>
    <mergeCell ref="B105:D105"/>
    <mergeCell ref="B106:D106"/>
    <mergeCell ref="D2:H2"/>
    <mergeCell ref="B45:D45"/>
    <mergeCell ref="B46:D46"/>
    <mergeCell ref="B47:D47"/>
    <mergeCell ref="B34:D34"/>
    <mergeCell ref="C11:G11"/>
    <mergeCell ref="B41:C41"/>
    <mergeCell ref="B44:D44"/>
    <mergeCell ref="B13:H13"/>
    <mergeCell ref="B31:D31"/>
    <mergeCell ref="C5:G5"/>
    <mergeCell ref="C6:G6"/>
    <mergeCell ref="C7:G7"/>
    <mergeCell ref="C9:G9"/>
    <mergeCell ref="C10:G10"/>
    <mergeCell ref="B30:D30"/>
    <mergeCell ref="B57:D57"/>
    <mergeCell ref="B52:C52"/>
    <mergeCell ref="B90:C90"/>
    <mergeCell ref="B53:D53"/>
    <mergeCell ref="B55:D55"/>
    <mergeCell ref="B56:D56"/>
    <mergeCell ref="B59:D59"/>
    <mergeCell ref="B62:D62"/>
  </mergeCells>
  <phoneticPr fontId="0" type="noConversion"/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view="pageBreakPreview" zoomScale="80" zoomScaleNormal="75" zoomScaleSheetLayoutView="8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style="373" customWidth="1"/>
    <col min="9" max="9" width="21.140625" style="373" customWidth="1"/>
    <col min="10" max="10" width="19.85546875" style="373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394"/>
      <c r="I1" s="394"/>
      <c r="J1" s="39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648</v>
      </c>
      <c r="D5" s="534"/>
      <c r="E5" s="534"/>
      <c r="F5" s="534"/>
      <c r="G5" s="535"/>
    </row>
    <row r="6" spans="1:11" ht="18" customHeight="1">
      <c r="B6" s="5" t="s">
        <v>3</v>
      </c>
      <c r="C6" s="655">
        <v>37</v>
      </c>
      <c r="D6" s="656"/>
      <c r="E6" s="656"/>
      <c r="F6" s="656"/>
      <c r="G6" s="657"/>
    </row>
    <row r="7" spans="1:11" ht="18" customHeight="1">
      <c r="B7" s="5" t="s">
        <v>4</v>
      </c>
      <c r="C7" s="640">
        <f>+[12]MHE!D20</f>
        <v>1330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647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646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645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39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379" t="s">
        <v>29</v>
      </c>
      <c r="I16" s="379" t="s">
        <v>30</v>
      </c>
      <c r="J16" s="37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94">
        <v>4801800</v>
      </c>
      <c r="I18" s="380">
        <v>0</v>
      </c>
      <c r="J18" s="94">
        <v>4106139</v>
      </c>
      <c r="K18" s="16">
        <f>(H18+I18)-J18</f>
        <v>695661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379" t="s">
        <v>29</v>
      </c>
      <c r="I19" s="379" t="s">
        <v>30</v>
      </c>
      <c r="J19" s="37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1146</v>
      </c>
      <c r="G21" s="54">
        <v>4741</v>
      </c>
      <c r="H21" s="94">
        <v>41597.893473769938</v>
      </c>
      <c r="I21" s="94">
        <v>21727.748191453902</v>
      </c>
      <c r="J21" s="94">
        <v>15440</v>
      </c>
      <c r="K21" s="16">
        <f t="shared" ref="K21:K34" si="0">(H21+I21)-J21</f>
        <v>47885.64166522384</v>
      </c>
    </row>
    <row r="22" spans="1:11" ht="18" customHeight="1">
      <c r="A22" s="5" t="s">
        <v>76</v>
      </c>
      <c r="B22" t="s">
        <v>6</v>
      </c>
      <c r="F22" s="54">
        <v>10</v>
      </c>
      <c r="G22" s="54">
        <v>150</v>
      </c>
      <c r="H22" s="94">
        <v>396.74359972339835</v>
      </c>
      <c r="I22" s="94">
        <v>207.23032614131398</v>
      </c>
      <c r="J22" s="94">
        <v>0</v>
      </c>
      <c r="K22" s="16">
        <f t="shared" si="0"/>
        <v>603.97392586471233</v>
      </c>
    </row>
    <row r="23" spans="1:11" ht="18" customHeight="1">
      <c r="A23" s="5" t="s">
        <v>77</v>
      </c>
      <c r="B23" t="s">
        <v>43</v>
      </c>
      <c r="F23" s="54"/>
      <c r="G23" s="54"/>
      <c r="H23" s="94"/>
      <c r="I23" s="380">
        <v>0</v>
      </c>
      <c r="J23" s="94"/>
      <c r="K23" s="16">
        <f t="shared" si="0"/>
        <v>0</v>
      </c>
    </row>
    <row r="24" spans="1:11" ht="18" customHeight="1">
      <c r="A24" s="5" t="s">
        <v>78</v>
      </c>
      <c r="B24" t="s">
        <v>44</v>
      </c>
      <c r="F24" s="54">
        <v>525</v>
      </c>
      <c r="G24" s="54">
        <v>242</v>
      </c>
      <c r="H24" s="94">
        <v>53888.204038679905</v>
      </c>
      <c r="I24" s="380">
        <v>28147.322618161717</v>
      </c>
      <c r="J24" s="94">
        <v>45024</v>
      </c>
      <c r="K24" s="16">
        <f t="shared" si="0"/>
        <v>37011.526656841626</v>
      </c>
    </row>
    <row r="25" spans="1:11" ht="18" customHeight="1">
      <c r="A25" s="5" t="s">
        <v>79</v>
      </c>
      <c r="B25" t="s">
        <v>5</v>
      </c>
      <c r="F25" s="54">
        <v>12</v>
      </c>
      <c r="G25" s="54">
        <v>7</v>
      </c>
      <c r="H25" s="94">
        <v>476.09231966807806</v>
      </c>
      <c r="I25" s="380">
        <v>248.67639136957678</v>
      </c>
      <c r="J25" s="94">
        <v>0</v>
      </c>
      <c r="K25" s="16">
        <f t="shared" si="0"/>
        <v>724.76871103765484</v>
      </c>
    </row>
    <row r="26" spans="1:11" ht="18" customHeight="1">
      <c r="A26" s="5" t="s">
        <v>80</v>
      </c>
      <c r="B26" t="s">
        <v>45</v>
      </c>
      <c r="F26" s="54"/>
      <c r="G26" s="54"/>
      <c r="H26" s="94"/>
      <c r="I26" s="380">
        <v>0</v>
      </c>
      <c r="J26" s="94"/>
      <c r="K26" s="16">
        <f t="shared" si="0"/>
        <v>0</v>
      </c>
    </row>
    <row r="27" spans="1:11" ht="18" customHeight="1">
      <c r="A27" s="5" t="s">
        <v>81</v>
      </c>
      <c r="B27" t="s">
        <v>46</v>
      </c>
      <c r="F27" s="54"/>
      <c r="G27" s="54"/>
      <c r="H27" s="94"/>
      <c r="I27" s="380">
        <v>0</v>
      </c>
      <c r="J27" s="94"/>
      <c r="K27" s="16">
        <f t="shared" si="0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94"/>
      <c r="I28" s="380">
        <v>0</v>
      </c>
      <c r="J28" s="94"/>
      <c r="K28" s="16">
        <f t="shared" si="0"/>
        <v>0</v>
      </c>
    </row>
    <row r="29" spans="1:11" ht="18" customHeight="1">
      <c r="A29" s="5" t="s">
        <v>83</v>
      </c>
      <c r="B29" t="s">
        <v>48</v>
      </c>
      <c r="F29" s="54"/>
      <c r="G29" s="54"/>
      <c r="H29" s="94"/>
      <c r="I29" s="380">
        <v>0</v>
      </c>
      <c r="J29" s="94"/>
      <c r="K29" s="16">
        <f t="shared" si="0"/>
        <v>0</v>
      </c>
    </row>
    <row r="30" spans="1:11" ht="18" customHeight="1">
      <c r="A30" s="5" t="s">
        <v>84</v>
      </c>
      <c r="B30" s="547" t="s">
        <v>644</v>
      </c>
      <c r="C30" s="548"/>
      <c r="D30" s="549"/>
      <c r="F30" s="54">
        <v>10704</v>
      </c>
      <c r="G30" s="54">
        <v>168</v>
      </c>
      <c r="H30" s="94">
        <v>503215.66021278285</v>
      </c>
      <c r="I30" s="380">
        <v>262843.67399503011</v>
      </c>
      <c r="J30" s="94">
        <v>500</v>
      </c>
      <c r="K30" s="16">
        <f t="shared" si="0"/>
        <v>765559.33420781302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94"/>
      <c r="I31" s="380">
        <f>H31*F$114</f>
        <v>0</v>
      </c>
      <c r="J31" s="94"/>
      <c r="K31" s="16">
        <f t="shared" si="0"/>
        <v>0</v>
      </c>
    </row>
    <row r="32" spans="1:11" ht="18" customHeight="1">
      <c r="A32" s="5" t="s">
        <v>134</v>
      </c>
      <c r="B32" s="284"/>
      <c r="C32" s="285"/>
      <c r="D32" s="286"/>
      <c r="F32" s="54"/>
      <c r="G32" s="52" t="s">
        <v>85</v>
      </c>
      <c r="H32" s="94"/>
      <c r="I32" s="380">
        <f>H32*F$114</f>
        <v>0</v>
      </c>
      <c r="J32" s="94"/>
      <c r="K32" s="16">
        <f t="shared" si="0"/>
        <v>0</v>
      </c>
    </row>
    <row r="33" spans="1:11" ht="18" customHeight="1">
      <c r="A33" s="5" t="s">
        <v>135</v>
      </c>
      <c r="B33" s="284"/>
      <c r="C33" s="285"/>
      <c r="D33" s="286"/>
      <c r="F33" s="54"/>
      <c r="G33" s="52" t="s">
        <v>85</v>
      </c>
      <c r="H33" s="94"/>
      <c r="I33" s="380">
        <f>H33*F$114</f>
        <v>0</v>
      </c>
      <c r="J33" s="94"/>
      <c r="K33" s="16">
        <f t="shared" si="0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94"/>
      <c r="I34" s="380">
        <f>H34*F$114</f>
        <v>0</v>
      </c>
      <c r="J34" s="94"/>
      <c r="K34" s="16">
        <f t="shared" si="0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1">SUM(F21:F34)</f>
        <v>12397</v>
      </c>
      <c r="G36" s="18">
        <f t="shared" si="1"/>
        <v>5308</v>
      </c>
      <c r="H36" s="376">
        <f t="shared" si="1"/>
        <v>599574.59364462423</v>
      </c>
      <c r="I36" s="376">
        <f t="shared" si="1"/>
        <v>313174.65152215661</v>
      </c>
      <c r="J36" s="376">
        <f t="shared" si="1"/>
        <v>60964</v>
      </c>
      <c r="K36" s="16">
        <f t="shared" si="1"/>
        <v>851785.24516678089</v>
      </c>
    </row>
    <row r="37" spans="1:11" ht="18" customHeight="1" thickBot="1">
      <c r="B37" s="2"/>
      <c r="F37" s="19"/>
      <c r="G37" s="19"/>
      <c r="H37" s="393"/>
      <c r="I37" s="393"/>
      <c r="J37" s="393"/>
      <c r="K37" s="45"/>
    </row>
    <row r="38" spans="1:11" ht="42.75" customHeight="1">
      <c r="F38" s="9" t="s">
        <v>9</v>
      </c>
      <c r="G38" s="9" t="s">
        <v>37</v>
      </c>
      <c r="H38" s="379" t="s">
        <v>29</v>
      </c>
      <c r="I38" s="379" t="s">
        <v>30</v>
      </c>
      <c r="J38" s="37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/>
      <c r="G40" s="54"/>
      <c r="H40" s="94"/>
      <c r="I40" s="380">
        <v>0</v>
      </c>
      <c r="J40" s="94"/>
      <c r="K40" s="16">
        <f t="shared" ref="K40:K47" si="2">(H40+I40)-J40</f>
        <v>0</v>
      </c>
    </row>
    <row r="41" spans="1:11" ht="18" customHeight="1">
      <c r="A41" s="5" t="s">
        <v>88</v>
      </c>
      <c r="B41" s="550" t="s">
        <v>50</v>
      </c>
      <c r="C41" s="551"/>
      <c r="F41" s="54">
        <v>15392</v>
      </c>
      <c r="G41" s="54">
        <v>50</v>
      </c>
      <c r="H41" s="94">
        <v>943900</v>
      </c>
      <c r="I41" s="380">
        <v>79700.000000000044</v>
      </c>
      <c r="J41" s="94">
        <v>0</v>
      </c>
      <c r="K41" s="16">
        <f t="shared" si="2"/>
        <v>1023600</v>
      </c>
    </row>
    <row r="42" spans="1:11" ht="18" customHeight="1">
      <c r="A42" s="5" t="s">
        <v>89</v>
      </c>
      <c r="B42" s="1" t="s">
        <v>11</v>
      </c>
      <c r="F42" s="54">
        <v>381</v>
      </c>
      <c r="G42" s="54">
        <v>166</v>
      </c>
      <c r="H42" s="94">
        <v>21134.406545804508</v>
      </c>
      <c r="I42" s="380">
        <v>11039.094176550347</v>
      </c>
      <c r="J42" s="94">
        <v>0</v>
      </c>
      <c r="K42" s="16">
        <f t="shared" si="2"/>
        <v>32173.500722354853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94"/>
      <c r="I43" s="380">
        <v>0</v>
      </c>
      <c r="J43" s="94"/>
      <c r="K43" s="16">
        <f t="shared" si="2"/>
        <v>0</v>
      </c>
    </row>
    <row r="44" spans="1:11" ht="18" customHeight="1">
      <c r="A44" s="5" t="s">
        <v>91</v>
      </c>
      <c r="B44" s="547" t="s">
        <v>643</v>
      </c>
      <c r="C44" s="548"/>
      <c r="D44" s="549"/>
      <c r="F44" s="54">
        <v>576</v>
      </c>
      <c r="G44" s="54">
        <v>11</v>
      </c>
      <c r="H44" s="94">
        <v>39964.370502173653</v>
      </c>
      <c r="I44" s="380">
        <v>20874.513259877862</v>
      </c>
      <c r="J44" s="94">
        <v>0</v>
      </c>
      <c r="K44" s="56">
        <f t="shared" si="2"/>
        <v>60838.883762051511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94"/>
      <c r="I45" s="380">
        <v>0</v>
      </c>
      <c r="J45" s="94"/>
      <c r="K45" s="16">
        <f t="shared" si="2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94"/>
      <c r="I46" s="380">
        <v>0</v>
      </c>
      <c r="J46" s="94"/>
      <c r="K46" s="16">
        <f t="shared" si="2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94"/>
      <c r="I47" s="380">
        <v>0</v>
      </c>
      <c r="J47" s="94"/>
      <c r="K47" s="16">
        <f t="shared" si="2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3">SUM(F40:F47)</f>
        <v>16349</v>
      </c>
      <c r="G49" s="23">
        <f t="shared" si="3"/>
        <v>227</v>
      </c>
      <c r="H49" s="376">
        <f t="shared" si="3"/>
        <v>1004998.7770479781</v>
      </c>
      <c r="I49" s="376">
        <f t="shared" si="3"/>
        <v>111613.60743642825</v>
      </c>
      <c r="J49" s="376">
        <f t="shared" si="3"/>
        <v>0</v>
      </c>
      <c r="K49" s="16">
        <f t="shared" si="3"/>
        <v>1116612.3844844063</v>
      </c>
    </row>
    <row r="50" spans="1:11" ht="18" customHeight="1" thickBot="1">
      <c r="G50" s="24"/>
      <c r="H50" s="383"/>
      <c r="I50" s="383"/>
      <c r="J50" s="383"/>
      <c r="K50" s="24"/>
    </row>
    <row r="51" spans="1:11" ht="42.75" customHeight="1">
      <c r="F51" s="9" t="s">
        <v>9</v>
      </c>
      <c r="G51" s="9" t="s">
        <v>37</v>
      </c>
      <c r="H51" s="379" t="s">
        <v>29</v>
      </c>
      <c r="I51" s="379" t="s">
        <v>30</v>
      </c>
      <c r="J51" s="37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 t="s">
        <v>642</v>
      </c>
      <c r="C53" s="559"/>
      <c r="D53" s="532"/>
      <c r="F53" s="54">
        <v>5200</v>
      </c>
      <c r="G53" s="54">
        <v>1073</v>
      </c>
      <c r="H53" s="94">
        <v>378192.16837476403</v>
      </c>
      <c r="I53" s="380">
        <v>197540.39246262089</v>
      </c>
      <c r="J53" s="94">
        <f>+'[12]SHS MHE DGH Com Ben Rpt 2012 '!K66</f>
        <v>0</v>
      </c>
      <c r="K53" s="16">
        <f t="shared" ref="K53:K62" si="4">(H53+I53)-J53</f>
        <v>575732.5608373849</v>
      </c>
    </row>
    <row r="54" spans="1:11" ht="18" customHeight="1">
      <c r="A54" s="5" t="s">
        <v>93</v>
      </c>
      <c r="B54" s="281" t="s">
        <v>641</v>
      </c>
      <c r="C54" s="282"/>
      <c r="D54" s="283"/>
      <c r="F54" s="54">
        <v>1687.4826446280993</v>
      </c>
      <c r="G54" s="54">
        <v>1687.4826446280993</v>
      </c>
      <c r="H54" s="94">
        <v>1020927</v>
      </c>
      <c r="I54" s="380">
        <v>0</v>
      </c>
      <c r="J54" s="94"/>
      <c r="K54" s="16">
        <f t="shared" si="4"/>
        <v>1020927</v>
      </c>
    </row>
    <row r="55" spans="1:11" ht="18" customHeight="1">
      <c r="A55" s="5" t="s">
        <v>94</v>
      </c>
      <c r="B55" s="281" t="s">
        <v>640</v>
      </c>
      <c r="C55" s="282"/>
      <c r="D55" s="283"/>
      <c r="F55" s="54">
        <v>18250</v>
      </c>
      <c r="G55" s="54">
        <v>18250</v>
      </c>
      <c r="H55" s="94">
        <v>1125079</v>
      </c>
      <c r="I55" s="380">
        <v>0</v>
      </c>
      <c r="J55" s="94"/>
      <c r="K55" s="16">
        <f t="shared" si="4"/>
        <v>1125079</v>
      </c>
    </row>
    <row r="56" spans="1:11" ht="18" customHeight="1">
      <c r="A56" s="5" t="s">
        <v>95</v>
      </c>
      <c r="B56" s="281" t="s">
        <v>639</v>
      </c>
      <c r="C56" s="282"/>
      <c r="D56" s="283"/>
      <c r="F56" s="54" t="s">
        <v>740</v>
      </c>
      <c r="G56" s="54"/>
      <c r="H56" s="94">
        <v>5208</v>
      </c>
      <c r="I56" s="380">
        <v>2720.2846858686526</v>
      </c>
      <c r="J56" s="94"/>
      <c r="K56" s="16">
        <f t="shared" si="4"/>
        <v>7928.2846858686526</v>
      </c>
    </row>
    <row r="57" spans="1:11" ht="18" customHeight="1">
      <c r="A57" s="5" t="s">
        <v>96</v>
      </c>
      <c r="B57" s="530"/>
      <c r="C57" s="531"/>
      <c r="D57" s="532"/>
      <c r="F57" s="54"/>
      <c r="G57" s="54"/>
      <c r="H57" s="94"/>
      <c r="I57" s="380">
        <v>0</v>
      </c>
      <c r="J57" s="94"/>
      <c r="K57" s="16">
        <f t="shared" si="4"/>
        <v>0</v>
      </c>
    </row>
    <row r="58" spans="1:11" ht="18" customHeight="1">
      <c r="A58" s="5" t="s">
        <v>97</v>
      </c>
      <c r="B58" s="281"/>
      <c r="C58" s="282"/>
      <c r="D58" s="283"/>
      <c r="F58" s="54"/>
      <c r="G58" s="54"/>
      <c r="H58" s="94"/>
      <c r="I58" s="380">
        <v>0</v>
      </c>
      <c r="J58" s="94"/>
      <c r="K58" s="16">
        <f t="shared" si="4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94"/>
      <c r="I59" s="380">
        <v>0</v>
      </c>
      <c r="J59" s="94"/>
      <c r="K59" s="16">
        <f t="shared" si="4"/>
        <v>0</v>
      </c>
    </row>
    <row r="60" spans="1:11" ht="18" customHeight="1">
      <c r="A60" s="5" t="s">
        <v>99</v>
      </c>
      <c r="B60" s="281"/>
      <c r="C60" s="282"/>
      <c r="D60" s="283"/>
      <c r="F60" s="54"/>
      <c r="G60" s="54"/>
      <c r="H60" s="94"/>
      <c r="I60" s="380">
        <v>0</v>
      </c>
      <c r="J60" s="94"/>
      <c r="K60" s="16">
        <f t="shared" si="4"/>
        <v>0</v>
      </c>
    </row>
    <row r="61" spans="1:11" ht="18" customHeight="1">
      <c r="A61" s="5" t="s">
        <v>100</v>
      </c>
      <c r="B61" s="281"/>
      <c r="C61" s="282"/>
      <c r="D61" s="283"/>
      <c r="F61" s="54"/>
      <c r="G61" s="54"/>
      <c r="H61" s="94"/>
      <c r="I61" s="380">
        <v>0</v>
      </c>
      <c r="J61" s="94"/>
      <c r="K61" s="16">
        <f t="shared" si="4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94"/>
      <c r="I62" s="380">
        <v>0</v>
      </c>
      <c r="J62" s="94"/>
      <c r="K62" s="16">
        <f t="shared" si="4"/>
        <v>0</v>
      </c>
    </row>
    <row r="63" spans="1:11" ht="18" customHeight="1">
      <c r="A63" s="5"/>
      <c r="I63" s="392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5">SUM(F53:F62)</f>
        <v>25137.4826446281</v>
      </c>
      <c r="G64" s="18">
        <f t="shared" si="5"/>
        <v>21010.4826446281</v>
      </c>
      <c r="H64" s="376">
        <f t="shared" si="5"/>
        <v>2529406.1683747638</v>
      </c>
      <c r="I64" s="376">
        <f t="shared" si="5"/>
        <v>200260.67714848954</v>
      </c>
      <c r="J64" s="376">
        <f t="shared" si="5"/>
        <v>0</v>
      </c>
      <c r="K64" s="16">
        <f t="shared" si="5"/>
        <v>2729666.8455232535</v>
      </c>
    </row>
    <row r="65" spans="1:11" ht="18" customHeight="1">
      <c r="F65" s="48"/>
      <c r="G65" s="48"/>
      <c r="H65" s="375"/>
      <c r="I65" s="375"/>
      <c r="J65" s="375"/>
      <c r="K65" s="48"/>
    </row>
    <row r="66" spans="1:11" ht="42.75" customHeight="1">
      <c r="F66" s="57" t="s">
        <v>9</v>
      </c>
      <c r="G66" s="57" t="s">
        <v>37</v>
      </c>
      <c r="H66" s="391" t="s">
        <v>29</v>
      </c>
      <c r="I66" s="391" t="s">
        <v>30</v>
      </c>
      <c r="J66" s="391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390"/>
      <c r="I67" s="388"/>
      <c r="J67" s="390"/>
      <c r="K67" s="60"/>
    </row>
    <row r="68" spans="1:11" ht="18" customHeight="1">
      <c r="A68" s="5" t="s">
        <v>103</v>
      </c>
      <c r="B68" t="s">
        <v>52</v>
      </c>
      <c r="F68" s="51"/>
      <c r="G68" s="51"/>
      <c r="H68" s="94"/>
      <c r="I68" s="380">
        <v>0</v>
      </c>
      <c r="J68" s="94"/>
      <c r="K68" s="16">
        <f>(H68+I68)-J68</f>
        <v>0</v>
      </c>
    </row>
    <row r="69" spans="1:11" ht="18" customHeight="1">
      <c r="A69" s="5" t="s">
        <v>104</v>
      </c>
      <c r="B69" s="1" t="s">
        <v>53</v>
      </c>
      <c r="F69" s="51"/>
      <c r="G69" s="51"/>
      <c r="H69" s="94"/>
      <c r="I69" s="380">
        <v>0</v>
      </c>
      <c r="J69" s="94"/>
      <c r="K69" s="16">
        <f>(H69+I69)-J69</f>
        <v>0</v>
      </c>
    </row>
    <row r="70" spans="1:11" ht="18" customHeight="1">
      <c r="A70" s="5" t="s">
        <v>178</v>
      </c>
      <c r="B70" s="281"/>
      <c r="C70" s="282"/>
      <c r="D70" s="283"/>
      <c r="E70" s="2"/>
      <c r="F70" s="35"/>
      <c r="G70" s="35"/>
      <c r="H70" s="389"/>
      <c r="I70" s="380">
        <v>0</v>
      </c>
      <c r="J70" s="389"/>
      <c r="K70" s="16">
        <f>(H70+I70)-J70</f>
        <v>0</v>
      </c>
    </row>
    <row r="71" spans="1:11" ht="18" customHeight="1">
      <c r="A71" s="5" t="s">
        <v>179</v>
      </c>
      <c r="B71" s="281"/>
      <c r="C71" s="282"/>
      <c r="D71" s="283"/>
      <c r="E71" s="2"/>
      <c r="F71" s="35"/>
      <c r="G71" s="35"/>
      <c r="H71" s="389"/>
      <c r="I71" s="380">
        <v>0</v>
      </c>
      <c r="J71" s="389"/>
      <c r="K71" s="16">
        <f>(H71+I71)-J71</f>
        <v>0</v>
      </c>
    </row>
    <row r="72" spans="1:11" ht="18" customHeight="1">
      <c r="A72" s="5" t="s">
        <v>180</v>
      </c>
      <c r="B72" s="287"/>
      <c r="C72" s="288"/>
      <c r="D72" s="34"/>
      <c r="E72" s="2"/>
      <c r="F72" s="54"/>
      <c r="G72" s="54"/>
      <c r="H72" s="94"/>
      <c r="I72" s="380">
        <v>0</v>
      </c>
      <c r="J72" s="94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387"/>
      <c r="I73" s="388"/>
      <c r="J73" s="387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6">SUM(F68:F72)</f>
        <v>0</v>
      </c>
      <c r="G74" s="21">
        <f t="shared" si="6"/>
        <v>0</v>
      </c>
      <c r="H74" s="385">
        <f t="shared" si="6"/>
        <v>0</v>
      </c>
      <c r="I74" s="386">
        <f t="shared" si="6"/>
        <v>0</v>
      </c>
      <c r="J74" s="385">
        <f t="shared" si="6"/>
        <v>0</v>
      </c>
      <c r="K74" s="56">
        <f t="shared" si="6"/>
        <v>0</v>
      </c>
    </row>
    <row r="75" spans="1:11" ht="42.75" customHeight="1">
      <c r="F75" s="9" t="s">
        <v>9</v>
      </c>
      <c r="G75" s="9" t="s">
        <v>37</v>
      </c>
      <c r="H75" s="379" t="s">
        <v>29</v>
      </c>
      <c r="I75" s="379" t="s">
        <v>30</v>
      </c>
      <c r="J75" s="37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>
        <v>0</v>
      </c>
      <c r="G77" s="54">
        <v>0</v>
      </c>
      <c r="H77" s="94">
        <v>18720</v>
      </c>
      <c r="I77" s="380">
        <v>9777.9818201730377</v>
      </c>
      <c r="J77" s="94">
        <v>0</v>
      </c>
      <c r="K77" s="16">
        <f>(H77+I77)-J77</f>
        <v>28497.981820173038</v>
      </c>
    </row>
    <row r="78" spans="1:11" ht="18" customHeight="1">
      <c r="A78" s="5" t="s">
        <v>108</v>
      </c>
      <c r="B78" s="1" t="s">
        <v>55</v>
      </c>
      <c r="F78" s="54"/>
      <c r="G78" s="54"/>
      <c r="H78" s="94"/>
      <c r="I78" s="380">
        <v>0</v>
      </c>
      <c r="J78" s="94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>
        <v>0</v>
      </c>
      <c r="G79" s="54">
        <v>11365</v>
      </c>
      <c r="H79" s="94">
        <v>71262</v>
      </c>
      <c r="I79" s="380">
        <v>37222.144255831787</v>
      </c>
      <c r="J79" s="94">
        <v>0</v>
      </c>
      <c r="K79" s="16">
        <f>(H79+I79)-J79</f>
        <v>108484.14425583178</v>
      </c>
    </row>
    <row r="80" spans="1:11" ht="18" customHeight="1">
      <c r="A80" s="5" t="s">
        <v>110</v>
      </c>
      <c r="B80" s="1" t="s">
        <v>56</v>
      </c>
      <c r="F80" s="54"/>
      <c r="G80" s="54"/>
      <c r="H80" s="94"/>
      <c r="I80" s="380">
        <v>0</v>
      </c>
      <c r="J80" s="94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7">SUM(F77:F80)</f>
        <v>0</v>
      </c>
      <c r="G82" s="21">
        <f t="shared" si="7"/>
        <v>11365</v>
      </c>
      <c r="H82" s="385">
        <f t="shared" si="7"/>
        <v>89982</v>
      </c>
      <c r="I82" s="385">
        <f t="shared" si="7"/>
        <v>47000.126076004824</v>
      </c>
      <c r="J82" s="385">
        <f t="shared" si="7"/>
        <v>0</v>
      </c>
      <c r="K82" s="56">
        <f t="shared" si="7"/>
        <v>136982.12607600482</v>
      </c>
    </row>
    <row r="83" spans="1:11" ht="18" customHeight="1" thickBot="1">
      <c r="A83" s="5"/>
      <c r="F83" s="24"/>
      <c r="G83" s="24"/>
      <c r="H83" s="383"/>
      <c r="I83" s="383"/>
      <c r="J83" s="383"/>
      <c r="K83" s="24"/>
    </row>
    <row r="84" spans="1:11" ht="42.75" customHeight="1">
      <c r="F84" s="9" t="s">
        <v>9</v>
      </c>
      <c r="G84" s="9" t="s">
        <v>37</v>
      </c>
      <c r="H84" s="379" t="s">
        <v>29</v>
      </c>
      <c r="I84" s="379" t="s">
        <v>30</v>
      </c>
      <c r="J84" s="37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94"/>
      <c r="I86" s="380">
        <v>0</v>
      </c>
      <c r="J86" s="94"/>
      <c r="K86" s="16">
        <f t="shared" ref="K86:K96" si="8">(H86+I86)-J86</f>
        <v>0</v>
      </c>
    </row>
    <row r="87" spans="1:11" ht="18" customHeight="1">
      <c r="A87" s="5" t="s">
        <v>114</v>
      </c>
      <c r="B87" s="1" t="s">
        <v>14</v>
      </c>
      <c r="F87" s="54"/>
      <c r="G87" s="54"/>
      <c r="H87" s="94"/>
      <c r="I87" s="380">
        <v>0</v>
      </c>
      <c r="J87" s="94"/>
      <c r="K87" s="16">
        <f t="shared" si="8"/>
        <v>0</v>
      </c>
    </row>
    <row r="88" spans="1:11" ht="18" customHeight="1">
      <c r="A88" s="5" t="s">
        <v>115</v>
      </c>
      <c r="B88" s="1" t="s">
        <v>116</v>
      </c>
      <c r="F88" s="54">
        <v>24</v>
      </c>
      <c r="G88" s="54">
        <v>0</v>
      </c>
      <c r="H88" s="94">
        <v>952.18463933615612</v>
      </c>
      <c r="I88" s="380">
        <v>497.35278273915355</v>
      </c>
      <c r="J88" s="94">
        <v>0</v>
      </c>
      <c r="K88" s="16">
        <f t="shared" si="8"/>
        <v>1449.5374220753097</v>
      </c>
    </row>
    <row r="89" spans="1:11" ht="18" customHeight="1">
      <c r="A89" s="5" t="s">
        <v>117</v>
      </c>
      <c r="B89" s="1" t="s">
        <v>58</v>
      </c>
      <c r="F89" s="54"/>
      <c r="G89" s="54"/>
      <c r="H89" s="94"/>
      <c r="I89" s="380">
        <v>0</v>
      </c>
      <c r="J89" s="94"/>
      <c r="K89" s="16">
        <f t="shared" si="8"/>
        <v>0</v>
      </c>
    </row>
    <row r="90" spans="1:11" ht="18" customHeight="1">
      <c r="A90" s="5" t="s">
        <v>118</v>
      </c>
      <c r="B90" s="550" t="s">
        <v>59</v>
      </c>
      <c r="C90" s="551"/>
      <c r="F90" s="54"/>
      <c r="G90" s="54"/>
      <c r="H90" s="94"/>
      <c r="I90" s="380">
        <v>0</v>
      </c>
      <c r="J90" s="94"/>
      <c r="K90" s="16">
        <f t="shared" si="8"/>
        <v>0</v>
      </c>
    </row>
    <row r="91" spans="1:11" ht="18" customHeight="1">
      <c r="A91" s="5" t="s">
        <v>119</v>
      </c>
      <c r="B91" s="1" t="s">
        <v>60</v>
      </c>
      <c r="F91" s="54">
        <v>136</v>
      </c>
      <c r="G91" s="54">
        <v>0</v>
      </c>
      <c r="H91" s="94">
        <v>5715.7129562382179</v>
      </c>
      <c r="I91" s="380">
        <v>2985.4774239008966</v>
      </c>
      <c r="J91" s="94">
        <v>0</v>
      </c>
      <c r="K91" s="16">
        <f t="shared" si="8"/>
        <v>8701.1903801391145</v>
      </c>
    </row>
    <row r="92" spans="1:11" ht="18" customHeight="1">
      <c r="A92" s="5" t="s">
        <v>120</v>
      </c>
      <c r="B92" s="1" t="s">
        <v>121</v>
      </c>
      <c r="F92" s="38">
        <v>15</v>
      </c>
      <c r="G92" s="38">
        <v>0</v>
      </c>
      <c r="H92" s="384">
        <v>612.79590345934923</v>
      </c>
      <c r="I92" s="380">
        <v>320.080513007587</v>
      </c>
      <c r="J92" s="384">
        <v>0</v>
      </c>
      <c r="K92" s="16">
        <f t="shared" si="8"/>
        <v>932.87641646693623</v>
      </c>
    </row>
    <row r="93" spans="1:11" ht="18" customHeight="1">
      <c r="A93" s="5" t="s">
        <v>122</v>
      </c>
      <c r="B93" s="1" t="s">
        <v>123</v>
      </c>
      <c r="F93" s="54">
        <v>1021</v>
      </c>
      <c r="G93" s="54">
        <v>1580</v>
      </c>
      <c r="H93" s="94">
        <v>72308.864786674676</v>
      </c>
      <c r="I93" s="380">
        <v>37768.95113896663</v>
      </c>
      <c r="J93" s="94">
        <v>0</v>
      </c>
      <c r="K93" s="16">
        <f t="shared" si="8"/>
        <v>110077.81592564131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94"/>
      <c r="I94" s="380">
        <f>H94*F$114</f>
        <v>0</v>
      </c>
      <c r="J94" s="94"/>
      <c r="K94" s="16">
        <f t="shared" si="8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94"/>
      <c r="I95" s="380">
        <f>H95*F$114</f>
        <v>0</v>
      </c>
      <c r="J95" s="94"/>
      <c r="K95" s="16">
        <f t="shared" si="8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94"/>
      <c r="I96" s="380">
        <f>H96*F$114</f>
        <v>0</v>
      </c>
      <c r="J96" s="94"/>
      <c r="K96" s="16">
        <f t="shared" si="8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9">SUM(F86:F96)</f>
        <v>1196</v>
      </c>
      <c r="G98" s="18">
        <f t="shared" si="9"/>
        <v>1580</v>
      </c>
      <c r="H98" s="376">
        <f t="shared" si="9"/>
        <v>79589.558285708394</v>
      </c>
      <c r="I98" s="376">
        <f t="shared" si="9"/>
        <v>41571.861858614269</v>
      </c>
      <c r="J98" s="376">
        <f t="shared" si="9"/>
        <v>0</v>
      </c>
      <c r="K98" s="18">
        <f t="shared" si="9"/>
        <v>121161.42014432266</v>
      </c>
    </row>
    <row r="99" spans="1:11" ht="18" customHeight="1" thickBot="1">
      <c r="B99" s="2"/>
      <c r="F99" s="24"/>
      <c r="G99" s="24"/>
      <c r="H99" s="383"/>
      <c r="I99" s="383"/>
      <c r="J99" s="383"/>
      <c r="K99" s="24"/>
    </row>
    <row r="100" spans="1:11" ht="42.75" customHeight="1">
      <c r="F100" s="9" t="s">
        <v>9</v>
      </c>
      <c r="G100" s="9" t="s">
        <v>37</v>
      </c>
      <c r="H100" s="379" t="s">
        <v>29</v>
      </c>
      <c r="I100" s="379" t="s">
        <v>30</v>
      </c>
      <c r="J100" s="37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/>
      <c r="G102" s="54"/>
      <c r="H102" s="94"/>
      <c r="I102" s="380">
        <v>0</v>
      </c>
      <c r="J102" s="94"/>
      <c r="K102" s="16">
        <f>(H102+I102)-J102</f>
        <v>0</v>
      </c>
    </row>
    <row r="103" spans="1:11" ht="18" customHeight="1">
      <c r="A103" s="5" t="s">
        <v>132</v>
      </c>
      <c r="B103" s="550" t="s">
        <v>62</v>
      </c>
      <c r="C103" s="550"/>
      <c r="F103" s="54">
        <v>4326</v>
      </c>
      <c r="G103" s="54">
        <v>1020</v>
      </c>
      <c r="H103" s="94">
        <v>233967.95117240783</v>
      </c>
      <c r="I103" s="380">
        <v>122208.03274930216</v>
      </c>
      <c r="J103" s="94">
        <v>0</v>
      </c>
      <c r="K103" s="16">
        <f>(H103+I103)-J103</f>
        <v>356175.98392170999</v>
      </c>
    </row>
    <row r="104" spans="1:11" ht="18" customHeight="1">
      <c r="A104" s="5" t="s">
        <v>128</v>
      </c>
      <c r="B104" s="530"/>
      <c r="C104" s="531"/>
      <c r="D104" s="532"/>
      <c r="F104" s="54"/>
      <c r="G104" s="54"/>
      <c r="H104" s="94"/>
      <c r="I104" s="380">
        <v>0</v>
      </c>
      <c r="J104" s="94"/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94"/>
      <c r="I105" s="380">
        <v>0</v>
      </c>
      <c r="J105" s="94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94"/>
      <c r="I106" s="380">
        <v>0</v>
      </c>
      <c r="J106" s="94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0">SUM(F102:F106)</f>
        <v>4326</v>
      </c>
      <c r="G108" s="18">
        <f t="shared" si="10"/>
        <v>1020</v>
      </c>
      <c r="H108" s="376">
        <f t="shared" si="10"/>
        <v>233967.95117240783</v>
      </c>
      <c r="I108" s="376">
        <f t="shared" si="10"/>
        <v>122208.03274930216</v>
      </c>
      <c r="J108" s="376">
        <f t="shared" si="10"/>
        <v>0</v>
      </c>
      <c r="K108" s="16">
        <f t="shared" si="10"/>
        <v>356175.98392170999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383"/>
      <c r="I109" s="383"/>
      <c r="J109" s="383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 s="373"/>
      <c r="I110" s="373"/>
      <c r="J110" s="373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92">
        <v>9844900</v>
      </c>
    </row>
    <row r="112" spans="1:11" ht="18" customHeight="1">
      <c r="B112" s="2"/>
      <c r="E112" s="2"/>
      <c r="F112" s="22"/>
    </row>
    <row r="113" spans="1:6" customFormat="1" ht="18" customHeight="1">
      <c r="A113" s="6"/>
      <c r="B113" s="2" t="s">
        <v>15</v>
      </c>
    </row>
    <row r="114" spans="1:6" customFormat="1" ht="18" customHeight="1">
      <c r="A114" s="5" t="s">
        <v>171</v>
      </c>
      <c r="B114" s="1" t="s">
        <v>35</v>
      </c>
      <c r="F114" s="25">
        <v>0.52232808868445713</v>
      </c>
    </row>
    <row r="115" spans="1:6" customFormat="1" ht="18" customHeight="1">
      <c r="A115" s="5"/>
      <c r="B115" s="2"/>
    </row>
    <row r="116" spans="1:6" customFormat="1" ht="18" customHeight="1">
      <c r="A116" s="5" t="s">
        <v>170</v>
      </c>
      <c r="B116" s="2" t="s">
        <v>16</v>
      </c>
    </row>
    <row r="117" spans="1:6" customFormat="1" ht="18" customHeight="1">
      <c r="A117" s="5" t="s">
        <v>172</v>
      </c>
      <c r="B117" s="1" t="s">
        <v>17</v>
      </c>
      <c r="F117" s="92">
        <v>168172000</v>
      </c>
    </row>
    <row r="118" spans="1:6" customFormat="1" ht="18" customHeight="1">
      <c r="A118" s="5" t="s">
        <v>173</v>
      </c>
      <c r="B118" t="s">
        <v>18</v>
      </c>
      <c r="F118" s="92">
        <v>4587000</v>
      </c>
    </row>
    <row r="119" spans="1:6" customFormat="1" ht="18" customHeight="1">
      <c r="A119" s="5" t="s">
        <v>174</v>
      </c>
      <c r="B119" s="2" t="s">
        <v>19</v>
      </c>
      <c r="F119" s="382">
        <f>SUM(F117:F118)</f>
        <v>172759000</v>
      </c>
    </row>
    <row r="120" spans="1:6" customFormat="1" ht="18" customHeight="1">
      <c r="A120" s="5"/>
      <c r="B120" s="2"/>
      <c r="F120" s="381"/>
    </row>
    <row r="121" spans="1:6" customFormat="1" ht="18" customHeight="1">
      <c r="A121" s="5" t="s">
        <v>167</v>
      </c>
      <c r="B121" s="2" t="s">
        <v>36</v>
      </c>
      <c r="F121" s="92">
        <v>158501000</v>
      </c>
    </row>
    <row r="122" spans="1:6" customFormat="1" ht="18" customHeight="1">
      <c r="A122" s="5"/>
      <c r="F122" s="381"/>
    </row>
    <row r="123" spans="1:6" customFormat="1" ht="18" customHeight="1">
      <c r="A123" s="5" t="s">
        <v>175</v>
      </c>
      <c r="B123" s="2" t="s">
        <v>20</v>
      </c>
      <c r="F123" s="92">
        <v>14258000</v>
      </c>
    </row>
    <row r="124" spans="1:6" customFormat="1" ht="18" customHeight="1">
      <c r="A124" s="5"/>
    </row>
    <row r="125" spans="1:6" customFormat="1" ht="18" customHeight="1">
      <c r="A125" s="5" t="s">
        <v>176</v>
      </c>
      <c r="B125" s="2" t="s">
        <v>21</v>
      </c>
      <c r="F125" s="92">
        <v>-1194000</v>
      </c>
    </row>
    <row r="126" spans="1:6" customFormat="1" ht="18" customHeight="1">
      <c r="A126" s="5"/>
      <c r="F126" s="381"/>
    </row>
    <row r="127" spans="1:6" customFormat="1" ht="18" customHeight="1">
      <c r="A127" s="5" t="s">
        <v>177</v>
      </c>
      <c r="B127" s="2" t="s">
        <v>22</v>
      </c>
      <c r="F127" s="92">
        <v>13064000</v>
      </c>
    </row>
    <row r="128" spans="1:6" customFormat="1" ht="18" customHeight="1">
      <c r="A128" s="5"/>
    </row>
    <row r="129" spans="1:11" ht="42.75" customHeight="1">
      <c r="F129" s="9" t="s">
        <v>9</v>
      </c>
      <c r="G129" s="9" t="s">
        <v>37</v>
      </c>
      <c r="H129" s="379" t="s">
        <v>29</v>
      </c>
      <c r="I129" s="379" t="s">
        <v>30</v>
      </c>
      <c r="J129" s="37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94">
        <v>15359</v>
      </c>
      <c r="I131" s="380">
        <v>0</v>
      </c>
      <c r="J131" s="94">
        <v>8078</v>
      </c>
      <c r="K131" s="16">
        <f>(H131+I131)-J131</f>
        <v>7281</v>
      </c>
    </row>
    <row r="132" spans="1:11" ht="18" customHeight="1">
      <c r="A132" s="5" t="s">
        <v>159</v>
      </c>
      <c r="B132" t="s">
        <v>25</v>
      </c>
      <c r="F132" s="54"/>
      <c r="G132" s="54"/>
      <c r="H132" s="94">
        <v>55332</v>
      </c>
      <c r="I132" s="380">
        <v>0</v>
      </c>
      <c r="J132" s="94">
        <v>0</v>
      </c>
      <c r="K132" s="16">
        <f>(H132+I132)-J132</f>
        <v>55332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94"/>
      <c r="I133" s="380">
        <v>0</v>
      </c>
      <c r="J133" s="94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94"/>
      <c r="I134" s="380">
        <v>0</v>
      </c>
      <c r="J134" s="94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94"/>
      <c r="I135" s="380">
        <v>0</v>
      </c>
      <c r="J135" s="94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1">SUM(F131:F135)</f>
        <v>0</v>
      </c>
      <c r="G137" s="18">
        <f t="shared" si="11"/>
        <v>0</v>
      </c>
      <c r="H137" s="376">
        <f t="shared" si="11"/>
        <v>70691</v>
      </c>
      <c r="I137" s="376">
        <f t="shared" si="11"/>
        <v>0</v>
      </c>
      <c r="J137" s="376">
        <f t="shared" si="11"/>
        <v>8078</v>
      </c>
      <c r="K137" s="16">
        <f t="shared" si="11"/>
        <v>62613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379" t="s">
        <v>29</v>
      </c>
      <c r="I139" s="379" t="s">
        <v>30</v>
      </c>
      <c r="J139" s="37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2">F36</f>
        <v>12397</v>
      </c>
      <c r="G141" s="41">
        <f t="shared" si="12"/>
        <v>5308</v>
      </c>
      <c r="H141" s="378">
        <f t="shared" si="12"/>
        <v>599574.59364462423</v>
      </c>
      <c r="I141" s="378">
        <f t="shared" si="12"/>
        <v>313174.65152215661</v>
      </c>
      <c r="J141" s="378">
        <f t="shared" si="12"/>
        <v>60964</v>
      </c>
      <c r="K141" s="41">
        <f t="shared" si="12"/>
        <v>851785.24516678089</v>
      </c>
    </row>
    <row r="142" spans="1:11" ht="18" customHeight="1">
      <c r="A142" s="5" t="s">
        <v>142</v>
      </c>
      <c r="B142" s="2" t="s">
        <v>65</v>
      </c>
      <c r="F142" s="41">
        <f t="shared" ref="F142:K142" si="13">F49</f>
        <v>16349</v>
      </c>
      <c r="G142" s="41">
        <f t="shared" si="13"/>
        <v>227</v>
      </c>
      <c r="H142" s="378">
        <f t="shared" si="13"/>
        <v>1004998.7770479781</v>
      </c>
      <c r="I142" s="378">
        <f t="shared" si="13"/>
        <v>111613.60743642825</v>
      </c>
      <c r="J142" s="378">
        <f t="shared" si="13"/>
        <v>0</v>
      </c>
      <c r="K142" s="41">
        <f t="shared" si="13"/>
        <v>1116612.3844844063</v>
      </c>
    </row>
    <row r="143" spans="1:11" ht="18" customHeight="1">
      <c r="A143" s="5" t="s">
        <v>144</v>
      </c>
      <c r="B143" s="2" t="s">
        <v>66</v>
      </c>
      <c r="F143" s="41">
        <f t="shared" ref="F143:K143" si="14">F64</f>
        <v>25137.4826446281</v>
      </c>
      <c r="G143" s="41">
        <f t="shared" si="14"/>
        <v>21010.4826446281</v>
      </c>
      <c r="H143" s="378">
        <f t="shared" si="14"/>
        <v>2529406.1683747638</v>
      </c>
      <c r="I143" s="378">
        <f t="shared" si="14"/>
        <v>200260.67714848954</v>
      </c>
      <c r="J143" s="378">
        <f t="shared" si="14"/>
        <v>0</v>
      </c>
      <c r="K143" s="41">
        <f t="shared" si="14"/>
        <v>2729666.8455232535</v>
      </c>
    </row>
    <row r="144" spans="1:11" ht="18" customHeight="1">
      <c r="A144" s="5" t="s">
        <v>146</v>
      </c>
      <c r="B144" s="2" t="s">
        <v>67</v>
      </c>
      <c r="F144" s="41">
        <f t="shared" ref="F144:K144" si="15">F74</f>
        <v>0</v>
      </c>
      <c r="G144" s="41">
        <f t="shared" si="15"/>
        <v>0</v>
      </c>
      <c r="H144" s="378">
        <f t="shared" si="15"/>
        <v>0</v>
      </c>
      <c r="I144" s="378">
        <f t="shared" si="15"/>
        <v>0</v>
      </c>
      <c r="J144" s="378">
        <f t="shared" si="15"/>
        <v>0</v>
      </c>
      <c r="K144" s="41">
        <f t="shared" si="15"/>
        <v>0</v>
      </c>
    </row>
    <row r="145" spans="1:11" ht="18" customHeight="1">
      <c r="A145" s="5" t="s">
        <v>148</v>
      </c>
      <c r="B145" s="2" t="s">
        <v>68</v>
      </c>
      <c r="F145" s="41">
        <f t="shared" ref="F145:K145" si="16">F82</f>
        <v>0</v>
      </c>
      <c r="G145" s="41">
        <f t="shared" si="16"/>
        <v>11365</v>
      </c>
      <c r="H145" s="378">
        <f t="shared" si="16"/>
        <v>89982</v>
      </c>
      <c r="I145" s="378">
        <f t="shared" si="16"/>
        <v>47000.126076004824</v>
      </c>
      <c r="J145" s="378">
        <f t="shared" si="16"/>
        <v>0</v>
      </c>
      <c r="K145" s="41">
        <f t="shared" si="16"/>
        <v>136982.12607600482</v>
      </c>
    </row>
    <row r="146" spans="1:11" ht="18" customHeight="1">
      <c r="A146" s="5" t="s">
        <v>150</v>
      </c>
      <c r="B146" s="2" t="s">
        <v>69</v>
      </c>
      <c r="F146" s="41">
        <f t="shared" ref="F146:K146" si="17">F98</f>
        <v>1196</v>
      </c>
      <c r="G146" s="41">
        <f t="shared" si="17"/>
        <v>1580</v>
      </c>
      <c r="H146" s="378">
        <f t="shared" si="17"/>
        <v>79589.558285708394</v>
      </c>
      <c r="I146" s="378">
        <f t="shared" si="17"/>
        <v>41571.861858614269</v>
      </c>
      <c r="J146" s="378">
        <f t="shared" si="17"/>
        <v>0</v>
      </c>
      <c r="K146" s="41">
        <f t="shared" si="17"/>
        <v>121161.42014432266</v>
      </c>
    </row>
    <row r="147" spans="1:11" ht="18" customHeight="1">
      <c r="A147" s="5" t="s">
        <v>153</v>
      </c>
      <c r="B147" s="2" t="s">
        <v>61</v>
      </c>
      <c r="F147" s="18">
        <f t="shared" ref="F147:K147" si="18">F108</f>
        <v>4326</v>
      </c>
      <c r="G147" s="18">
        <f t="shared" si="18"/>
        <v>1020</v>
      </c>
      <c r="H147" s="376">
        <f t="shared" si="18"/>
        <v>233967.95117240783</v>
      </c>
      <c r="I147" s="376">
        <f t="shared" si="18"/>
        <v>122208.03274930216</v>
      </c>
      <c r="J147" s="376">
        <f t="shared" si="18"/>
        <v>0</v>
      </c>
      <c r="K147" s="18">
        <f t="shared" si="18"/>
        <v>356175.98392170999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377" t="s">
        <v>73</v>
      </c>
      <c r="I148" s="377" t="s">
        <v>73</v>
      </c>
      <c r="J148" s="377" t="s">
        <v>73</v>
      </c>
      <c r="K148" s="37">
        <f>F111</f>
        <v>9844900</v>
      </c>
    </row>
    <row r="149" spans="1:11" ht="18" customHeight="1">
      <c r="A149" s="5" t="s">
        <v>163</v>
      </c>
      <c r="B149" s="2" t="s">
        <v>71</v>
      </c>
      <c r="F149" s="18">
        <f t="shared" ref="F149:K149" si="19">F137</f>
        <v>0</v>
      </c>
      <c r="G149" s="18">
        <f t="shared" si="19"/>
        <v>0</v>
      </c>
      <c r="H149" s="376">
        <f t="shared" si="19"/>
        <v>70691</v>
      </c>
      <c r="I149" s="376">
        <f t="shared" si="19"/>
        <v>0</v>
      </c>
      <c r="J149" s="376">
        <f t="shared" si="19"/>
        <v>8078</v>
      </c>
      <c r="K149" s="18">
        <f t="shared" si="19"/>
        <v>62613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376">
        <f>H18</f>
        <v>4801800</v>
      </c>
      <c r="I150" s="376">
        <f>I18</f>
        <v>0</v>
      </c>
      <c r="J150" s="376">
        <f>J18</f>
        <v>4106139</v>
      </c>
      <c r="K150" s="18">
        <f>K18</f>
        <v>695661</v>
      </c>
    </row>
    <row r="151" spans="1:11" ht="18" customHeight="1">
      <c r="B151" s="2"/>
      <c r="F151" s="48"/>
      <c r="G151" s="48"/>
      <c r="H151" s="375"/>
      <c r="I151" s="375"/>
      <c r="J151" s="375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0">SUM(F141:F150)</f>
        <v>59405.4826446281</v>
      </c>
      <c r="G152" s="49">
        <f t="shared" si="20"/>
        <v>40510.4826446281</v>
      </c>
      <c r="H152" s="374">
        <f t="shared" si="20"/>
        <v>9410010.0485254824</v>
      </c>
      <c r="I152" s="374">
        <f t="shared" si="20"/>
        <v>835828.95679099555</v>
      </c>
      <c r="J152" s="374">
        <f t="shared" si="20"/>
        <v>4175181</v>
      </c>
      <c r="K152" s="49">
        <f t="shared" si="20"/>
        <v>15915558.005316477</v>
      </c>
    </row>
    <row r="154" spans="1:11" ht="18" customHeight="1">
      <c r="A154" s="6" t="s">
        <v>168</v>
      </c>
      <c r="B154" s="2" t="s">
        <v>28</v>
      </c>
      <c r="F154" s="91">
        <f>K152/F121</f>
        <v>0.10041298165510928</v>
      </c>
    </row>
    <row r="155" spans="1:11" ht="18" customHeight="1">
      <c r="A155" s="6" t="s">
        <v>169</v>
      </c>
      <c r="B155" s="2" t="s">
        <v>72</v>
      </c>
      <c r="F155" s="91">
        <f>K152/F127</f>
        <v>1.2182760261264909</v>
      </c>
      <c r="G155" s="2"/>
    </row>
    <row r="156" spans="1:11" ht="18" customHeight="1">
      <c r="G156" s="2"/>
    </row>
  </sheetData>
  <sheetProtection password="EF72" sheet="1" objects="1" scenarios="1"/>
  <mergeCells count="32">
    <mergeCell ref="B96:D96"/>
    <mergeCell ref="B103:C103"/>
    <mergeCell ref="B134:D134"/>
    <mergeCell ref="B135:D135"/>
    <mergeCell ref="B104:D104"/>
    <mergeCell ref="B105:D105"/>
    <mergeCell ref="B106:D106"/>
    <mergeCell ref="B133:D133"/>
    <mergeCell ref="B95:D95"/>
    <mergeCell ref="B52:C52"/>
    <mergeCell ref="B53:D53"/>
    <mergeCell ref="B44:D44"/>
    <mergeCell ref="B45:D45"/>
    <mergeCell ref="B46:D46"/>
    <mergeCell ref="B47:D47"/>
    <mergeCell ref="B57:D57"/>
    <mergeCell ref="B59:D59"/>
    <mergeCell ref="B62:D62"/>
    <mergeCell ref="B90:C90"/>
    <mergeCell ref="B94:D94"/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</mergeCells>
  <pageMargins left="0.75" right="0.75" top="1" bottom="1" header="0.5" footer="0.5"/>
  <pageSetup scale="49" orientation="landscape" r:id="rId1"/>
  <headerFooter alignWithMargins="0"/>
  <rowBreaks count="3" manualBreakCount="3">
    <brk id="50" max="16383" man="1"/>
    <brk id="83" max="16383" man="1"/>
    <brk id="109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80" zoomScaleNormal="70" zoomScaleSheetLayoutView="80" workbookViewId="0">
      <selection activeCell="A4" sqref="A4"/>
    </sheetView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246</v>
      </c>
      <c r="D5" s="534"/>
      <c r="E5" s="534"/>
      <c r="F5" s="534"/>
      <c r="G5" s="535"/>
    </row>
    <row r="6" spans="1:11" ht="18" customHeight="1">
      <c r="B6" s="5" t="s">
        <v>3</v>
      </c>
      <c r="C6" s="536" t="s">
        <v>245</v>
      </c>
      <c r="D6" s="537"/>
      <c r="E6" s="537"/>
      <c r="F6" s="537"/>
      <c r="G6" s="538"/>
    </row>
    <row r="7" spans="1:11" ht="18" customHeight="1">
      <c r="B7" s="5" t="s">
        <v>4</v>
      </c>
      <c r="C7" s="640">
        <v>2836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244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243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242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11466931</v>
      </c>
      <c r="I18" s="55">
        <v>0</v>
      </c>
      <c r="J18" s="15">
        <v>9805660</v>
      </c>
      <c r="K18" s="16">
        <f>(H18+I18)-J18</f>
        <v>1661271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27456</v>
      </c>
      <c r="G21" s="54">
        <v>2825</v>
      </c>
      <c r="H21" s="15">
        <v>1236724</v>
      </c>
      <c r="I21" s="55">
        <f t="shared" ref="I21:I34" si="0">H21*F$114</f>
        <v>840972.32000000007</v>
      </c>
      <c r="J21" s="15">
        <v>91766</v>
      </c>
      <c r="K21" s="16">
        <f t="shared" ref="K21:K34" si="1">(H21+I21)-J21</f>
        <v>1985930.32</v>
      </c>
    </row>
    <row r="22" spans="1:11" ht="18" customHeight="1">
      <c r="A22" s="5" t="s">
        <v>76</v>
      </c>
      <c r="B22" t="s">
        <v>6</v>
      </c>
      <c r="F22" s="54"/>
      <c r="G22" s="54"/>
      <c r="H22" s="15"/>
      <c r="I22" s="55">
        <f t="shared" si="0"/>
        <v>0</v>
      </c>
      <c r="J22" s="15"/>
      <c r="K22" s="16">
        <f t="shared" si="1"/>
        <v>0</v>
      </c>
    </row>
    <row r="23" spans="1:11" ht="18" customHeight="1">
      <c r="A23" s="5" t="s">
        <v>77</v>
      </c>
      <c r="B23" t="s">
        <v>43</v>
      </c>
      <c r="F23" s="54"/>
      <c r="G23" s="54"/>
      <c r="H23" s="15"/>
      <c r="I23" s="55">
        <f t="shared" si="0"/>
        <v>0</v>
      </c>
      <c r="J23" s="15"/>
      <c r="K23" s="16">
        <f t="shared" si="1"/>
        <v>0</v>
      </c>
    </row>
    <row r="24" spans="1:11" ht="18" customHeight="1">
      <c r="A24" s="5" t="s">
        <v>78</v>
      </c>
      <c r="B24" t="s">
        <v>44</v>
      </c>
      <c r="F24" s="54">
        <v>457</v>
      </c>
      <c r="G24" s="54">
        <v>25250</v>
      </c>
      <c r="H24" s="15">
        <v>1541975</v>
      </c>
      <c r="I24" s="55">
        <f t="shared" si="0"/>
        <v>1048543.0000000001</v>
      </c>
      <c r="J24" s="15"/>
      <c r="K24" s="16">
        <f t="shared" si="1"/>
        <v>2590518</v>
      </c>
    </row>
    <row r="25" spans="1:11" ht="18" customHeight="1">
      <c r="A25" s="5" t="s">
        <v>79</v>
      </c>
      <c r="B25" t="s">
        <v>5</v>
      </c>
      <c r="F25" s="54"/>
      <c r="G25" s="54"/>
      <c r="H25" s="15"/>
      <c r="I25" s="55">
        <f t="shared" si="0"/>
        <v>0</v>
      </c>
      <c r="J25" s="15"/>
      <c r="K25" s="16">
        <f t="shared" si="1"/>
        <v>0</v>
      </c>
    </row>
    <row r="26" spans="1:11" ht="18" customHeight="1">
      <c r="A26" s="5" t="s">
        <v>80</v>
      </c>
      <c r="B26" t="s">
        <v>45</v>
      </c>
      <c r="F26" s="54"/>
      <c r="G26" s="54"/>
      <c r="H26" s="15"/>
      <c r="I26" s="55">
        <f t="shared" si="0"/>
        <v>0</v>
      </c>
      <c r="J26" s="15"/>
      <c r="K26" s="16">
        <f t="shared" si="1"/>
        <v>0</v>
      </c>
    </row>
    <row r="27" spans="1:11" ht="18" customHeight="1">
      <c r="A27" s="5" t="s">
        <v>81</v>
      </c>
      <c r="B27" t="s">
        <v>46</v>
      </c>
      <c r="F27" s="54"/>
      <c r="G27" s="54"/>
      <c r="H27" s="15"/>
      <c r="I27" s="55">
        <f t="shared" si="0"/>
        <v>0</v>
      </c>
      <c r="J27" s="15"/>
      <c r="K27" s="16">
        <f t="shared" si="1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15"/>
      <c r="I28" s="55">
        <f t="shared" si="0"/>
        <v>0</v>
      </c>
      <c r="J28" s="15"/>
      <c r="K28" s="16">
        <f t="shared" si="1"/>
        <v>0</v>
      </c>
    </row>
    <row r="29" spans="1:11" ht="18" customHeight="1">
      <c r="A29" s="5" t="s">
        <v>83</v>
      </c>
      <c r="B29" t="s">
        <v>48</v>
      </c>
      <c r="F29" s="54"/>
      <c r="G29" s="54"/>
      <c r="H29" s="15">
        <v>786398</v>
      </c>
      <c r="I29" s="55">
        <f t="shared" si="0"/>
        <v>534750.64</v>
      </c>
      <c r="J29" s="15"/>
      <c r="K29" s="16">
        <f t="shared" si="1"/>
        <v>1321148.6400000001</v>
      </c>
    </row>
    <row r="30" spans="1:11" ht="18" customHeight="1">
      <c r="A30" s="5" t="s">
        <v>84</v>
      </c>
      <c r="B30" s="547" t="s">
        <v>241</v>
      </c>
      <c r="C30" s="548"/>
      <c r="D30" s="549"/>
      <c r="F30" s="54"/>
      <c r="G30" s="54"/>
      <c r="H30" s="15">
        <v>128849</v>
      </c>
      <c r="I30" s="55">
        <f t="shared" si="0"/>
        <v>87617.32</v>
      </c>
      <c r="J30" s="15"/>
      <c r="K30" s="16">
        <f t="shared" si="1"/>
        <v>216466.32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 t="shared" si="0"/>
        <v>0</v>
      </c>
      <c r="J31" s="15"/>
      <c r="K31" s="16">
        <f t="shared" si="1"/>
        <v>0</v>
      </c>
    </row>
    <row r="32" spans="1:11" ht="18" customHeight="1">
      <c r="A32" s="5" t="s">
        <v>134</v>
      </c>
      <c r="B32" s="68"/>
      <c r="C32" s="69"/>
      <c r="D32" s="70"/>
      <c r="F32" s="54"/>
      <c r="G32" s="52" t="s">
        <v>85</v>
      </c>
      <c r="H32" s="15"/>
      <c r="I32" s="55">
        <f t="shared" si="0"/>
        <v>0</v>
      </c>
      <c r="J32" s="15"/>
      <c r="K32" s="16">
        <f t="shared" si="1"/>
        <v>0</v>
      </c>
    </row>
    <row r="33" spans="1:11" ht="18" customHeight="1">
      <c r="A33" s="5" t="s">
        <v>135</v>
      </c>
      <c r="B33" s="68"/>
      <c r="C33" s="69"/>
      <c r="D33" s="70"/>
      <c r="F33" s="54"/>
      <c r="G33" s="52" t="s">
        <v>85</v>
      </c>
      <c r="H33" s="15"/>
      <c r="I33" s="55">
        <f t="shared" si="0"/>
        <v>0</v>
      </c>
      <c r="J33" s="15"/>
      <c r="K33" s="16">
        <f t="shared" si="1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 t="shared" si="0"/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27913</v>
      </c>
      <c r="G36" s="18">
        <f t="shared" si="2"/>
        <v>28075</v>
      </c>
      <c r="H36" s="18">
        <f t="shared" si="2"/>
        <v>3693946</v>
      </c>
      <c r="I36" s="16">
        <f t="shared" si="2"/>
        <v>2511883.2800000003</v>
      </c>
      <c r="J36" s="16">
        <f t="shared" si="2"/>
        <v>91766</v>
      </c>
      <c r="K36" s="16">
        <f t="shared" si="2"/>
        <v>6114063.2800000012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>
        <f>6253+1623+832</f>
        <v>8708</v>
      </c>
      <c r="G40" s="54"/>
      <c r="H40" s="15">
        <v>7677104</v>
      </c>
      <c r="I40" s="55">
        <f>H40*F$114</f>
        <v>5220430.7200000007</v>
      </c>
      <c r="J40" s="15"/>
      <c r="K40" s="16">
        <f t="shared" ref="K40:K47" si="3">(H40+I40)-J40</f>
        <v>12897534.720000001</v>
      </c>
    </row>
    <row r="41" spans="1:11" ht="18" customHeight="1">
      <c r="A41" s="5" t="s">
        <v>88</v>
      </c>
      <c r="B41" s="550" t="s">
        <v>50</v>
      </c>
      <c r="C41" s="551"/>
      <c r="F41" s="54">
        <v>832</v>
      </c>
      <c r="G41" s="54"/>
      <c r="H41" s="15">
        <v>107262</v>
      </c>
      <c r="I41" s="55">
        <f>H41*F$114</f>
        <v>72938.16</v>
      </c>
      <c r="J41" s="15"/>
      <c r="K41" s="16">
        <f t="shared" si="3"/>
        <v>180200.16</v>
      </c>
    </row>
    <row r="42" spans="1:11" ht="18" customHeight="1">
      <c r="A42" s="5" t="s">
        <v>89</v>
      </c>
      <c r="B42" s="1" t="s">
        <v>11</v>
      </c>
      <c r="F42" s="54">
        <v>416</v>
      </c>
      <c r="G42" s="54"/>
      <c r="H42" s="15">
        <v>53631</v>
      </c>
      <c r="I42" s="55">
        <f>H42*F$114</f>
        <v>36469.08</v>
      </c>
      <c r="J42" s="15"/>
      <c r="K42" s="16">
        <f t="shared" si="3"/>
        <v>90100.08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/>
      <c r="I43" s="55">
        <v>0</v>
      </c>
      <c r="J43" s="15"/>
      <c r="K43" s="16">
        <f t="shared" si="3"/>
        <v>0</v>
      </c>
    </row>
    <row r="44" spans="1:11" ht="18" customHeight="1">
      <c r="A44" s="5" t="s">
        <v>91</v>
      </c>
      <c r="B44" s="547"/>
      <c r="C44" s="548"/>
      <c r="D44" s="549"/>
      <c r="F44" s="82"/>
      <c r="G44" s="82"/>
      <c r="H44" s="82"/>
      <c r="I44" s="83">
        <v>0</v>
      </c>
      <c r="J44" s="82"/>
      <c r="K44" s="81">
        <f t="shared" si="3"/>
        <v>0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3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3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3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9956</v>
      </c>
      <c r="G49" s="23">
        <f t="shared" si="4"/>
        <v>0</v>
      </c>
      <c r="H49" s="16">
        <f t="shared" si="4"/>
        <v>7837997</v>
      </c>
      <c r="I49" s="16">
        <f t="shared" si="4"/>
        <v>5329837.9600000009</v>
      </c>
      <c r="J49" s="16">
        <f t="shared" si="4"/>
        <v>0</v>
      </c>
      <c r="K49" s="16">
        <f t="shared" si="4"/>
        <v>13167834.960000001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85" t="s">
        <v>240</v>
      </c>
      <c r="C53" s="559"/>
      <c r="D53" s="532"/>
      <c r="F53" s="54">
        <v>0</v>
      </c>
      <c r="G53" s="54">
        <v>33452</v>
      </c>
      <c r="H53" s="15">
        <v>2013996</v>
      </c>
      <c r="I53" s="55">
        <f t="shared" ref="I53:I59" si="5">H53*F$114</f>
        <v>1369517.28</v>
      </c>
      <c r="J53" s="15"/>
      <c r="K53" s="16">
        <f t="shared" ref="K53:K62" si="6">(H53+I53)-J53</f>
        <v>3383513.2800000003</v>
      </c>
    </row>
    <row r="54" spans="1:11" ht="18" customHeight="1">
      <c r="A54" s="5" t="s">
        <v>93</v>
      </c>
      <c r="B54" s="88" t="s">
        <v>239</v>
      </c>
      <c r="C54" s="66"/>
      <c r="D54" s="67"/>
      <c r="F54" s="54"/>
      <c r="G54" s="54">
        <v>4237</v>
      </c>
      <c r="H54" s="15">
        <v>1506448</v>
      </c>
      <c r="I54" s="55">
        <f t="shared" si="5"/>
        <v>1024384.6400000001</v>
      </c>
      <c r="J54" s="15"/>
      <c r="K54" s="16">
        <f t="shared" si="6"/>
        <v>2530832.64</v>
      </c>
    </row>
    <row r="55" spans="1:11" ht="18" customHeight="1">
      <c r="A55" s="5" t="s">
        <v>94</v>
      </c>
      <c r="B55" s="557" t="s">
        <v>238</v>
      </c>
      <c r="C55" s="531"/>
      <c r="D55" s="532"/>
      <c r="F55" s="54"/>
      <c r="G55" s="54"/>
      <c r="H55" s="15">
        <v>70000</v>
      </c>
      <c r="I55" s="55">
        <f t="shared" si="5"/>
        <v>47600</v>
      </c>
      <c r="J55" s="15"/>
      <c r="K55" s="16">
        <f t="shared" si="6"/>
        <v>117600</v>
      </c>
    </row>
    <row r="56" spans="1:11" ht="18" customHeight="1">
      <c r="A56" s="5" t="s">
        <v>95</v>
      </c>
      <c r="B56" s="557" t="s">
        <v>237</v>
      </c>
      <c r="C56" s="531"/>
      <c r="D56" s="532"/>
      <c r="F56" s="54" t="s">
        <v>740</v>
      </c>
      <c r="G56" s="54">
        <v>8985</v>
      </c>
      <c r="H56" s="15">
        <v>828436</v>
      </c>
      <c r="I56" s="55">
        <f t="shared" si="5"/>
        <v>563336.4800000001</v>
      </c>
      <c r="J56" s="15"/>
      <c r="K56" s="16">
        <f t="shared" si="6"/>
        <v>1391772.48</v>
      </c>
    </row>
    <row r="57" spans="1:11" ht="18" customHeight="1">
      <c r="A57" s="5" t="s">
        <v>96</v>
      </c>
      <c r="B57" s="557" t="s">
        <v>236</v>
      </c>
      <c r="C57" s="531"/>
      <c r="D57" s="532"/>
      <c r="F57" s="54">
        <v>24721</v>
      </c>
      <c r="G57" s="54">
        <v>17203</v>
      </c>
      <c r="H57" s="15">
        <v>1209337</v>
      </c>
      <c r="I57" s="55">
        <f t="shared" si="5"/>
        <v>822349.16</v>
      </c>
      <c r="J57" s="15">
        <v>975272</v>
      </c>
      <c r="K57" s="16">
        <f t="shared" si="6"/>
        <v>1056414.1600000001</v>
      </c>
    </row>
    <row r="58" spans="1:11" ht="18" customHeight="1">
      <c r="A58" s="5" t="s">
        <v>97</v>
      </c>
      <c r="B58" s="88" t="s">
        <v>235</v>
      </c>
      <c r="C58" s="66"/>
      <c r="D58" s="67"/>
      <c r="F58" s="54">
        <v>4201</v>
      </c>
      <c r="G58" s="54">
        <v>535</v>
      </c>
      <c r="H58" s="15">
        <v>366176</v>
      </c>
      <c r="I58" s="55">
        <f t="shared" si="5"/>
        <v>248999.68000000002</v>
      </c>
      <c r="J58" s="15">
        <v>291117</v>
      </c>
      <c r="K58" s="16">
        <f t="shared" si="6"/>
        <v>324058.68000000005</v>
      </c>
    </row>
    <row r="59" spans="1:11" ht="18" customHeight="1">
      <c r="A59" s="5" t="s">
        <v>98</v>
      </c>
      <c r="B59" s="557" t="s">
        <v>234</v>
      </c>
      <c r="C59" s="531"/>
      <c r="D59" s="532"/>
      <c r="F59" s="54">
        <v>1020</v>
      </c>
      <c r="G59" s="54">
        <v>804</v>
      </c>
      <c r="H59" s="15">
        <v>112200</v>
      </c>
      <c r="I59" s="55">
        <f t="shared" si="5"/>
        <v>76296</v>
      </c>
      <c r="J59" s="15"/>
      <c r="K59" s="16">
        <f t="shared" si="6"/>
        <v>188496</v>
      </c>
    </row>
    <row r="60" spans="1:11" ht="18" customHeight="1">
      <c r="A60" s="5" t="s">
        <v>99</v>
      </c>
      <c r="B60" s="65"/>
      <c r="C60" s="66"/>
      <c r="D60" s="67"/>
      <c r="F60" s="54"/>
      <c r="G60" s="54"/>
      <c r="H60" s="15"/>
      <c r="I60" s="55">
        <v>0</v>
      </c>
      <c r="J60" s="15"/>
      <c r="K60" s="16">
        <f t="shared" si="6"/>
        <v>0</v>
      </c>
    </row>
    <row r="61" spans="1:11" ht="18" customHeight="1">
      <c r="A61" s="5" t="s">
        <v>100</v>
      </c>
      <c r="B61" s="65"/>
      <c r="C61" s="66"/>
      <c r="D61" s="67"/>
      <c r="F61" s="54"/>
      <c r="G61" s="54"/>
      <c r="H61" s="15"/>
      <c r="I61" s="55">
        <v>0</v>
      </c>
      <c r="J61" s="15"/>
      <c r="K61" s="16">
        <f t="shared" si="6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6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7">SUM(F53:F62)</f>
        <v>29942</v>
      </c>
      <c r="G64" s="18">
        <f t="shared" si="7"/>
        <v>65216</v>
      </c>
      <c r="H64" s="16">
        <f t="shared" si="7"/>
        <v>6106593</v>
      </c>
      <c r="I64" s="16">
        <f t="shared" si="7"/>
        <v>4152483.24</v>
      </c>
      <c r="J64" s="16">
        <f t="shared" si="7"/>
        <v>1266389</v>
      </c>
      <c r="K64" s="16">
        <f t="shared" si="7"/>
        <v>8992687.2400000002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/>
      <c r="G68" s="51"/>
      <c r="H68" s="15">
        <v>155993</v>
      </c>
      <c r="I68" s="55">
        <f>H68*F$114</f>
        <v>106075.24</v>
      </c>
      <c r="J68" s="51"/>
      <c r="K68" s="16">
        <f>(H68+I68)-J68</f>
        <v>262068.24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65"/>
      <c r="C70" s="66"/>
      <c r="D70" s="67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65"/>
      <c r="C71" s="66"/>
      <c r="D71" s="67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71"/>
      <c r="C72" s="72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8">SUM(F68:F72)</f>
        <v>0</v>
      </c>
      <c r="G74" s="21">
        <f t="shared" si="8"/>
        <v>0</v>
      </c>
      <c r="H74" s="21">
        <f t="shared" si="8"/>
        <v>155993</v>
      </c>
      <c r="I74" s="53">
        <f t="shared" si="8"/>
        <v>106075.24</v>
      </c>
      <c r="J74" s="21">
        <f t="shared" si="8"/>
        <v>0</v>
      </c>
      <c r="K74" s="56">
        <f t="shared" si="8"/>
        <v>262068.24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/>
      <c r="G77" s="54"/>
      <c r="H77" s="15">
        <f>13030888-11466931</f>
        <v>1563957</v>
      </c>
      <c r="I77" s="55">
        <v>176696</v>
      </c>
      <c r="J77" s="15"/>
      <c r="K77" s="16">
        <f>(H77+I77)-J77</f>
        <v>1740653</v>
      </c>
    </row>
    <row r="78" spans="1:11" ht="18" customHeight="1">
      <c r="A78" s="5" t="s">
        <v>108</v>
      </c>
      <c r="B78" s="1" t="s">
        <v>55</v>
      </c>
      <c r="F78" s="54"/>
      <c r="G78" s="54"/>
      <c r="H78" s="15"/>
      <c r="I78" s="55"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>
        <v>996</v>
      </c>
      <c r="G79" s="54"/>
      <c r="H79" s="15">
        <f>47170-H80</f>
        <v>45366</v>
      </c>
      <c r="I79" s="55">
        <f>H79*F$114</f>
        <v>30848.880000000001</v>
      </c>
      <c r="J79" s="15"/>
      <c r="K79" s="16">
        <f>(H79+I79)-J79</f>
        <v>76214.880000000005</v>
      </c>
    </row>
    <row r="80" spans="1:11" ht="18" customHeight="1">
      <c r="A80" s="5" t="s">
        <v>110</v>
      </c>
      <c r="B80" s="1" t="s">
        <v>56</v>
      </c>
      <c r="F80" s="54"/>
      <c r="G80" s="54"/>
      <c r="H80" s="15">
        <v>1804</v>
      </c>
      <c r="I80" s="55">
        <f>H80*F$114</f>
        <v>1226.72</v>
      </c>
      <c r="J80" s="15"/>
      <c r="K80" s="16">
        <f>(H80+I80)-J80</f>
        <v>3030.7200000000003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9">SUM(F77:F80)</f>
        <v>996</v>
      </c>
      <c r="G82" s="21">
        <f t="shared" si="9"/>
        <v>0</v>
      </c>
      <c r="H82" s="56">
        <f t="shared" si="9"/>
        <v>1611127</v>
      </c>
      <c r="I82" s="56">
        <f t="shared" si="9"/>
        <v>208771.6</v>
      </c>
      <c r="J82" s="56">
        <f t="shared" si="9"/>
        <v>0</v>
      </c>
      <c r="K82" s="56">
        <f t="shared" si="9"/>
        <v>1819898.5999999999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>
        <v>85000</v>
      </c>
      <c r="I86" s="55">
        <f t="shared" ref="I86:I96" si="10">H86*F$114</f>
        <v>57800.000000000007</v>
      </c>
      <c r="J86" s="15"/>
      <c r="K86" s="16">
        <f t="shared" ref="K86:K96" si="11">(H86+I86)-J86</f>
        <v>142800</v>
      </c>
    </row>
    <row r="87" spans="1:11" ht="18" customHeight="1">
      <c r="A87" s="5" t="s">
        <v>114</v>
      </c>
      <c r="B87" s="1" t="s">
        <v>14</v>
      </c>
      <c r="F87" s="54"/>
      <c r="G87" s="54"/>
      <c r="H87" s="15">
        <v>468986</v>
      </c>
      <c r="I87" s="55">
        <f t="shared" si="10"/>
        <v>318910.48000000004</v>
      </c>
      <c r="J87" s="15">
        <v>394731</v>
      </c>
      <c r="K87" s="16">
        <f t="shared" si="11"/>
        <v>393165.48</v>
      </c>
    </row>
    <row r="88" spans="1:11" ht="18" customHeight="1">
      <c r="A88" s="5" t="s">
        <v>115</v>
      </c>
      <c r="B88" s="1" t="s">
        <v>116</v>
      </c>
      <c r="F88" s="54">
        <v>25</v>
      </c>
      <c r="G88" s="54">
        <v>3</v>
      </c>
      <c r="H88" s="15">
        <v>18711</v>
      </c>
      <c r="I88" s="55">
        <f t="shared" si="10"/>
        <v>12723.480000000001</v>
      </c>
      <c r="J88" s="15"/>
      <c r="K88" s="16">
        <f t="shared" si="11"/>
        <v>31434.480000000003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 t="shared" si="10"/>
        <v>0</v>
      </c>
      <c r="J89" s="15"/>
      <c r="K89" s="16">
        <f t="shared" si="11"/>
        <v>0</v>
      </c>
    </row>
    <row r="90" spans="1:11" ht="18" customHeight="1">
      <c r="A90" s="5" t="s">
        <v>118</v>
      </c>
      <c r="B90" s="550" t="s">
        <v>59</v>
      </c>
      <c r="C90" s="551"/>
      <c r="F90" s="54">
        <v>2489</v>
      </c>
      <c r="G90" s="54">
        <v>30</v>
      </c>
      <c r="H90" s="15">
        <v>131830</v>
      </c>
      <c r="I90" s="55">
        <f t="shared" si="10"/>
        <v>89644.400000000009</v>
      </c>
      <c r="J90" s="15"/>
      <c r="K90" s="16">
        <f t="shared" si="11"/>
        <v>221474.40000000002</v>
      </c>
    </row>
    <row r="91" spans="1:11" ht="18" customHeight="1">
      <c r="A91" s="5" t="s">
        <v>119</v>
      </c>
      <c r="B91" s="1" t="s">
        <v>60</v>
      </c>
      <c r="F91" s="54"/>
      <c r="G91" s="54"/>
      <c r="H91" s="15"/>
      <c r="I91" s="55">
        <f t="shared" si="10"/>
        <v>0</v>
      </c>
      <c r="J91" s="15"/>
      <c r="K91" s="16">
        <f t="shared" si="11"/>
        <v>0</v>
      </c>
    </row>
    <row r="92" spans="1:11" ht="18" customHeight="1">
      <c r="A92" s="5" t="s">
        <v>120</v>
      </c>
      <c r="B92" s="1" t="s">
        <v>121</v>
      </c>
      <c r="F92" s="38"/>
      <c r="G92" s="38"/>
      <c r="H92" s="39"/>
      <c r="I92" s="55">
        <f t="shared" si="10"/>
        <v>0</v>
      </c>
      <c r="J92" s="39"/>
      <c r="K92" s="16">
        <f t="shared" si="11"/>
        <v>0</v>
      </c>
    </row>
    <row r="93" spans="1:11" ht="18" customHeight="1">
      <c r="A93" s="5" t="s">
        <v>122</v>
      </c>
      <c r="B93" s="1" t="s">
        <v>123</v>
      </c>
      <c r="F93" s="54">
        <v>979</v>
      </c>
      <c r="G93" s="54"/>
      <c r="H93" s="15">
        <v>214085</v>
      </c>
      <c r="I93" s="55">
        <f t="shared" si="10"/>
        <v>145577.80000000002</v>
      </c>
      <c r="J93" s="15"/>
      <c r="K93" s="16">
        <f t="shared" si="11"/>
        <v>359662.80000000005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f t="shared" si="10"/>
        <v>0</v>
      </c>
      <c r="J94" s="15"/>
      <c r="K94" s="16">
        <f t="shared" si="11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10"/>
        <v>0</v>
      </c>
      <c r="J95" s="15"/>
      <c r="K95" s="16">
        <f t="shared" si="11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10"/>
        <v>0</v>
      </c>
      <c r="J96" s="15"/>
      <c r="K96" s="16">
        <f t="shared" si="11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2">SUM(F86:F96)</f>
        <v>3493</v>
      </c>
      <c r="G98" s="18">
        <f t="shared" si="12"/>
        <v>33</v>
      </c>
      <c r="H98" s="18">
        <f t="shared" si="12"/>
        <v>918612</v>
      </c>
      <c r="I98" s="18">
        <f t="shared" si="12"/>
        <v>624656.16</v>
      </c>
      <c r="J98" s="18">
        <f t="shared" si="12"/>
        <v>394731</v>
      </c>
      <c r="K98" s="18">
        <f t="shared" si="12"/>
        <v>1148537.1600000001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>
        <v>457</v>
      </c>
      <c r="G102" s="54"/>
      <c r="H102" s="15">
        <v>81772</v>
      </c>
      <c r="I102" s="55">
        <f>H102*F$114</f>
        <v>55604.960000000006</v>
      </c>
      <c r="J102" s="15"/>
      <c r="K102" s="16">
        <f>(H102+I102)-J102</f>
        <v>137376.96000000002</v>
      </c>
    </row>
    <row r="103" spans="1:11" ht="18" customHeight="1">
      <c r="A103" s="5" t="s">
        <v>132</v>
      </c>
      <c r="B103" s="550" t="s">
        <v>62</v>
      </c>
      <c r="C103" s="550"/>
      <c r="F103" s="54"/>
      <c r="G103" s="54"/>
      <c r="H103" s="15"/>
      <c r="I103" s="55">
        <f>H103*F$114</f>
        <v>0</v>
      </c>
      <c r="J103" s="15"/>
      <c r="K103" s="16">
        <f>(H103+I103)-J103</f>
        <v>0</v>
      </c>
    </row>
    <row r="104" spans="1:11" ht="18" customHeight="1">
      <c r="A104" s="5" t="s">
        <v>128</v>
      </c>
      <c r="B104" s="530"/>
      <c r="C104" s="531"/>
      <c r="D104" s="532"/>
      <c r="F104" s="54"/>
      <c r="G104" s="54"/>
      <c r="H104" s="15"/>
      <c r="I104" s="55">
        <f>H104*F$114</f>
        <v>0</v>
      </c>
      <c r="J104" s="15"/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3">SUM(F102:F106)</f>
        <v>457</v>
      </c>
      <c r="G108" s="18">
        <f t="shared" si="13"/>
        <v>0</v>
      </c>
      <c r="H108" s="16">
        <f t="shared" si="13"/>
        <v>81772</v>
      </c>
      <c r="I108" s="16">
        <f t="shared" si="13"/>
        <v>55604.960000000006</v>
      </c>
      <c r="J108" s="16">
        <f t="shared" si="13"/>
        <v>0</v>
      </c>
      <c r="K108" s="16">
        <f t="shared" si="13"/>
        <v>137376.96000000002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14458293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0.68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386333842</v>
      </c>
    </row>
    <row r="118" spans="1:6" ht="18" customHeight="1">
      <c r="A118" s="5" t="s">
        <v>173</v>
      </c>
      <c r="B118" t="s">
        <v>18</v>
      </c>
      <c r="F118" s="15">
        <f>20297007+1708251</f>
        <v>22005258</v>
      </c>
    </row>
    <row r="119" spans="1:6" ht="18" customHeight="1">
      <c r="A119" s="5" t="s">
        <v>174</v>
      </c>
      <c r="B119" s="2" t="s">
        <v>19</v>
      </c>
      <c r="F119" s="56">
        <f>SUM(F117:F118)</f>
        <v>408339100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399668124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f>+F119-F121</f>
        <v>8670976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-22986000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f>+F123+F125</f>
        <v>-14315024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4">SUM(F131:F135)</f>
        <v>0</v>
      </c>
      <c r="G137" s="18">
        <f t="shared" si="14"/>
        <v>0</v>
      </c>
      <c r="H137" s="16">
        <f t="shared" si="14"/>
        <v>0</v>
      </c>
      <c r="I137" s="16">
        <f t="shared" si="14"/>
        <v>0</v>
      </c>
      <c r="J137" s="16">
        <f t="shared" si="14"/>
        <v>0</v>
      </c>
      <c r="K137" s="16">
        <f t="shared" si="14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5">F36</f>
        <v>27913</v>
      </c>
      <c r="G141" s="41">
        <f t="shared" si="15"/>
        <v>28075</v>
      </c>
      <c r="H141" s="41">
        <f t="shared" si="15"/>
        <v>3693946</v>
      </c>
      <c r="I141" s="41">
        <f t="shared" si="15"/>
        <v>2511883.2800000003</v>
      </c>
      <c r="J141" s="41">
        <f t="shared" si="15"/>
        <v>91766</v>
      </c>
      <c r="K141" s="41">
        <f t="shared" si="15"/>
        <v>6114063.2800000012</v>
      </c>
    </row>
    <row r="142" spans="1:11" ht="18" customHeight="1">
      <c r="A142" s="5" t="s">
        <v>142</v>
      </c>
      <c r="B142" s="2" t="s">
        <v>65</v>
      </c>
      <c r="F142" s="41">
        <f t="shared" ref="F142:K142" si="16">F49</f>
        <v>9956</v>
      </c>
      <c r="G142" s="41">
        <f t="shared" si="16"/>
        <v>0</v>
      </c>
      <c r="H142" s="41">
        <f t="shared" si="16"/>
        <v>7837997</v>
      </c>
      <c r="I142" s="41">
        <f t="shared" si="16"/>
        <v>5329837.9600000009</v>
      </c>
      <c r="J142" s="41">
        <f t="shared" si="16"/>
        <v>0</v>
      </c>
      <c r="K142" s="41">
        <f t="shared" si="16"/>
        <v>13167834.960000001</v>
      </c>
    </row>
    <row r="143" spans="1:11" ht="18" customHeight="1">
      <c r="A143" s="5" t="s">
        <v>144</v>
      </c>
      <c r="B143" s="2" t="s">
        <v>66</v>
      </c>
      <c r="F143" s="41">
        <f t="shared" ref="F143:K143" si="17">F64</f>
        <v>29942</v>
      </c>
      <c r="G143" s="41">
        <f t="shared" si="17"/>
        <v>65216</v>
      </c>
      <c r="H143" s="41">
        <f t="shared" si="17"/>
        <v>6106593</v>
      </c>
      <c r="I143" s="41">
        <f t="shared" si="17"/>
        <v>4152483.24</v>
      </c>
      <c r="J143" s="41">
        <f t="shared" si="17"/>
        <v>1266389</v>
      </c>
      <c r="K143" s="41">
        <f t="shared" si="17"/>
        <v>8992687.2400000002</v>
      </c>
    </row>
    <row r="144" spans="1:11" ht="18" customHeight="1">
      <c r="A144" s="5" t="s">
        <v>146</v>
      </c>
      <c r="B144" s="2" t="s">
        <v>67</v>
      </c>
      <c r="F144" s="41">
        <f t="shared" ref="F144:K144" si="18">F74</f>
        <v>0</v>
      </c>
      <c r="G144" s="41">
        <f t="shared" si="18"/>
        <v>0</v>
      </c>
      <c r="H144" s="41">
        <f t="shared" si="18"/>
        <v>155993</v>
      </c>
      <c r="I144" s="41">
        <f t="shared" si="18"/>
        <v>106075.24</v>
      </c>
      <c r="J144" s="41">
        <f t="shared" si="18"/>
        <v>0</v>
      </c>
      <c r="K144" s="41">
        <f t="shared" si="18"/>
        <v>262068.24</v>
      </c>
    </row>
    <row r="145" spans="1:11" ht="18" customHeight="1">
      <c r="A145" s="5" t="s">
        <v>148</v>
      </c>
      <c r="B145" s="2" t="s">
        <v>68</v>
      </c>
      <c r="F145" s="41">
        <f t="shared" ref="F145:K145" si="19">F82</f>
        <v>996</v>
      </c>
      <c r="G145" s="41">
        <f t="shared" si="19"/>
        <v>0</v>
      </c>
      <c r="H145" s="41">
        <f t="shared" si="19"/>
        <v>1611127</v>
      </c>
      <c r="I145" s="41">
        <f t="shared" si="19"/>
        <v>208771.6</v>
      </c>
      <c r="J145" s="41">
        <f t="shared" si="19"/>
        <v>0</v>
      </c>
      <c r="K145" s="41">
        <f t="shared" si="19"/>
        <v>1819898.5999999999</v>
      </c>
    </row>
    <row r="146" spans="1:11" ht="18" customHeight="1">
      <c r="A146" s="5" t="s">
        <v>150</v>
      </c>
      <c r="B146" s="2" t="s">
        <v>69</v>
      </c>
      <c r="F146" s="41">
        <f t="shared" ref="F146:K146" si="20">F98</f>
        <v>3493</v>
      </c>
      <c r="G146" s="41">
        <f t="shared" si="20"/>
        <v>33</v>
      </c>
      <c r="H146" s="41">
        <f t="shared" si="20"/>
        <v>918612</v>
      </c>
      <c r="I146" s="41">
        <f t="shared" si="20"/>
        <v>624656.16</v>
      </c>
      <c r="J146" s="41">
        <f t="shared" si="20"/>
        <v>394731</v>
      </c>
      <c r="K146" s="41">
        <f t="shared" si="20"/>
        <v>1148537.1600000001</v>
      </c>
    </row>
    <row r="147" spans="1:11" ht="18" customHeight="1">
      <c r="A147" s="5" t="s">
        <v>153</v>
      </c>
      <c r="B147" s="2" t="s">
        <v>61</v>
      </c>
      <c r="F147" s="18">
        <f t="shared" ref="F147:K147" si="21">F108</f>
        <v>457</v>
      </c>
      <c r="G147" s="18">
        <f t="shared" si="21"/>
        <v>0</v>
      </c>
      <c r="H147" s="18">
        <f t="shared" si="21"/>
        <v>81772</v>
      </c>
      <c r="I147" s="18">
        <f t="shared" si="21"/>
        <v>55604.960000000006</v>
      </c>
      <c r="J147" s="18">
        <f t="shared" si="21"/>
        <v>0</v>
      </c>
      <c r="K147" s="18">
        <f t="shared" si="21"/>
        <v>137376.96000000002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14458293</v>
      </c>
    </row>
    <row r="149" spans="1:11" ht="18" customHeight="1">
      <c r="A149" s="5" t="s">
        <v>163</v>
      </c>
      <c r="B149" s="2" t="s">
        <v>71</v>
      </c>
      <c r="F149" s="18">
        <f t="shared" ref="F149:K149" si="22">F137</f>
        <v>0</v>
      </c>
      <c r="G149" s="18">
        <f t="shared" si="22"/>
        <v>0</v>
      </c>
      <c r="H149" s="18">
        <f t="shared" si="22"/>
        <v>0</v>
      </c>
      <c r="I149" s="18">
        <f t="shared" si="22"/>
        <v>0</v>
      </c>
      <c r="J149" s="18">
        <f t="shared" si="22"/>
        <v>0</v>
      </c>
      <c r="K149" s="18">
        <f t="shared" si="22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11466931</v>
      </c>
      <c r="I150" s="18">
        <f>I18</f>
        <v>0</v>
      </c>
      <c r="J150" s="18">
        <f>J18</f>
        <v>9805660</v>
      </c>
      <c r="K150" s="18">
        <f>K18</f>
        <v>1661271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3">SUM(F141:F150)</f>
        <v>72757</v>
      </c>
      <c r="G152" s="49">
        <f t="shared" si="23"/>
        <v>93324</v>
      </c>
      <c r="H152" s="49">
        <f t="shared" si="23"/>
        <v>31872971</v>
      </c>
      <c r="I152" s="49">
        <f t="shared" si="23"/>
        <v>12989312.440000001</v>
      </c>
      <c r="J152" s="49">
        <f t="shared" si="23"/>
        <v>11558546</v>
      </c>
      <c r="K152" s="49">
        <f t="shared" si="23"/>
        <v>47762030.440000005</v>
      </c>
    </row>
    <row r="154" spans="1:11" ht="18" customHeight="1">
      <c r="A154" s="6" t="s">
        <v>168</v>
      </c>
      <c r="B154" s="2" t="s">
        <v>28</v>
      </c>
      <c r="F154" s="64">
        <f>K152/F121</f>
        <v>0.1195042275625664</v>
      </c>
    </row>
    <row r="155" spans="1:11" ht="18" customHeight="1">
      <c r="A155" s="6" t="s">
        <v>169</v>
      </c>
      <c r="B155" s="2" t="s">
        <v>72</v>
      </c>
      <c r="F155" s="64">
        <f>K152/F127</f>
        <v>-3.3364967072356988</v>
      </c>
      <c r="G155" s="2"/>
    </row>
    <row r="156" spans="1:11" ht="18" customHeight="1">
      <c r="G156" s="2"/>
    </row>
  </sheetData>
  <mergeCells count="34">
    <mergeCell ref="B57:D57"/>
    <mergeCell ref="B94:D94"/>
    <mergeCell ref="B52:C52"/>
    <mergeCell ref="B90:C90"/>
    <mergeCell ref="B53:D53"/>
    <mergeCell ref="B55:D55"/>
    <mergeCell ref="B56:D56"/>
    <mergeCell ref="B59:D59"/>
    <mergeCell ref="B62:D62"/>
    <mergeCell ref="D2:H2"/>
    <mergeCell ref="B45:D45"/>
    <mergeCell ref="B46:D46"/>
    <mergeCell ref="B47:D47"/>
    <mergeCell ref="B34:D34"/>
    <mergeCell ref="C11:G11"/>
    <mergeCell ref="B41:C41"/>
    <mergeCell ref="B44:D44"/>
    <mergeCell ref="B13:H13"/>
    <mergeCell ref="B31:D31"/>
    <mergeCell ref="C5:G5"/>
    <mergeCell ref="C6:G6"/>
    <mergeCell ref="C7:G7"/>
    <mergeCell ref="C9:G9"/>
    <mergeCell ref="C10:G10"/>
    <mergeCell ref="B30:D30"/>
    <mergeCell ref="B96:D96"/>
    <mergeCell ref="B95:D95"/>
    <mergeCell ref="B103:C103"/>
    <mergeCell ref="B134:D134"/>
    <mergeCell ref="B135:D135"/>
    <mergeCell ref="B133:D133"/>
    <mergeCell ref="B104:D104"/>
    <mergeCell ref="B105:D105"/>
    <mergeCell ref="B106:D106"/>
  </mergeCells>
  <printOptions headings="1" gridLines="1"/>
  <pageMargins left="0.17" right="0.16" top="0.35" bottom="0.32" header="0.17" footer="0.17"/>
  <pageSetup scale="58" fitToHeight="3" orientation="landscape" r:id="rId1"/>
  <headerFooter alignWithMargins="0">
    <oddFooter>&amp;L&amp;Z&amp;F.xls&amp;C&amp;P of &amp;N&amp;R&amp;D</oddFooter>
  </headerFooter>
  <rowBreaks count="3" manualBreakCount="3">
    <brk id="37" max="10" man="1"/>
    <brk id="74" max="10" man="1"/>
    <brk id="109" max="10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70" zoomScaleNormal="70" zoomScaleSheetLayoutView="70" workbookViewId="0">
      <selection activeCell="C7" sqref="C7:G7"/>
    </sheetView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84" t="s">
        <v>619</v>
      </c>
      <c r="D5" s="534"/>
      <c r="E5" s="534"/>
      <c r="F5" s="534"/>
      <c r="G5" s="535"/>
    </row>
    <row r="6" spans="1:11" ht="18" customHeight="1">
      <c r="B6" s="5" t="s">
        <v>3</v>
      </c>
      <c r="C6" s="655">
        <v>1</v>
      </c>
      <c r="D6" s="656"/>
      <c r="E6" s="656"/>
      <c r="F6" s="656"/>
      <c r="G6" s="657"/>
    </row>
    <row r="7" spans="1:11" ht="18" customHeight="1">
      <c r="B7" s="5" t="s">
        <v>4</v>
      </c>
      <c r="C7" s="640">
        <v>2383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618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617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616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7626009</v>
      </c>
      <c r="I18" s="55">
        <v>0</v>
      </c>
      <c r="J18" s="15">
        <v>6521192</v>
      </c>
      <c r="K18" s="16">
        <f>(H18+I18)-J18</f>
        <v>1104817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4410.55</v>
      </c>
      <c r="G21" s="54">
        <v>145959</v>
      </c>
      <c r="H21" s="15">
        <v>358544</v>
      </c>
      <c r="I21" s="55">
        <f t="shared" ref="I21:I34" si="0">H21*F$114</f>
        <v>240941.56800000003</v>
      </c>
      <c r="J21" s="15">
        <v>13518</v>
      </c>
      <c r="K21" s="16">
        <f t="shared" ref="K21:K34" si="1">(H21+I21)-J21</f>
        <v>585967.56799999997</v>
      </c>
    </row>
    <row r="22" spans="1:11" ht="18" customHeight="1">
      <c r="A22" s="5" t="s">
        <v>76</v>
      </c>
      <c r="B22" t="s">
        <v>6</v>
      </c>
      <c r="F22" s="54">
        <v>2701</v>
      </c>
      <c r="G22" s="54">
        <v>8936</v>
      </c>
      <c r="H22" s="15">
        <v>98801</v>
      </c>
      <c r="I22" s="55">
        <f t="shared" si="0"/>
        <v>66394.271999999997</v>
      </c>
      <c r="J22" s="15">
        <v>0</v>
      </c>
      <c r="K22" s="16">
        <f t="shared" si="1"/>
        <v>165195.272</v>
      </c>
    </row>
    <row r="23" spans="1:11" ht="18" customHeight="1">
      <c r="A23" s="5" t="s">
        <v>77</v>
      </c>
      <c r="B23" t="s">
        <v>43</v>
      </c>
      <c r="F23" s="54"/>
      <c r="G23" s="54"/>
      <c r="H23" s="15"/>
      <c r="I23" s="55">
        <f t="shared" si="0"/>
        <v>0</v>
      </c>
      <c r="J23" s="15"/>
      <c r="K23" s="16">
        <f t="shared" si="1"/>
        <v>0</v>
      </c>
    </row>
    <row r="24" spans="1:11" ht="18" customHeight="1">
      <c r="A24" s="5" t="s">
        <v>78</v>
      </c>
      <c r="B24" t="s">
        <v>44</v>
      </c>
      <c r="F24" s="54"/>
      <c r="G24" s="54"/>
      <c r="H24" s="15"/>
      <c r="I24" s="55">
        <f t="shared" si="0"/>
        <v>0</v>
      </c>
      <c r="J24" s="15"/>
      <c r="K24" s="16">
        <f t="shared" si="1"/>
        <v>0</v>
      </c>
    </row>
    <row r="25" spans="1:11" ht="18" customHeight="1">
      <c r="A25" s="5" t="s">
        <v>79</v>
      </c>
      <c r="B25" t="s">
        <v>5</v>
      </c>
      <c r="F25" s="54">
        <v>429.7</v>
      </c>
      <c r="G25" s="54">
        <v>1564</v>
      </c>
      <c r="H25" s="15">
        <v>15670</v>
      </c>
      <c r="I25" s="55">
        <f t="shared" si="0"/>
        <v>10530.24</v>
      </c>
      <c r="J25" s="15">
        <v>0</v>
      </c>
      <c r="K25" s="16">
        <f t="shared" si="1"/>
        <v>26200.239999999998</v>
      </c>
    </row>
    <row r="26" spans="1:11" ht="18" customHeight="1">
      <c r="A26" s="5" t="s">
        <v>80</v>
      </c>
      <c r="B26" t="s">
        <v>45</v>
      </c>
      <c r="F26" s="54"/>
      <c r="G26" s="54"/>
      <c r="H26" s="15"/>
      <c r="I26" s="55">
        <f t="shared" si="0"/>
        <v>0</v>
      </c>
      <c r="J26" s="15"/>
      <c r="K26" s="16">
        <f t="shared" si="1"/>
        <v>0</v>
      </c>
    </row>
    <row r="27" spans="1:11" ht="18" customHeight="1">
      <c r="A27" s="5" t="s">
        <v>81</v>
      </c>
      <c r="B27" t="s">
        <v>46</v>
      </c>
      <c r="F27" s="54"/>
      <c r="G27" s="54"/>
      <c r="H27" s="15"/>
      <c r="I27" s="55">
        <f t="shared" si="0"/>
        <v>0</v>
      </c>
      <c r="J27" s="15"/>
      <c r="K27" s="16">
        <f t="shared" si="1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15"/>
      <c r="I28" s="55">
        <f t="shared" si="0"/>
        <v>0</v>
      </c>
      <c r="J28" s="15"/>
      <c r="K28" s="16">
        <f t="shared" si="1"/>
        <v>0</v>
      </c>
    </row>
    <row r="29" spans="1:11" ht="18" customHeight="1">
      <c r="A29" s="5" t="s">
        <v>83</v>
      </c>
      <c r="B29" t="s">
        <v>48</v>
      </c>
      <c r="F29" s="54">
        <v>6986.75</v>
      </c>
      <c r="G29" s="54">
        <v>11556</v>
      </c>
      <c r="H29" s="15">
        <v>322961</v>
      </c>
      <c r="I29" s="55">
        <f t="shared" si="0"/>
        <v>217029.79200000002</v>
      </c>
      <c r="J29" s="15">
        <v>6724</v>
      </c>
      <c r="K29" s="16">
        <f t="shared" si="1"/>
        <v>533266.79200000002</v>
      </c>
    </row>
    <row r="30" spans="1:11" ht="18" customHeight="1">
      <c r="A30" s="5" t="s">
        <v>84</v>
      </c>
      <c r="B30" s="547"/>
      <c r="C30" s="548"/>
      <c r="D30" s="549"/>
      <c r="F30" s="54"/>
      <c r="G30" s="54"/>
      <c r="H30" s="15"/>
      <c r="I30" s="55">
        <f t="shared" si="0"/>
        <v>0</v>
      </c>
      <c r="J30" s="15"/>
      <c r="K30" s="16">
        <f t="shared" si="1"/>
        <v>0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 t="shared" si="0"/>
        <v>0</v>
      </c>
      <c r="J31" s="15"/>
      <c r="K31" s="16">
        <f t="shared" si="1"/>
        <v>0</v>
      </c>
    </row>
    <row r="32" spans="1:11" ht="18" customHeight="1">
      <c r="A32" s="5" t="s">
        <v>134</v>
      </c>
      <c r="B32" s="284"/>
      <c r="C32" s="285"/>
      <c r="D32" s="286"/>
      <c r="F32" s="54"/>
      <c r="G32" s="52" t="s">
        <v>85</v>
      </c>
      <c r="H32" s="15"/>
      <c r="I32" s="55">
        <f t="shared" si="0"/>
        <v>0</v>
      </c>
      <c r="J32" s="15"/>
      <c r="K32" s="16">
        <f t="shared" si="1"/>
        <v>0</v>
      </c>
    </row>
    <row r="33" spans="1:11" ht="18" customHeight="1">
      <c r="A33" s="5" t="s">
        <v>135</v>
      </c>
      <c r="B33" s="284"/>
      <c r="C33" s="285"/>
      <c r="D33" s="286"/>
      <c r="F33" s="54"/>
      <c r="G33" s="52" t="s">
        <v>85</v>
      </c>
      <c r="H33" s="15"/>
      <c r="I33" s="55">
        <f t="shared" si="0"/>
        <v>0</v>
      </c>
      <c r="J33" s="15"/>
      <c r="K33" s="16">
        <f t="shared" si="1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 t="shared" si="0"/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14528</v>
      </c>
      <c r="G36" s="18">
        <f t="shared" si="2"/>
        <v>168015</v>
      </c>
      <c r="H36" s="18">
        <f t="shared" si="2"/>
        <v>795976</v>
      </c>
      <c r="I36" s="16">
        <f t="shared" si="2"/>
        <v>534895.87199999997</v>
      </c>
      <c r="J36" s="16">
        <f t="shared" si="2"/>
        <v>20242</v>
      </c>
      <c r="K36" s="16">
        <f t="shared" si="2"/>
        <v>1310629.872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/>
      <c r="G40" s="54"/>
      <c r="H40" s="15"/>
      <c r="I40" s="55">
        <v>0</v>
      </c>
      <c r="J40" s="15"/>
      <c r="K40" s="16">
        <f t="shared" ref="K40:K47" si="3">(H40+I40)-J40</f>
        <v>0</v>
      </c>
    </row>
    <row r="41" spans="1:11" ht="18" customHeight="1">
      <c r="A41" s="5" t="s">
        <v>88</v>
      </c>
      <c r="B41" s="550" t="s">
        <v>50</v>
      </c>
      <c r="C41" s="551"/>
      <c r="F41" s="54"/>
      <c r="G41" s="54"/>
      <c r="H41" s="15"/>
      <c r="I41" s="55">
        <v>0</v>
      </c>
      <c r="J41" s="15"/>
      <c r="K41" s="16">
        <f t="shared" si="3"/>
        <v>0</v>
      </c>
    </row>
    <row r="42" spans="1:11" ht="18" customHeight="1">
      <c r="A42" s="5" t="s">
        <v>89</v>
      </c>
      <c r="B42" s="1" t="s">
        <v>11</v>
      </c>
      <c r="F42" s="54">
        <f>5291.25+88</f>
        <v>5379.25</v>
      </c>
      <c r="G42" s="54">
        <f>11+2953</f>
        <v>2964</v>
      </c>
      <c r="H42" s="15">
        <f>3567+202532</f>
        <v>206099</v>
      </c>
      <c r="I42" s="55">
        <v>0</v>
      </c>
      <c r="J42" s="15">
        <f>8810</f>
        <v>8810</v>
      </c>
      <c r="K42" s="16">
        <f t="shared" si="3"/>
        <v>197289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/>
      <c r="I43" s="55">
        <v>0</v>
      </c>
      <c r="J43" s="15"/>
      <c r="K43" s="16">
        <f t="shared" si="3"/>
        <v>0</v>
      </c>
    </row>
    <row r="44" spans="1:11" ht="18" customHeight="1">
      <c r="A44" s="5" t="s">
        <v>91</v>
      </c>
      <c r="B44" s="547" t="s">
        <v>615</v>
      </c>
      <c r="C44" s="548"/>
      <c r="D44" s="549"/>
      <c r="F44" s="82">
        <f>1165.75-674</f>
        <v>491.75</v>
      </c>
      <c r="G44" s="82">
        <f>2546-875</f>
        <v>1671</v>
      </c>
      <c r="H44" s="82">
        <f>67211-27606</f>
        <v>39605</v>
      </c>
      <c r="I44" s="83">
        <v>0</v>
      </c>
      <c r="J44" s="82">
        <f>15450-10200</f>
        <v>5250</v>
      </c>
      <c r="K44" s="81">
        <f t="shared" si="3"/>
        <v>34355</v>
      </c>
    </row>
    <row r="45" spans="1:11" ht="18" customHeight="1">
      <c r="A45" s="5" t="s">
        <v>139</v>
      </c>
      <c r="B45" s="547" t="s">
        <v>614</v>
      </c>
      <c r="C45" s="548"/>
      <c r="D45" s="549"/>
      <c r="F45" s="54">
        <v>674</v>
      </c>
      <c r="G45" s="54">
        <v>875</v>
      </c>
      <c r="H45" s="15">
        <v>27606</v>
      </c>
      <c r="I45" s="55">
        <v>0</v>
      </c>
      <c r="J45" s="15">
        <v>10200</v>
      </c>
      <c r="K45" s="16">
        <f t="shared" si="3"/>
        <v>17406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3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3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6545</v>
      </c>
      <c r="G49" s="23">
        <f t="shared" si="4"/>
        <v>5510</v>
      </c>
      <c r="H49" s="16">
        <f t="shared" si="4"/>
        <v>273310</v>
      </c>
      <c r="I49" s="16">
        <f t="shared" si="4"/>
        <v>0</v>
      </c>
      <c r="J49" s="16">
        <f t="shared" si="4"/>
        <v>24260</v>
      </c>
      <c r="K49" s="16">
        <f t="shared" si="4"/>
        <v>249050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85" t="s">
        <v>613</v>
      </c>
      <c r="C53" s="559"/>
      <c r="D53" s="532"/>
      <c r="F53" s="54">
        <v>22801</v>
      </c>
      <c r="G53" s="54">
        <v>9314</v>
      </c>
      <c r="H53" s="15">
        <v>1355628</v>
      </c>
      <c r="I53" s="55">
        <f>H53*F$114</f>
        <v>910982.01600000006</v>
      </c>
      <c r="J53" s="15">
        <v>765111</v>
      </c>
      <c r="K53" s="16">
        <f t="shared" ref="K53:K62" si="5">(H53+I53)-J53</f>
        <v>1501499.0159999998</v>
      </c>
    </row>
    <row r="54" spans="1:11" ht="18" customHeight="1">
      <c r="A54" s="5" t="s">
        <v>93</v>
      </c>
      <c r="B54" s="289" t="s">
        <v>612</v>
      </c>
      <c r="C54" s="282"/>
      <c r="D54" s="283"/>
      <c r="F54" s="54">
        <v>4204</v>
      </c>
      <c r="G54" s="54">
        <v>3895</v>
      </c>
      <c r="H54" s="15">
        <v>112979</v>
      </c>
      <c r="I54" s="55">
        <f>H54*F$114</f>
        <v>75921.888000000006</v>
      </c>
      <c r="J54" s="15">
        <v>0</v>
      </c>
      <c r="K54" s="16">
        <f t="shared" si="5"/>
        <v>188900.88800000001</v>
      </c>
    </row>
    <row r="55" spans="1:11" ht="18" customHeight="1">
      <c r="A55" s="5" t="s">
        <v>94</v>
      </c>
      <c r="B55" s="557" t="s">
        <v>611</v>
      </c>
      <c r="C55" s="531"/>
      <c r="D55" s="532"/>
      <c r="F55" s="54">
        <v>3760</v>
      </c>
      <c r="G55" s="54">
        <v>1125</v>
      </c>
      <c r="H55" s="15">
        <v>5839243</v>
      </c>
      <c r="I55" s="55">
        <v>0</v>
      </c>
      <c r="J55" s="15">
        <v>982628</v>
      </c>
      <c r="K55" s="16">
        <f t="shared" si="5"/>
        <v>4856615</v>
      </c>
    </row>
    <row r="56" spans="1:11" ht="18" customHeight="1">
      <c r="A56" s="5" t="s">
        <v>95</v>
      </c>
      <c r="B56" s="557" t="s">
        <v>610</v>
      </c>
      <c r="C56" s="531"/>
      <c r="D56" s="532"/>
      <c r="F56" s="54" t="s">
        <v>740</v>
      </c>
      <c r="G56" s="54">
        <v>13289</v>
      </c>
      <c r="H56" s="15">
        <v>1497666</v>
      </c>
      <c r="I56" s="55">
        <f>H56*F$114</f>
        <v>1006431.552</v>
      </c>
      <c r="J56" s="15">
        <v>936007</v>
      </c>
      <c r="K56" s="16">
        <f t="shared" si="5"/>
        <v>1568090.5520000001</v>
      </c>
    </row>
    <row r="57" spans="1:11" ht="18" customHeight="1">
      <c r="A57" s="5" t="s">
        <v>96</v>
      </c>
      <c r="B57" s="557" t="s">
        <v>609</v>
      </c>
      <c r="C57" s="531"/>
      <c r="D57" s="532"/>
      <c r="F57" s="54">
        <v>0</v>
      </c>
      <c r="G57" s="54">
        <v>49</v>
      </c>
      <c r="H57" s="15">
        <v>90453</v>
      </c>
      <c r="I57" s="55">
        <v>0</v>
      </c>
      <c r="J57" s="15">
        <v>0</v>
      </c>
      <c r="K57" s="16">
        <f t="shared" si="5"/>
        <v>90453</v>
      </c>
    </row>
    <row r="58" spans="1:11" ht="18" customHeight="1">
      <c r="A58" s="5" t="s">
        <v>97</v>
      </c>
      <c r="B58" s="289" t="s">
        <v>608</v>
      </c>
      <c r="C58" s="282"/>
      <c r="D58" s="283"/>
      <c r="F58" s="54">
        <v>0</v>
      </c>
      <c r="G58" s="54">
        <v>0</v>
      </c>
      <c r="H58" s="15">
        <v>1526062</v>
      </c>
      <c r="I58" s="55">
        <v>0</v>
      </c>
      <c r="J58" s="15">
        <v>0</v>
      </c>
      <c r="K58" s="16">
        <f t="shared" si="5"/>
        <v>1526062</v>
      </c>
    </row>
    <row r="59" spans="1:11" ht="18" customHeight="1">
      <c r="A59" s="5" t="s">
        <v>98</v>
      </c>
      <c r="B59" s="557" t="s">
        <v>607</v>
      </c>
      <c r="C59" s="531"/>
      <c r="D59" s="532"/>
      <c r="F59" s="54">
        <v>0</v>
      </c>
      <c r="G59" s="54">
        <v>6383</v>
      </c>
      <c r="H59" s="15">
        <v>1220735</v>
      </c>
      <c r="I59" s="55">
        <v>0</v>
      </c>
      <c r="J59" s="15">
        <v>0</v>
      </c>
      <c r="K59" s="16">
        <f t="shared" si="5"/>
        <v>1220735</v>
      </c>
    </row>
    <row r="60" spans="1:11" ht="18" customHeight="1">
      <c r="A60" s="5" t="s">
        <v>99</v>
      </c>
      <c r="B60" s="281"/>
      <c r="C60" s="282"/>
      <c r="D60" s="283"/>
      <c r="F60" s="54"/>
      <c r="G60" s="54"/>
      <c r="H60" s="15"/>
      <c r="I60" s="55">
        <v>0</v>
      </c>
      <c r="J60" s="15"/>
      <c r="K60" s="16">
        <f t="shared" si="5"/>
        <v>0</v>
      </c>
    </row>
    <row r="61" spans="1:11" ht="18" customHeight="1">
      <c r="A61" s="5" t="s">
        <v>100</v>
      </c>
      <c r="B61" s="281"/>
      <c r="C61" s="282"/>
      <c r="D61" s="283"/>
      <c r="F61" s="54"/>
      <c r="G61" s="54"/>
      <c r="H61" s="15"/>
      <c r="I61" s="55">
        <v>0</v>
      </c>
      <c r="J61" s="15"/>
      <c r="K61" s="16">
        <f t="shared" si="5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5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6">SUM(F53:F62)</f>
        <v>30765</v>
      </c>
      <c r="G64" s="18">
        <f t="shared" si="6"/>
        <v>34055</v>
      </c>
      <c r="H64" s="16">
        <f t="shared" si="6"/>
        <v>11642766</v>
      </c>
      <c r="I64" s="16">
        <f t="shared" si="6"/>
        <v>1993335.4560000002</v>
      </c>
      <c r="J64" s="16">
        <f t="shared" si="6"/>
        <v>2683746</v>
      </c>
      <c r="K64" s="16">
        <f t="shared" si="6"/>
        <v>10952355.456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>
        <v>3930</v>
      </c>
      <c r="G68" s="51">
        <v>996</v>
      </c>
      <c r="H68" s="51">
        <v>518671</v>
      </c>
      <c r="I68" s="55">
        <v>0</v>
      </c>
      <c r="J68" s="51">
        <v>340626</v>
      </c>
      <c r="K68" s="16">
        <f>(H68+I68)-J68</f>
        <v>178045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281"/>
      <c r="C70" s="282"/>
      <c r="D70" s="283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281"/>
      <c r="C71" s="282"/>
      <c r="D71" s="283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287"/>
      <c r="C72" s="288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7">SUM(F68:F72)</f>
        <v>3930</v>
      </c>
      <c r="G74" s="21">
        <f t="shared" si="7"/>
        <v>996</v>
      </c>
      <c r="H74" s="21">
        <f t="shared" si="7"/>
        <v>518671</v>
      </c>
      <c r="I74" s="53">
        <f t="shared" si="7"/>
        <v>0</v>
      </c>
      <c r="J74" s="21">
        <f t="shared" si="7"/>
        <v>340626</v>
      </c>
      <c r="K74" s="56">
        <f t="shared" si="7"/>
        <v>178045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/>
      <c r="G77" s="54"/>
      <c r="H77" s="15">
        <v>239267</v>
      </c>
      <c r="I77" s="55">
        <v>0</v>
      </c>
      <c r="J77" s="15">
        <v>239091</v>
      </c>
      <c r="K77" s="16">
        <f>(H77+I77)-J77</f>
        <v>176</v>
      </c>
    </row>
    <row r="78" spans="1:11" ht="18" customHeight="1">
      <c r="A78" s="5" t="s">
        <v>108</v>
      </c>
      <c r="B78" s="1" t="s">
        <v>55</v>
      </c>
      <c r="F78" s="54">
        <v>5530.86</v>
      </c>
      <c r="G78" s="54">
        <v>398</v>
      </c>
      <c r="H78" s="15">
        <v>280562</v>
      </c>
      <c r="I78" s="55">
        <v>0</v>
      </c>
      <c r="J78" s="15">
        <v>193922</v>
      </c>
      <c r="K78" s="16">
        <f>(H78+I78)-J78</f>
        <v>86640</v>
      </c>
    </row>
    <row r="79" spans="1:11" ht="18" customHeight="1">
      <c r="A79" s="5" t="s">
        <v>109</v>
      </c>
      <c r="B79" s="1" t="s">
        <v>13</v>
      </c>
      <c r="F79" s="54">
        <v>839.95</v>
      </c>
      <c r="G79" s="54">
        <v>2962</v>
      </c>
      <c r="H79" s="15">
        <v>95027</v>
      </c>
      <c r="I79" s="55">
        <v>0</v>
      </c>
      <c r="J79" s="15">
        <v>2240</v>
      </c>
      <c r="K79" s="16">
        <f>(H79+I79)-J79</f>
        <v>92787</v>
      </c>
    </row>
    <row r="80" spans="1:11" ht="18" customHeight="1">
      <c r="A80" s="5" t="s">
        <v>110</v>
      </c>
      <c r="B80" s="1" t="s">
        <v>56</v>
      </c>
      <c r="F80" s="54">
        <v>11.5</v>
      </c>
      <c r="G80" s="54">
        <v>60</v>
      </c>
      <c r="H80" s="15">
        <v>465</v>
      </c>
      <c r="I80" s="55">
        <v>0</v>
      </c>
      <c r="J80" s="15">
        <v>0</v>
      </c>
      <c r="K80" s="16">
        <f>(H80+I80)-J80</f>
        <v>465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8">SUM(F77:F80)</f>
        <v>6382.3099999999995</v>
      </c>
      <c r="G82" s="21">
        <f t="shared" si="8"/>
        <v>3420</v>
      </c>
      <c r="H82" s="56">
        <f t="shared" si="8"/>
        <v>615321</v>
      </c>
      <c r="I82" s="56">
        <f t="shared" si="8"/>
        <v>0</v>
      </c>
      <c r="J82" s="56">
        <f t="shared" si="8"/>
        <v>435253</v>
      </c>
      <c r="K82" s="56">
        <f t="shared" si="8"/>
        <v>180068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f t="shared" ref="I86:I96" si="9">H86*F$114</f>
        <v>0</v>
      </c>
      <c r="J86" s="15"/>
      <c r="K86" s="16">
        <f t="shared" ref="K86:K96" si="10">(H86+I86)-J86</f>
        <v>0</v>
      </c>
    </row>
    <row r="87" spans="1:11" ht="18" customHeight="1">
      <c r="A87" s="5" t="s">
        <v>114</v>
      </c>
      <c r="B87" s="1" t="s">
        <v>14</v>
      </c>
      <c r="F87" s="54"/>
      <c r="G87" s="54"/>
      <c r="H87" s="15"/>
      <c r="I87" s="55">
        <f t="shared" si="9"/>
        <v>0</v>
      </c>
      <c r="J87" s="15"/>
      <c r="K87" s="16">
        <f t="shared" si="10"/>
        <v>0</v>
      </c>
    </row>
    <row r="88" spans="1:11" ht="18" customHeight="1">
      <c r="A88" s="5" t="s">
        <v>115</v>
      </c>
      <c r="B88" s="1" t="s">
        <v>116</v>
      </c>
      <c r="F88" s="54">
        <v>82.5</v>
      </c>
      <c r="G88" s="54">
        <v>0</v>
      </c>
      <c r="H88" s="15">
        <v>3962</v>
      </c>
      <c r="I88" s="55">
        <f t="shared" si="9"/>
        <v>2662.4639999999999</v>
      </c>
      <c r="J88" s="15">
        <v>0</v>
      </c>
      <c r="K88" s="16">
        <f t="shared" si="10"/>
        <v>6624.4639999999999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 t="shared" si="9"/>
        <v>0</v>
      </c>
      <c r="J89" s="15"/>
      <c r="K89" s="16">
        <f t="shared" si="10"/>
        <v>0</v>
      </c>
    </row>
    <row r="90" spans="1:11" ht="18" customHeight="1">
      <c r="A90" s="5" t="s">
        <v>118</v>
      </c>
      <c r="B90" s="550" t="s">
        <v>59</v>
      </c>
      <c r="C90" s="551"/>
      <c r="F90" s="54"/>
      <c r="G90" s="54"/>
      <c r="H90" s="15"/>
      <c r="I90" s="55">
        <f t="shared" si="9"/>
        <v>0</v>
      </c>
      <c r="J90" s="15"/>
      <c r="K90" s="16">
        <f t="shared" si="10"/>
        <v>0</v>
      </c>
    </row>
    <row r="91" spans="1:11" ht="18" customHeight="1">
      <c r="A91" s="5" t="s">
        <v>119</v>
      </c>
      <c r="B91" s="1" t="s">
        <v>60</v>
      </c>
      <c r="F91" s="54">
        <v>4</v>
      </c>
      <c r="G91" s="54">
        <v>23</v>
      </c>
      <c r="H91" s="15">
        <v>144</v>
      </c>
      <c r="I91" s="55">
        <f t="shared" si="9"/>
        <v>96.768000000000001</v>
      </c>
      <c r="J91" s="15">
        <v>144</v>
      </c>
      <c r="K91" s="16">
        <f t="shared" si="10"/>
        <v>96.768000000000001</v>
      </c>
    </row>
    <row r="92" spans="1:11" ht="18" customHeight="1">
      <c r="A92" s="5" t="s">
        <v>120</v>
      </c>
      <c r="B92" s="1" t="s">
        <v>121</v>
      </c>
      <c r="F92" s="38"/>
      <c r="G92" s="38"/>
      <c r="H92" s="39"/>
      <c r="I92" s="55">
        <f t="shared" si="9"/>
        <v>0</v>
      </c>
      <c r="J92" s="39"/>
      <c r="K92" s="16">
        <f t="shared" si="10"/>
        <v>0</v>
      </c>
    </row>
    <row r="93" spans="1:11" ht="18" customHeight="1">
      <c r="A93" s="5" t="s">
        <v>122</v>
      </c>
      <c r="B93" s="1" t="s">
        <v>123</v>
      </c>
      <c r="F93" s="54"/>
      <c r="G93" s="54"/>
      <c r="H93" s="15"/>
      <c r="I93" s="55">
        <f t="shared" si="9"/>
        <v>0</v>
      </c>
      <c r="J93" s="15"/>
      <c r="K93" s="16">
        <f t="shared" si="10"/>
        <v>0</v>
      </c>
    </row>
    <row r="94" spans="1:11" ht="18" customHeight="1">
      <c r="A94" s="5" t="s">
        <v>124</v>
      </c>
      <c r="B94" s="557" t="s">
        <v>606</v>
      </c>
      <c r="C94" s="531"/>
      <c r="D94" s="532"/>
      <c r="F94" s="54">
        <v>52</v>
      </c>
      <c r="G94" s="54">
        <v>0</v>
      </c>
      <c r="H94" s="15">
        <v>4041</v>
      </c>
      <c r="I94" s="55">
        <f t="shared" si="9"/>
        <v>2715.5520000000001</v>
      </c>
      <c r="J94" s="15">
        <v>0</v>
      </c>
      <c r="K94" s="16">
        <f t="shared" si="10"/>
        <v>6756.5519999999997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9"/>
        <v>0</v>
      </c>
      <c r="J95" s="15"/>
      <c r="K95" s="16">
        <f t="shared" si="10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9"/>
        <v>0</v>
      </c>
      <c r="J96" s="15"/>
      <c r="K96" s="16">
        <f t="shared" si="10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1">SUM(F86:F96)</f>
        <v>138.5</v>
      </c>
      <c r="G98" s="18">
        <f t="shared" si="11"/>
        <v>23</v>
      </c>
      <c r="H98" s="18">
        <f t="shared" si="11"/>
        <v>8147</v>
      </c>
      <c r="I98" s="18">
        <f t="shared" si="11"/>
        <v>5474.7839999999997</v>
      </c>
      <c r="J98" s="18">
        <f t="shared" si="11"/>
        <v>144</v>
      </c>
      <c r="K98" s="18">
        <f t="shared" si="11"/>
        <v>13477.784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>
        <v>285</v>
      </c>
      <c r="G102" s="54">
        <v>7</v>
      </c>
      <c r="H102" s="15">
        <v>21024</v>
      </c>
      <c r="I102" s="55">
        <f>H102*F$114</f>
        <v>14128.128000000001</v>
      </c>
      <c r="J102" s="15">
        <v>0</v>
      </c>
      <c r="K102" s="16">
        <f>(H102+I102)-J102</f>
        <v>35152.127999999997</v>
      </c>
    </row>
    <row r="103" spans="1:11" ht="18" customHeight="1">
      <c r="A103" s="5" t="s">
        <v>132</v>
      </c>
      <c r="B103" s="550" t="s">
        <v>62</v>
      </c>
      <c r="C103" s="550"/>
      <c r="F103" s="54"/>
      <c r="G103" s="54"/>
      <c r="H103" s="15"/>
      <c r="I103" s="55">
        <f>H103*F$114</f>
        <v>0</v>
      </c>
      <c r="J103" s="15"/>
      <c r="K103" s="16">
        <f>(H103+I103)-J103</f>
        <v>0</v>
      </c>
    </row>
    <row r="104" spans="1:11" ht="18" customHeight="1">
      <c r="A104" s="5" t="s">
        <v>128</v>
      </c>
      <c r="B104" s="530"/>
      <c r="C104" s="531"/>
      <c r="D104" s="532"/>
      <c r="F104" s="54"/>
      <c r="G104" s="54"/>
      <c r="H104" s="15"/>
      <c r="I104" s="55">
        <f>H104*F$114</f>
        <v>0</v>
      </c>
      <c r="J104" s="15"/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2">SUM(F102:F106)</f>
        <v>285</v>
      </c>
      <c r="G108" s="18">
        <f t="shared" si="12"/>
        <v>7</v>
      </c>
      <c r="H108" s="16">
        <f t="shared" si="12"/>
        <v>21024</v>
      </c>
      <c r="I108" s="16">
        <f t="shared" si="12"/>
        <v>14128.128000000001</v>
      </c>
      <c r="J108" s="16">
        <f t="shared" si="12"/>
        <v>0</v>
      </c>
      <c r="K108" s="16">
        <f t="shared" si="12"/>
        <v>35152.127999999997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13422389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0.67200000000000004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276163513</v>
      </c>
    </row>
    <row r="118" spans="1:6" ht="18" customHeight="1">
      <c r="A118" s="5" t="s">
        <v>173</v>
      </c>
      <c r="B118" t="s">
        <v>18</v>
      </c>
      <c r="F118" s="15">
        <f>9948355+6</f>
        <v>9948361</v>
      </c>
    </row>
    <row r="119" spans="1:6" ht="18" customHeight="1">
      <c r="A119" s="5" t="s">
        <v>174</v>
      </c>
      <c r="B119" s="2" t="s">
        <v>19</v>
      </c>
      <c r="F119" s="56">
        <f>SUM(F117:F118)</f>
        <v>286111874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283953366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f>F119-F121</f>
        <v>2158508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2553900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f>F123+F125</f>
        <v>4712408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3">SUM(F131:F135)</f>
        <v>0</v>
      </c>
      <c r="G137" s="18">
        <f t="shared" si="13"/>
        <v>0</v>
      </c>
      <c r="H137" s="16">
        <f t="shared" si="13"/>
        <v>0</v>
      </c>
      <c r="I137" s="16">
        <f t="shared" si="13"/>
        <v>0</v>
      </c>
      <c r="J137" s="16">
        <f t="shared" si="13"/>
        <v>0</v>
      </c>
      <c r="K137" s="16">
        <f t="shared" si="13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4">F36</f>
        <v>14528</v>
      </c>
      <c r="G141" s="41">
        <f t="shared" si="14"/>
        <v>168015</v>
      </c>
      <c r="H141" s="41">
        <f t="shared" si="14"/>
        <v>795976</v>
      </c>
      <c r="I141" s="41">
        <f t="shared" si="14"/>
        <v>534895.87199999997</v>
      </c>
      <c r="J141" s="41">
        <f t="shared" si="14"/>
        <v>20242</v>
      </c>
      <c r="K141" s="41">
        <f t="shared" si="14"/>
        <v>1310629.872</v>
      </c>
    </row>
    <row r="142" spans="1:11" ht="18" customHeight="1">
      <c r="A142" s="5" t="s">
        <v>142</v>
      </c>
      <c r="B142" s="2" t="s">
        <v>65</v>
      </c>
      <c r="F142" s="41">
        <f t="shared" ref="F142:K142" si="15">F49</f>
        <v>6545</v>
      </c>
      <c r="G142" s="41">
        <f t="shared" si="15"/>
        <v>5510</v>
      </c>
      <c r="H142" s="41">
        <f t="shared" si="15"/>
        <v>273310</v>
      </c>
      <c r="I142" s="41">
        <f t="shared" si="15"/>
        <v>0</v>
      </c>
      <c r="J142" s="41">
        <f t="shared" si="15"/>
        <v>24260</v>
      </c>
      <c r="K142" s="41">
        <f t="shared" si="15"/>
        <v>249050</v>
      </c>
    </row>
    <row r="143" spans="1:11" ht="18" customHeight="1">
      <c r="A143" s="5" t="s">
        <v>144</v>
      </c>
      <c r="B143" s="2" t="s">
        <v>66</v>
      </c>
      <c r="F143" s="41">
        <f t="shared" ref="F143:K143" si="16">F64</f>
        <v>30765</v>
      </c>
      <c r="G143" s="41">
        <f t="shared" si="16"/>
        <v>34055</v>
      </c>
      <c r="H143" s="41">
        <f t="shared" si="16"/>
        <v>11642766</v>
      </c>
      <c r="I143" s="41">
        <f t="shared" si="16"/>
        <v>1993335.4560000002</v>
      </c>
      <c r="J143" s="41">
        <f t="shared" si="16"/>
        <v>2683746</v>
      </c>
      <c r="K143" s="41">
        <f t="shared" si="16"/>
        <v>10952355.456</v>
      </c>
    </row>
    <row r="144" spans="1:11" ht="18" customHeight="1">
      <c r="A144" s="5" t="s">
        <v>146</v>
      </c>
      <c r="B144" s="2" t="s">
        <v>67</v>
      </c>
      <c r="F144" s="41">
        <f t="shared" ref="F144:K144" si="17">F74</f>
        <v>3930</v>
      </c>
      <c r="G144" s="41">
        <f t="shared" si="17"/>
        <v>996</v>
      </c>
      <c r="H144" s="41">
        <f t="shared" si="17"/>
        <v>518671</v>
      </c>
      <c r="I144" s="41">
        <f t="shared" si="17"/>
        <v>0</v>
      </c>
      <c r="J144" s="41">
        <f t="shared" si="17"/>
        <v>340626</v>
      </c>
      <c r="K144" s="41">
        <f t="shared" si="17"/>
        <v>178045</v>
      </c>
    </row>
    <row r="145" spans="1:11" ht="18" customHeight="1">
      <c r="A145" s="5" t="s">
        <v>148</v>
      </c>
      <c r="B145" s="2" t="s">
        <v>68</v>
      </c>
      <c r="F145" s="41">
        <f t="shared" ref="F145:K145" si="18">F82</f>
        <v>6382.3099999999995</v>
      </c>
      <c r="G145" s="41">
        <f t="shared" si="18"/>
        <v>3420</v>
      </c>
      <c r="H145" s="41">
        <f t="shared" si="18"/>
        <v>615321</v>
      </c>
      <c r="I145" s="41">
        <f t="shared" si="18"/>
        <v>0</v>
      </c>
      <c r="J145" s="41">
        <f t="shared" si="18"/>
        <v>435253</v>
      </c>
      <c r="K145" s="41">
        <f t="shared" si="18"/>
        <v>180068</v>
      </c>
    </row>
    <row r="146" spans="1:11" ht="18" customHeight="1">
      <c r="A146" s="5" t="s">
        <v>150</v>
      </c>
      <c r="B146" s="2" t="s">
        <v>69</v>
      </c>
      <c r="F146" s="41">
        <f t="shared" ref="F146:K146" si="19">F98</f>
        <v>138.5</v>
      </c>
      <c r="G146" s="41">
        <f t="shared" si="19"/>
        <v>23</v>
      </c>
      <c r="H146" s="41">
        <f t="shared" si="19"/>
        <v>8147</v>
      </c>
      <c r="I146" s="41">
        <f t="shared" si="19"/>
        <v>5474.7839999999997</v>
      </c>
      <c r="J146" s="41">
        <f t="shared" si="19"/>
        <v>144</v>
      </c>
      <c r="K146" s="41">
        <f t="shared" si="19"/>
        <v>13477.784</v>
      </c>
    </row>
    <row r="147" spans="1:11" ht="18" customHeight="1">
      <c r="A147" s="5" t="s">
        <v>153</v>
      </c>
      <c r="B147" s="2" t="s">
        <v>61</v>
      </c>
      <c r="F147" s="18">
        <f t="shared" ref="F147:K147" si="20">F108</f>
        <v>285</v>
      </c>
      <c r="G147" s="18">
        <f t="shared" si="20"/>
        <v>7</v>
      </c>
      <c r="H147" s="18">
        <f t="shared" si="20"/>
        <v>21024</v>
      </c>
      <c r="I147" s="18">
        <f t="shared" si="20"/>
        <v>14128.128000000001</v>
      </c>
      <c r="J147" s="18">
        <f t="shared" si="20"/>
        <v>0</v>
      </c>
      <c r="K147" s="18">
        <f t="shared" si="20"/>
        <v>35152.127999999997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13422389</v>
      </c>
    </row>
    <row r="149" spans="1:11" ht="18" customHeight="1">
      <c r="A149" s="5" t="s">
        <v>163</v>
      </c>
      <c r="B149" s="2" t="s">
        <v>71</v>
      </c>
      <c r="F149" s="18">
        <f t="shared" ref="F149:K149" si="21">F137</f>
        <v>0</v>
      </c>
      <c r="G149" s="18">
        <f t="shared" si="21"/>
        <v>0</v>
      </c>
      <c r="H149" s="18">
        <f t="shared" si="21"/>
        <v>0</v>
      </c>
      <c r="I149" s="18">
        <f t="shared" si="21"/>
        <v>0</v>
      </c>
      <c r="J149" s="18">
        <f t="shared" si="21"/>
        <v>0</v>
      </c>
      <c r="K149" s="18">
        <f t="shared" si="21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7626009</v>
      </c>
      <c r="I150" s="18">
        <f>I18</f>
        <v>0</v>
      </c>
      <c r="J150" s="18">
        <f>J18</f>
        <v>6521192</v>
      </c>
      <c r="K150" s="18">
        <f>K18</f>
        <v>1104817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2">SUM(F141:F150)</f>
        <v>62573.81</v>
      </c>
      <c r="G152" s="49">
        <f t="shared" si="22"/>
        <v>212026</v>
      </c>
      <c r="H152" s="49">
        <f t="shared" si="22"/>
        <v>21501224</v>
      </c>
      <c r="I152" s="49">
        <f t="shared" si="22"/>
        <v>2547834.2400000002</v>
      </c>
      <c r="J152" s="49">
        <f t="shared" si="22"/>
        <v>10025463</v>
      </c>
      <c r="K152" s="49">
        <f t="shared" si="22"/>
        <v>27445984.240000002</v>
      </c>
    </row>
    <row r="154" spans="1:11" ht="18" customHeight="1">
      <c r="A154" s="6" t="s">
        <v>168</v>
      </c>
      <c r="B154" s="2" t="s">
        <v>28</v>
      </c>
      <c r="F154" s="64">
        <f>K152/F121</f>
        <v>9.6656661009610997E-2</v>
      </c>
    </row>
    <row r="155" spans="1:11" ht="18" customHeight="1">
      <c r="A155" s="6" t="s">
        <v>169</v>
      </c>
      <c r="B155" s="2" t="s">
        <v>72</v>
      </c>
      <c r="F155" s="64">
        <f>K152/F127</f>
        <v>5.8241952394614396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B134:D134"/>
    <mergeCell ref="B135:D135"/>
    <mergeCell ref="B133:D133"/>
    <mergeCell ref="B104:D104"/>
    <mergeCell ref="B105:D105"/>
    <mergeCell ref="B106:D106"/>
    <mergeCell ref="B62:D62"/>
    <mergeCell ref="B31:D31"/>
    <mergeCell ref="B103:C103"/>
    <mergeCell ref="B96:D96"/>
    <mergeCell ref="B95:D95"/>
    <mergeCell ref="B57:D57"/>
    <mergeCell ref="B94:D94"/>
    <mergeCell ref="B52:C52"/>
    <mergeCell ref="B90:C90"/>
    <mergeCell ref="B53:D53"/>
    <mergeCell ref="B55:D55"/>
    <mergeCell ref="B56:D56"/>
    <mergeCell ref="B59:D59"/>
    <mergeCell ref="D2:H2"/>
    <mergeCell ref="B45:D45"/>
    <mergeCell ref="B46:D46"/>
    <mergeCell ref="B47:D47"/>
    <mergeCell ref="B34:D34"/>
    <mergeCell ref="C11:G11"/>
    <mergeCell ref="B41:C41"/>
    <mergeCell ref="B44:D44"/>
    <mergeCell ref="B13:H13"/>
    <mergeCell ref="C5:G5"/>
    <mergeCell ref="C6:G6"/>
    <mergeCell ref="C7:G7"/>
    <mergeCell ref="C9:G9"/>
    <mergeCell ref="C10:G10"/>
    <mergeCell ref="B30:D30"/>
  </mergeCells>
  <printOptions headings="1" gridLines="1"/>
  <pageMargins left="0.17" right="0.16" top="0.35" bottom="0.32" header="0.17" footer="0.17"/>
  <pageSetup scale="59" fitToHeight="3" orientation="landscape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80" zoomScaleNormal="80" zoomScaleSheetLayoutView="8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84" t="s">
        <v>286</v>
      </c>
      <c r="D5" s="534"/>
      <c r="E5" s="534"/>
      <c r="F5" s="534"/>
      <c r="G5" s="535"/>
    </row>
    <row r="6" spans="1:11" ht="18" customHeight="1">
      <c r="B6" s="5" t="s">
        <v>3</v>
      </c>
      <c r="C6" s="664">
        <v>15</v>
      </c>
      <c r="D6" s="656"/>
      <c r="E6" s="656"/>
      <c r="F6" s="656"/>
      <c r="G6" s="657"/>
    </row>
    <row r="7" spans="1:11" ht="18" customHeight="1">
      <c r="B7" s="5" t="s">
        <v>4</v>
      </c>
      <c r="C7" s="640">
        <v>3538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285</v>
      </c>
      <c r="D9" s="534"/>
      <c r="E9" s="534"/>
      <c r="F9" s="534"/>
      <c r="G9" s="535"/>
    </row>
    <row r="10" spans="1:11" ht="18" customHeight="1">
      <c r="B10" s="5" t="s">
        <v>2</v>
      </c>
      <c r="C10" s="586" t="s">
        <v>284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283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11924085</v>
      </c>
      <c r="I18" s="55">
        <v>0</v>
      </c>
      <c r="J18" s="15">
        <v>10196584</v>
      </c>
      <c r="K18" s="16">
        <f>(H18+I18)-J18</f>
        <v>1727501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5560.3</v>
      </c>
      <c r="G21" s="54">
        <v>275409</v>
      </c>
      <c r="H21" s="15">
        <v>552262</v>
      </c>
      <c r="I21" s="55">
        <v>252513</v>
      </c>
      <c r="J21" s="15">
        <v>2165</v>
      </c>
      <c r="K21" s="16">
        <f t="shared" ref="K21:K34" si="0">(H21+I21)-J21</f>
        <v>802610</v>
      </c>
    </row>
    <row r="22" spans="1:11" ht="18" customHeight="1">
      <c r="A22" s="5" t="s">
        <v>76</v>
      </c>
      <c r="B22" t="s">
        <v>6</v>
      </c>
      <c r="F22" s="54"/>
      <c r="G22" s="54"/>
      <c r="H22" s="15"/>
      <c r="I22" s="55">
        <f>H22*F$114</f>
        <v>0</v>
      </c>
      <c r="J22" s="15"/>
      <c r="K22" s="16">
        <f t="shared" si="0"/>
        <v>0</v>
      </c>
    </row>
    <row r="23" spans="1:11" ht="18" customHeight="1">
      <c r="A23" s="5" t="s">
        <v>77</v>
      </c>
      <c r="B23" t="s">
        <v>43</v>
      </c>
      <c r="F23" s="54"/>
      <c r="G23" s="54"/>
      <c r="H23" s="15"/>
      <c r="I23" s="55">
        <f>H23*F$114</f>
        <v>0</v>
      </c>
      <c r="J23" s="15"/>
      <c r="K23" s="16">
        <f t="shared" si="0"/>
        <v>0</v>
      </c>
    </row>
    <row r="24" spans="1:11" ht="18" customHeight="1">
      <c r="A24" s="5" t="s">
        <v>78</v>
      </c>
      <c r="B24" t="s">
        <v>44</v>
      </c>
      <c r="F24" s="54">
        <v>7972.5</v>
      </c>
      <c r="G24" s="54">
        <v>618</v>
      </c>
      <c r="H24" s="15">
        <v>556216</v>
      </c>
      <c r="I24" s="55">
        <v>17190</v>
      </c>
      <c r="J24" s="15">
        <v>152754</v>
      </c>
      <c r="K24" s="16">
        <f t="shared" si="0"/>
        <v>420652</v>
      </c>
    </row>
    <row r="25" spans="1:11" ht="18" customHeight="1">
      <c r="A25" s="5" t="s">
        <v>79</v>
      </c>
      <c r="B25" t="s">
        <v>5</v>
      </c>
      <c r="F25" s="54"/>
      <c r="G25" s="54"/>
      <c r="H25" s="15"/>
      <c r="I25" s="55">
        <f>H25*F$114</f>
        <v>0</v>
      </c>
      <c r="J25" s="15"/>
      <c r="K25" s="16">
        <f t="shared" si="0"/>
        <v>0</v>
      </c>
    </row>
    <row r="26" spans="1:11" ht="18" customHeight="1">
      <c r="A26" s="5" t="s">
        <v>80</v>
      </c>
      <c r="B26" t="s">
        <v>45</v>
      </c>
      <c r="F26" s="54"/>
      <c r="G26" s="54"/>
      <c r="H26" s="15"/>
      <c r="I26" s="55">
        <f>H26*F$114</f>
        <v>0</v>
      </c>
      <c r="J26" s="15"/>
      <c r="K26" s="16">
        <f t="shared" si="0"/>
        <v>0</v>
      </c>
    </row>
    <row r="27" spans="1:11" ht="18" customHeight="1">
      <c r="A27" s="5" t="s">
        <v>81</v>
      </c>
      <c r="B27" t="s">
        <v>46</v>
      </c>
      <c r="F27" s="54"/>
      <c r="G27" s="54"/>
      <c r="H27" s="15"/>
      <c r="I27" s="55">
        <f>H27*F$114</f>
        <v>0</v>
      </c>
      <c r="J27" s="15"/>
      <c r="K27" s="16">
        <f t="shared" si="0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15"/>
      <c r="I28" s="55">
        <f>H28*F$114</f>
        <v>0</v>
      </c>
      <c r="J28" s="15"/>
      <c r="K28" s="16">
        <f t="shared" si="0"/>
        <v>0</v>
      </c>
    </row>
    <row r="29" spans="1:11" ht="18" customHeight="1">
      <c r="A29" s="5" t="s">
        <v>83</v>
      </c>
      <c r="B29" t="s">
        <v>48</v>
      </c>
      <c r="F29" s="54">
        <v>43</v>
      </c>
      <c r="G29" s="54">
        <v>145</v>
      </c>
      <c r="H29" s="15">
        <v>122491</v>
      </c>
      <c r="I29" s="55">
        <v>1552</v>
      </c>
      <c r="J29" s="15">
        <v>0</v>
      </c>
      <c r="K29" s="16">
        <f t="shared" si="0"/>
        <v>124043</v>
      </c>
    </row>
    <row r="30" spans="1:11" ht="18" customHeight="1">
      <c r="A30" s="5" t="s">
        <v>84</v>
      </c>
      <c r="B30" s="547" t="s">
        <v>282</v>
      </c>
      <c r="C30" s="548"/>
      <c r="D30" s="549"/>
      <c r="F30" s="54">
        <v>20</v>
      </c>
      <c r="G30" s="54">
        <v>55</v>
      </c>
      <c r="H30" s="15">
        <v>2141</v>
      </c>
      <c r="I30" s="55">
        <v>1284</v>
      </c>
      <c r="J30" s="15">
        <v>0</v>
      </c>
      <c r="K30" s="16">
        <f t="shared" si="0"/>
        <v>3425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>H31*F$114</f>
        <v>0</v>
      </c>
      <c r="J31" s="15"/>
      <c r="K31" s="16">
        <f t="shared" si="0"/>
        <v>0</v>
      </c>
    </row>
    <row r="32" spans="1:11" ht="18" customHeight="1">
      <c r="A32" s="5" t="s">
        <v>134</v>
      </c>
      <c r="B32" s="68"/>
      <c r="C32" s="69"/>
      <c r="D32" s="70"/>
      <c r="F32" s="54"/>
      <c r="G32" s="52" t="s">
        <v>85</v>
      </c>
      <c r="H32" s="15"/>
      <c r="I32" s="55">
        <f>H32*F$114</f>
        <v>0</v>
      </c>
      <c r="J32" s="15"/>
      <c r="K32" s="16">
        <f t="shared" si="0"/>
        <v>0</v>
      </c>
    </row>
    <row r="33" spans="1:11" ht="18" customHeight="1">
      <c r="A33" s="5" t="s">
        <v>135</v>
      </c>
      <c r="B33" s="68"/>
      <c r="C33" s="69"/>
      <c r="D33" s="70"/>
      <c r="F33" s="54"/>
      <c r="G33" s="52" t="s">
        <v>85</v>
      </c>
      <c r="H33" s="15"/>
      <c r="I33" s="55">
        <f>H33*F$114</f>
        <v>0</v>
      </c>
      <c r="J33" s="15"/>
      <c r="K33" s="16">
        <f t="shared" si="0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>H34*F$114</f>
        <v>0</v>
      </c>
      <c r="J34" s="15"/>
      <c r="K34" s="16">
        <f t="shared" si="0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1">SUM(F21:F34)</f>
        <v>13595.8</v>
      </c>
      <c r="G36" s="18">
        <f t="shared" si="1"/>
        <v>276227</v>
      </c>
      <c r="H36" s="18">
        <f t="shared" si="1"/>
        <v>1233110</v>
      </c>
      <c r="I36" s="16">
        <f t="shared" si="1"/>
        <v>272539</v>
      </c>
      <c r="J36" s="16">
        <f t="shared" si="1"/>
        <v>154919</v>
      </c>
      <c r="K36" s="16">
        <f t="shared" si="1"/>
        <v>1350730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>
        <v>84022</v>
      </c>
      <c r="G40" s="54">
        <v>200</v>
      </c>
      <c r="H40" s="15">
        <v>8066826</v>
      </c>
      <c r="I40" s="55">
        <v>4824839</v>
      </c>
      <c r="J40" s="15">
        <v>0</v>
      </c>
      <c r="K40" s="16">
        <f t="shared" ref="K40:K47" si="2">(H40+I40)-J40</f>
        <v>12891665</v>
      </c>
    </row>
    <row r="41" spans="1:11" ht="18" customHeight="1">
      <c r="A41" s="5" t="s">
        <v>88</v>
      </c>
      <c r="B41" s="550" t="s">
        <v>50</v>
      </c>
      <c r="C41" s="551"/>
      <c r="F41" s="54">
        <v>32467.5</v>
      </c>
      <c r="G41" s="54">
        <v>1127</v>
      </c>
      <c r="H41" s="15">
        <v>1392566</v>
      </c>
      <c r="I41" s="55">
        <v>816391</v>
      </c>
      <c r="J41" s="15">
        <v>2100</v>
      </c>
      <c r="K41" s="16">
        <f t="shared" si="2"/>
        <v>2206857</v>
      </c>
    </row>
    <row r="42" spans="1:11" ht="18" customHeight="1">
      <c r="A42" s="5" t="s">
        <v>89</v>
      </c>
      <c r="B42" s="1" t="s">
        <v>11</v>
      </c>
      <c r="F42" s="54">
        <v>1126</v>
      </c>
      <c r="G42" s="54">
        <v>63</v>
      </c>
      <c r="H42" s="15">
        <v>34987</v>
      </c>
      <c r="I42" s="55">
        <v>20323</v>
      </c>
      <c r="J42" s="15">
        <v>10000</v>
      </c>
      <c r="K42" s="16">
        <f t="shared" si="2"/>
        <v>45310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/>
      <c r="I43" s="55">
        <v>0</v>
      </c>
      <c r="J43" s="15"/>
      <c r="K43" s="16">
        <f t="shared" si="2"/>
        <v>0</v>
      </c>
    </row>
    <row r="44" spans="1:11" ht="18" customHeight="1">
      <c r="A44" s="5" t="s">
        <v>91</v>
      </c>
      <c r="B44" s="547"/>
      <c r="C44" s="548"/>
      <c r="D44" s="549"/>
      <c r="F44" s="82"/>
      <c r="G44" s="82"/>
      <c r="H44" s="82"/>
      <c r="I44" s="83">
        <v>0</v>
      </c>
      <c r="J44" s="82"/>
      <c r="K44" s="81">
        <f t="shared" si="2"/>
        <v>0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2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2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2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3">SUM(F40:F47)</f>
        <v>117615.5</v>
      </c>
      <c r="G49" s="23">
        <f t="shared" si="3"/>
        <v>1390</v>
      </c>
      <c r="H49" s="16">
        <f t="shared" si="3"/>
        <v>9494379</v>
      </c>
      <c r="I49" s="16">
        <f t="shared" si="3"/>
        <v>5661553</v>
      </c>
      <c r="J49" s="16">
        <f t="shared" si="3"/>
        <v>12100</v>
      </c>
      <c r="K49" s="16">
        <f t="shared" si="3"/>
        <v>15143832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85" t="s">
        <v>281</v>
      </c>
      <c r="C53" s="559"/>
      <c r="D53" s="532"/>
      <c r="F53" s="54">
        <v>0</v>
      </c>
      <c r="G53" s="54">
        <v>394</v>
      </c>
      <c r="H53" s="15">
        <v>231681</v>
      </c>
      <c r="I53" s="55">
        <v>0</v>
      </c>
      <c r="J53" s="15">
        <v>35752</v>
      </c>
      <c r="K53" s="16">
        <f t="shared" ref="K53:K62" si="4">(H53+I53)-J53</f>
        <v>195929</v>
      </c>
    </row>
    <row r="54" spans="1:11" ht="18" customHeight="1">
      <c r="A54" s="5" t="s">
        <v>93</v>
      </c>
      <c r="B54" s="65"/>
      <c r="C54" s="66"/>
      <c r="D54" s="67"/>
      <c r="F54" s="54"/>
      <c r="G54" s="54"/>
      <c r="H54" s="15"/>
      <c r="I54" s="55">
        <v>0</v>
      </c>
      <c r="J54" s="15"/>
      <c r="K54" s="16">
        <f t="shared" si="4"/>
        <v>0</v>
      </c>
    </row>
    <row r="55" spans="1:11" ht="18" customHeight="1">
      <c r="A55" s="5" t="s">
        <v>94</v>
      </c>
      <c r="B55" s="557" t="s">
        <v>250</v>
      </c>
      <c r="C55" s="531"/>
      <c r="D55" s="532"/>
      <c r="F55" s="54">
        <v>0</v>
      </c>
      <c r="G55" s="54">
        <v>0</v>
      </c>
      <c r="H55" s="15">
        <v>5701197</v>
      </c>
      <c r="I55" s="55">
        <v>0</v>
      </c>
      <c r="J55" s="15">
        <v>4136119</v>
      </c>
      <c r="K55" s="16">
        <f t="shared" si="4"/>
        <v>1565078</v>
      </c>
    </row>
    <row r="56" spans="1:11" ht="18" customHeight="1">
      <c r="A56" s="5" t="s">
        <v>95</v>
      </c>
      <c r="B56" s="530"/>
      <c r="C56" s="531"/>
      <c r="D56" s="532"/>
      <c r="F56" s="54" t="s">
        <v>740</v>
      </c>
      <c r="G56" s="54"/>
      <c r="H56" s="15"/>
      <c r="I56" s="55">
        <v>0</v>
      </c>
      <c r="J56" s="15"/>
      <c r="K56" s="16">
        <f t="shared" si="4"/>
        <v>0</v>
      </c>
    </row>
    <row r="57" spans="1:11" ht="18" customHeight="1">
      <c r="A57" s="5" t="s">
        <v>96</v>
      </c>
      <c r="B57" s="557" t="s">
        <v>280</v>
      </c>
      <c r="C57" s="531"/>
      <c r="D57" s="532"/>
      <c r="F57" s="54">
        <v>0</v>
      </c>
      <c r="G57" s="54">
        <v>0</v>
      </c>
      <c r="H57" s="15">
        <v>10823051</v>
      </c>
      <c r="I57" s="55">
        <v>0</v>
      </c>
      <c r="J57" s="15">
        <v>9931477</v>
      </c>
      <c r="K57" s="16">
        <f t="shared" si="4"/>
        <v>891574</v>
      </c>
    </row>
    <row r="58" spans="1:11" ht="18" customHeight="1">
      <c r="A58" s="5" t="s">
        <v>97</v>
      </c>
      <c r="B58" s="65"/>
      <c r="C58" s="66"/>
      <c r="D58" s="67"/>
      <c r="F58" s="54"/>
      <c r="G58" s="54"/>
      <c r="H58" s="15"/>
      <c r="I58" s="55">
        <v>0</v>
      </c>
      <c r="J58" s="15"/>
      <c r="K58" s="16">
        <f t="shared" si="4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v>0</v>
      </c>
      <c r="J59" s="15"/>
      <c r="K59" s="16">
        <f t="shared" si="4"/>
        <v>0</v>
      </c>
    </row>
    <row r="60" spans="1:11" ht="18" customHeight="1">
      <c r="A60" s="5" t="s">
        <v>99</v>
      </c>
      <c r="B60" s="65"/>
      <c r="C60" s="66"/>
      <c r="D60" s="67"/>
      <c r="F60" s="54"/>
      <c r="G60" s="54"/>
      <c r="H60" s="15"/>
      <c r="I60" s="55">
        <v>0</v>
      </c>
      <c r="J60" s="15"/>
      <c r="K60" s="16">
        <f t="shared" si="4"/>
        <v>0</v>
      </c>
    </row>
    <row r="61" spans="1:11" ht="18" customHeight="1">
      <c r="A61" s="5" t="s">
        <v>100</v>
      </c>
      <c r="B61" s="65"/>
      <c r="C61" s="66"/>
      <c r="D61" s="67"/>
      <c r="F61" s="54"/>
      <c r="G61" s="54"/>
      <c r="H61" s="15"/>
      <c r="I61" s="55">
        <v>0</v>
      </c>
      <c r="J61" s="15"/>
      <c r="K61" s="16">
        <f t="shared" si="4"/>
        <v>0</v>
      </c>
    </row>
    <row r="62" spans="1:11" ht="18" customHeight="1">
      <c r="A62" s="5" t="s">
        <v>101</v>
      </c>
      <c r="B62" s="557" t="s">
        <v>209</v>
      </c>
      <c r="C62" s="531"/>
      <c r="D62" s="532"/>
      <c r="F62" s="54">
        <v>0</v>
      </c>
      <c r="G62" s="54">
        <v>0</v>
      </c>
      <c r="H62" s="15">
        <v>4740262</v>
      </c>
      <c r="I62" s="55">
        <v>0</v>
      </c>
      <c r="J62" s="15">
        <v>2975200</v>
      </c>
      <c r="K62" s="16">
        <f t="shared" si="4"/>
        <v>1765062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5">SUM(F53:F62)</f>
        <v>0</v>
      </c>
      <c r="G64" s="18">
        <f t="shared" si="5"/>
        <v>394</v>
      </c>
      <c r="H64" s="16">
        <f t="shared" si="5"/>
        <v>21496191</v>
      </c>
      <c r="I64" s="16">
        <f t="shared" si="5"/>
        <v>0</v>
      </c>
      <c r="J64" s="16">
        <f t="shared" si="5"/>
        <v>17078548</v>
      </c>
      <c r="K64" s="16">
        <f t="shared" si="5"/>
        <v>4417643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>
        <v>514</v>
      </c>
      <c r="G68" s="51">
        <v>0</v>
      </c>
      <c r="H68" s="51">
        <v>24385</v>
      </c>
      <c r="I68" s="55">
        <v>0</v>
      </c>
      <c r="J68" s="51">
        <v>0</v>
      </c>
      <c r="K68" s="16">
        <f>(H68+I68)-J68</f>
        <v>24385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65"/>
      <c r="C70" s="66"/>
      <c r="D70" s="67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65"/>
      <c r="C71" s="66"/>
      <c r="D71" s="67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71"/>
      <c r="C72" s="72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6">SUM(F68:F72)</f>
        <v>514</v>
      </c>
      <c r="G74" s="21">
        <f t="shared" si="6"/>
        <v>0</v>
      </c>
      <c r="H74" s="21">
        <f t="shared" si="6"/>
        <v>24385</v>
      </c>
      <c r="I74" s="53">
        <f t="shared" si="6"/>
        <v>0</v>
      </c>
      <c r="J74" s="21">
        <f t="shared" si="6"/>
        <v>0</v>
      </c>
      <c r="K74" s="56">
        <f t="shared" si="6"/>
        <v>24385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>
        <v>9</v>
      </c>
      <c r="G77" s="54">
        <v>0</v>
      </c>
      <c r="H77" s="15">
        <v>231477</v>
      </c>
      <c r="I77" s="55">
        <v>0</v>
      </c>
      <c r="J77" s="15">
        <v>0</v>
      </c>
      <c r="K77" s="16">
        <f>(H77+I77)-J77</f>
        <v>231477</v>
      </c>
    </row>
    <row r="78" spans="1:11" ht="18" customHeight="1">
      <c r="A78" s="5" t="s">
        <v>108</v>
      </c>
      <c r="B78" s="1" t="s">
        <v>55</v>
      </c>
      <c r="F78" s="54"/>
      <c r="G78" s="54"/>
      <c r="H78" s="15"/>
      <c r="I78" s="55"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>
        <v>41.5</v>
      </c>
      <c r="G79" s="54">
        <v>270</v>
      </c>
      <c r="H79" s="15">
        <v>7237</v>
      </c>
      <c r="I79" s="55">
        <v>4142</v>
      </c>
      <c r="J79" s="15">
        <v>795</v>
      </c>
      <c r="K79" s="16">
        <f>(H79+I79)-J79</f>
        <v>10584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7">SUM(F77:F80)</f>
        <v>50.5</v>
      </c>
      <c r="G82" s="21">
        <f t="shared" si="7"/>
        <v>270</v>
      </c>
      <c r="H82" s="56">
        <f t="shared" si="7"/>
        <v>238714</v>
      </c>
      <c r="I82" s="56">
        <f t="shared" si="7"/>
        <v>4142</v>
      </c>
      <c r="J82" s="56">
        <f t="shared" si="7"/>
        <v>795</v>
      </c>
      <c r="K82" s="56">
        <f t="shared" si="7"/>
        <v>242061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v>0</v>
      </c>
      <c r="J86" s="15"/>
      <c r="K86" s="16">
        <f t="shared" ref="K86:K96" si="8">(H86+I86)-J86</f>
        <v>0</v>
      </c>
    </row>
    <row r="87" spans="1:11" ht="18" customHeight="1">
      <c r="A87" s="5" t="s">
        <v>114</v>
      </c>
      <c r="B87" s="1" t="s">
        <v>14</v>
      </c>
      <c r="F87" s="54"/>
      <c r="G87" s="54"/>
      <c r="H87" s="15"/>
      <c r="I87" s="55">
        <f>H87*F$114</f>
        <v>0</v>
      </c>
      <c r="J87" s="15"/>
      <c r="K87" s="16">
        <f t="shared" si="8"/>
        <v>0</v>
      </c>
    </row>
    <row r="88" spans="1:11" ht="18" customHeight="1">
      <c r="A88" s="5" t="s">
        <v>115</v>
      </c>
      <c r="B88" s="1" t="s">
        <v>116</v>
      </c>
      <c r="F88" s="54">
        <v>72</v>
      </c>
      <c r="G88" s="54">
        <v>39</v>
      </c>
      <c r="H88" s="15">
        <v>44247</v>
      </c>
      <c r="I88" s="55">
        <v>1623</v>
      </c>
      <c r="J88" s="15">
        <v>0</v>
      </c>
      <c r="K88" s="16">
        <f t="shared" si="8"/>
        <v>45870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>H89*F$114</f>
        <v>0</v>
      </c>
      <c r="J89" s="15"/>
      <c r="K89" s="16">
        <f t="shared" si="8"/>
        <v>0</v>
      </c>
    </row>
    <row r="90" spans="1:11" ht="18" customHeight="1">
      <c r="A90" s="5" t="s">
        <v>118</v>
      </c>
      <c r="B90" s="550" t="s">
        <v>59</v>
      </c>
      <c r="C90" s="551"/>
      <c r="F90" s="54">
        <v>20</v>
      </c>
      <c r="G90" s="54">
        <v>34</v>
      </c>
      <c r="H90" s="15">
        <v>1333</v>
      </c>
      <c r="I90" s="55">
        <v>797</v>
      </c>
      <c r="J90" s="15"/>
      <c r="K90" s="16">
        <f t="shared" si="8"/>
        <v>2130</v>
      </c>
    </row>
    <row r="91" spans="1:11" ht="18" customHeight="1">
      <c r="A91" s="5" t="s">
        <v>119</v>
      </c>
      <c r="B91" s="1" t="s">
        <v>60</v>
      </c>
      <c r="F91" s="54"/>
      <c r="G91" s="54"/>
      <c r="H91" s="15"/>
      <c r="I91" s="55">
        <f>H91*F$114</f>
        <v>0</v>
      </c>
      <c r="J91" s="15"/>
      <c r="K91" s="16">
        <f t="shared" si="8"/>
        <v>0</v>
      </c>
    </row>
    <row r="92" spans="1:11" ht="18" customHeight="1">
      <c r="A92" s="5" t="s">
        <v>120</v>
      </c>
      <c r="B92" s="1" t="s">
        <v>121</v>
      </c>
      <c r="F92" s="38">
        <v>43</v>
      </c>
      <c r="G92" s="38">
        <v>68</v>
      </c>
      <c r="H92" s="39">
        <v>33824</v>
      </c>
      <c r="I92" s="55">
        <v>30</v>
      </c>
      <c r="J92" s="39">
        <v>0</v>
      </c>
      <c r="K92" s="16">
        <f t="shared" si="8"/>
        <v>33854</v>
      </c>
    </row>
    <row r="93" spans="1:11" ht="18" customHeight="1">
      <c r="A93" s="5" t="s">
        <v>122</v>
      </c>
      <c r="B93" s="1" t="s">
        <v>123</v>
      </c>
      <c r="F93" s="54"/>
      <c r="G93" s="54"/>
      <c r="H93" s="15"/>
      <c r="I93" s="55">
        <f>H93*F$114</f>
        <v>0</v>
      </c>
      <c r="J93" s="15"/>
      <c r="K93" s="16">
        <f t="shared" si="8"/>
        <v>0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f>H94*F$114</f>
        <v>0</v>
      </c>
      <c r="J94" s="15"/>
      <c r="K94" s="16">
        <f t="shared" si="8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>H95*F$114</f>
        <v>0</v>
      </c>
      <c r="J95" s="15"/>
      <c r="K95" s="16">
        <f t="shared" si="8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>H96*F$114</f>
        <v>0</v>
      </c>
      <c r="J96" s="15"/>
      <c r="K96" s="16">
        <f t="shared" si="8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9">SUM(F86:F96)</f>
        <v>135</v>
      </c>
      <c r="G98" s="18">
        <f t="shared" si="9"/>
        <v>141</v>
      </c>
      <c r="H98" s="18">
        <f t="shared" si="9"/>
        <v>79404</v>
      </c>
      <c r="I98" s="18">
        <f t="shared" si="9"/>
        <v>2450</v>
      </c>
      <c r="J98" s="18">
        <f t="shared" si="9"/>
        <v>0</v>
      </c>
      <c r="K98" s="18">
        <f t="shared" si="9"/>
        <v>81854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>
        <v>4252</v>
      </c>
      <c r="G102" s="54">
        <v>0</v>
      </c>
      <c r="H102" s="15">
        <v>227964</v>
      </c>
      <c r="I102" s="55">
        <v>98059</v>
      </c>
      <c r="J102" s="15">
        <v>0</v>
      </c>
      <c r="K102" s="16">
        <f>(H102+I102)-J102</f>
        <v>326023</v>
      </c>
    </row>
    <row r="103" spans="1:11" ht="18" customHeight="1">
      <c r="A103" s="5" t="s">
        <v>132</v>
      </c>
      <c r="B103" s="550" t="s">
        <v>62</v>
      </c>
      <c r="C103" s="550"/>
      <c r="F103" s="54">
        <v>114</v>
      </c>
      <c r="G103" s="54">
        <v>0</v>
      </c>
      <c r="H103" s="15">
        <v>44854</v>
      </c>
      <c r="I103" s="55">
        <v>14816</v>
      </c>
      <c r="J103" s="15">
        <v>0</v>
      </c>
      <c r="K103" s="16">
        <f>(H103+I103)-J103</f>
        <v>59670</v>
      </c>
    </row>
    <row r="104" spans="1:11" ht="18" customHeight="1">
      <c r="A104" s="5" t="s">
        <v>128</v>
      </c>
      <c r="B104" s="557" t="s">
        <v>247</v>
      </c>
      <c r="C104" s="531"/>
      <c r="D104" s="532"/>
      <c r="F104" s="54">
        <v>0</v>
      </c>
      <c r="G104" s="54">
        <v>0</v>
      </c>
      <c r="H104" s="15">
        <v>39113</v>
      </c>
      <c r="I104" s="55">
        <v>0</v>
      </c>
      <c r="J104" s="15"/>
      <c r="K104" s="16">
        <f>(H104+I104)-J104</f>
        <v>39113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0">SUM(F102:F106)</f>
        <v>4366</v>
      </c>
      <c r="G108" s="18">
        <f t="shared" si="10"/>
        <v>0</v>
      </c>
      <c r="H108" s="16">
        <f t="shared" si="10"/>
        <v>311931</v>
      </c>
      <c r="I108" s="16">
        <f t="shared" si="10"/>
        <v>112875</v>
      </c>
      <c r="J108" s="16">
        <f t="shared" si="10"/>
        <v>0</v>
      </c>
      <c r="K108" s="16">
        <f t="shared" si="10"/>
        <v>424806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12654204.999999998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0.6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441706112</v>
      </c>
    </row>
    <row r="118" spans="1:6" ht="18" customHeight="1">
      <c r="A118" s="5" t="s">
        <v>173</v>
      </c>
      <c r="B118" t="s">
        <v>18</v>
      </c>
      <c r="F118" s="15">
        <v>7916894</v>
      </c>
    </row>
    <row r="119" spans="1:6" ht="18" customHeight="1">
      <c r="A119" s="5" t="s">
        <v>174</v>
      </c>
      <c r="B119" s="2" t="s">
        <v>19</v>
      </c>
      <c r="F119" s="56">
        <f>SUM(F117:F118)</f>
        <v>449623006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436640459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f>+F119-F121</f>
        <v>12982547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304953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f>+F123+F125</f>
        <v>13287500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1">SUM(F131:F135)</f>
        <v>0</v>
      </c>
      <c r="G137" s="18">
        <f t="shared" si="11"/>
        <v>0</v>
      </c>
      <c r="H137" s="16">
        <f t="shared" si="11"/>
        <v>0</v>
      </c>
      <c r="I137" s="16">
        <f t="shared" si="11"/>
        <v>0</v>
      </c>
      <c r="J137" s="16">
        <f t="shared" si="11"/>
        <v>0</v>
      </c>
      <c r="K137" s="16">
        <f t="shared" si="11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2">F36</f>
        <v>13595.8</v>
      </c>
      <c r="G141" s="41">
        <f t="shared" si="12"/>
        <v>276227</v>
      </c>
      <c r="H141" s="41">
        <f t="shared" si="12"/>
        <v>1233110</v>
      </c>
      <c r="I141" s="41">
        <f t="shared" si="12"/>
        <v>272539</v>
      </c>
      <c r="J141" s="41">
        <f t="shared" si="12"/>
        <v>154919</v>
      </c>
      <c r="K141" s="41">
        <f t="shared" si="12"/>
        <v>1350730</v>
      </c>
    </row>
    <row r="142" spans="1:11" ht="18" customHeight="1">
      <c r="A142" s="5" t="s">
        <v>142</v>
      </c>
      <c r="B142" s="2" t="s">
        <v>65</v>
      </c>
      <c r="F142" s="41">
        <f t="shared" ref="F142:K142" si="13">F49</f>
        <v>117615.5</v>
      </c>
      <c r="G142" s="41">
        <f t="shared" si="13"/>
        <v>1390</v>
      </c>
      <c r="H142" s="41">
        <f t="shared" si="13"/>
        <v>9494379</v>
      </c>
      <c r="I142" s="41">
        <f t="shared" si="13"/>
        <v>5661553</v>
      </c>
      <c r="J142" s="41">
        <f t="shared" si="13"/>
        <v>12100</v>
      </c>
      <c r="K142" s="41">
        <f t="shared" si="13"/>
        <v>15143832</v>
      </c>
    </row>
    <row r="143" spans="1:11" ht="18" customHeight="1">
      <c r="A143" s="5" t="s">
        <v>144</v>
      </c>
      <c r="B143" s="2" t="s">
        <v>66</v>
      </c>
      <c r="F143" s="41">
        <f t="shared" ref="F143:K143" si="14">F64</f>
        <v>0</v>
      </c>
      <c r="G143" s="41">
        <f t="shared" si="14"/>
        <v>394</v>
      </c>
      <c r="H143" s="41">
        <f t="shared" si="14"/>
        <v>21496191</v>
      </c>
      <c r="I143" s="41">
        <f t="shared" si="14"/>
        <v>0</v>
      </c>
      <c r="J143" s="41">
        <f t="shared" si="14"/>
        <v>17078548</v>
      </c>
      <c r="K143" s="41">
        <f t="shared" si="14"/>
        <v>4417643</v>
      </c>
    </row>
    <row r="144" spans="1:11" ht="18" customHeight="1">
      <c r="A144" s="5" t="s">
        <v>146</v>
      </c>
      <c r="B144" s="2" t="s">
        <v>67</v>
      </c>
      <c r="F144" s="41">
        <f t="shared" ref="F144:K144" si="15">F74</f>
        <v>514</v>
      </c>
      <c r="G144" s="41">
        <f t="shared" si="15"/>
        <v>0</v>
      </c>
      <c r="H144" s="41">
        <f t="shared" si="15"/>
        <v>24385</v>
      </c>
      <c r="I144" s="41">
        <f t="shared" si="15"/>
        <v>0</v>
      </c>
      <c r="J144" s="41">
        <f t="shared" si="15"/>
        <v>0</v>
      </c>
      <c r="K144" s="41">
        <f t="shared" si="15"/>
        <v>24385</v>
      </c>
    </row>
    <row r="145" spans="1:11" ht="18" customHeight="1">
      <c r="A145" s="5" t="s">
        <v>148</v>
      </c>
      <c r="B145" s="2" t="s">
        <v>68</v>
      </c>
      <c r="F145" s="41">
        <f t="shared" ref="F145:K145" si="16">F82</f>
        <v>50.5</v>
      </c>
      <c r="G145" s="41">
        <f t="shared" si="16"/>
        <v>270</v>
      </c>
      <c r="H145" s="41">
        <f t="shared" si="16"/>
        <v>238714</v>
      </c>
      <c r="I145" s="41">
        <f t="shared" si="16"/>
        <v>4142</v>
      </c>
      <c r="J145" s="41">
        <f t="shared" si="16"/>
        <v>795</v>
      </c>
      <c r="K145" s="41">
        <f t="shared" si="16"/>
        <v>242061</v>
      </c>
    </row>
    <row r="146" spans="1:11" ht="18" customHeight="1">
      <c r="A146" s="5" t="s">
        <v>150</v>
      </c>
      <c r="B146" s="2" t="s">
        <v>69</v>
      </c>
      <c r="F146" s="41">
        <f t="shared" ref="F146:K146" si="17">F98</f>
        <v>135</v>
      </c>
      <c r="G146" s="41">
        <f t="shared" si="17"/>
        <v>141</v>
      </c>
      <c r="H146" s="41">
        <f t="shared" si="17"/>
        <v>79404</v>
      </c>
      <c r="I146" s="41">
        <f t="shared" si="17"/>
        <v>2450</v>
      </c>
      <c r="J146" s="41">
        <f t="shared" si="17"/>
        <v>0</v>
      </c>
      <c r="K146" s="41">
        <f t="shared" si="17"/>
        <v>81854</v>
      </c>
    </row>
    <row r="147" spans="1:11" ht="18" customHeight="1">
      <c r="A147" s="5" t="s">
        <v>153</v>
      </c>
      <c r="B147" s="2" t="s">
        <v>61</v>
      </c>
      <c r="F147" s="18">
        <f t="shared" ref="F147:K147" si="18">F108</f>
        <v>4366</v>
      </c>
      <c r="G147" s="18">
        <f t="shared" si="18"/>
        <v>0</v>
      </c>
      <c r="H147" s="18">
        <f t="shared" si="18"/>
        <v>311931</v>
      </c>
      <c r="I147" s="18">
        <f t="shared" si="18"/>
        <v>112875</v>
      </c>
      <c r="J147" s="18">
        <f t="shared" si="18"/>
        <v>0</v>
      </c>
      <c r="K147" s="18">
        <f t="shared" si="18"/>
        <v>424806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12654204.999999998</v>
      </c>
    </row>
    <row r="149" spans="1:11" ht="18" customHeight="1">
      <c r="A149" s="5" t="s">
        <v>163</v>
      </c>
      <c r="B149" s="2" t="s">
        <v>71</v>
      </c>
      <c r="F149" s="18">
        <f t="shared" ref="F149:K149" si="19">F137</f>
        <v>0</v>
      </c>
      <c r="G149" s="18">
        <f t="shared" si="19"/>
        <v>0</v>
      </c>
      <c r="H149" s="18">
        <f t="shared" si="19"/>
        <v>0</v>
      </c>
      <c r="I149" s="18">
        <f t="shared" si="19"/>
        <v>0</v>
      </c>
      <c r="J149" s="18">
        <f t="shared" si="19"/>
        <v>0</v>
      </c>
      <c r="K149" s="18">
        <f t="shared" si="19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11924085</v>
      </c>
      <c r="I150" s="18">
        <f>I18</f>
        <v>0</v>
      </c>
      <c r="J150" s="18">
        <f>J18</f>
        <v>10196584</v>
      </c>
      <c r="K150" s="18">
        <f>K18</f>
        <v>1727501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0">SUM(F141:F150)</f>
        <v>136276.79999999999</v>
      </c>
      <c r="G152" s="49">
        <f t="shared" si="20"/>
        <v>278422</v>
      </c>
      <c r="H152" s="49">
        <f t="shared" si="20"/>
        <v>44802199</v>
      </c>
      <c r="I152" s="49">
        <f t="shared" si="20"/>
        <v>6053559</v>
      </c>
      <c r="J152" s="49">
        <f t="shared" si="20"/>
        <v>27442946</v>
      </c>
      <c r="K152" s="49">
        <f t="shared" si="20"/>
        <v>36067017</v>
      </c>
    </row>
    <row r="154" spans="1:11" ht="18" customHeight="1">
      <c r="A154" s="6" t="s">
        <v>168</v>
      </c>
      <c r="B154" s="2" t="s">
        <v>28</v>
      </c>
      <c r="F154" s="89">
        <f>K152/F121</f>
        <v>8.2601179658433804E-2</v>
      </c>
    </row>
    <row r="155" spans="1:11" ht="18" customHeight="1">
      <c r="A155" s="6" t="s">
        <v>169</v>
      </c>
      <c r="B155" s="2" t="s">
        <v>72</v>
      </c>
      <c r="F155" s="89">
        <f>K152/F127</f>
        <v>2.7143568767638757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B31:D31"/>
    <mergeCell ref="D2:H2"/>
    <mergeCell ref="B45:D45"/>
    <mergeCell ref="B46:D46"/>
    <mergeCell ref="B47:D47"/>
    <mergeCell ref="B34:D34"/>
    <mergeCell ref="C11:G11"/>
    <mergeCell ref="B41:C41"/>
    <mergeCell ref="B44:D44"/>
    <mergeCell ref="B13:H13"/>
    <mergeCell ref="C5:G5"/>
    <mergeCell ref="C6:G6"/>
    <mergeCell ref="C7:G7"/>
    <mergeCell ref="C9:G9"/>
    <mergeCell ref="C10:G10"/>
    <mergeCell ref="B30:D30"/>
    <mergeCell ref="B52:C52"/>
    <mergeCell ref="B90:C90"/>
    <mergeCell ref="B53:D53"/>
    <mergeCell ref="B55:D55"/>
    <mergeCell ref="B56:D56"/>
    <mergeCell ref="B62:D62"/>
    <mergeCell ref="B59:D59"/>
    <mergeCell ref="B103:C103"/>
    <mergeCell ref="B96:D96"/>
    <mergeCell ref="B95:D95"/>
    <mergeCell ref="B57:D57"/>
    <mergeCell ref="B94:D94"/>
    <mergeCell ref="B135:D135"/>
    <mergeCell ref="B133:D133"/>
    <mergeCell ref="B104:D104"/>
    <mergeCell ref="B105:D105"/>
    <mergeCell ref="B106:D106"/>
    <mergeCell ref="B134:D134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90" zoomScaleNormal="50" zoomScaleSheetLayoutView="90" workbookViewId="0">
      <pane xSplit="5" topLeftCell="F1" activePane="topRight" state="frozen"/>
      <selection activeCell="F56" sqref="F56"/>
      <selection pane="topRight"/>
    </sheetView>
  </sheetViews>
  <sheetFormatPr defaultColWidth="9.140625" defaultRowHeight="18" customHeight="1"/>
  <cols>
    <col min="1" max="1" width="8.28515625" style="197" customWidth="1"/>
    <col min="2" max="2" width="54.85546875" style="195" customWidth="1"/>
    <col min="3" max="3" width="9.5703125" style="195" customWidth="1"/>
    <col min="4" max="4" width="9.140625" style="195"/>
    <col min="5" max="5" width="12.42578125" style="195" customWidth="1"/>
    <col min="6" max="6" width="18.7109375" style="195" customWidth="1"/>
    <col min="7" max="7" width="23.5703125" style="195" customWidth="1"/>
    <col min="8" max="8" width="19.85546875" style="196" customWidth="1"/>
    <col min="9" max="9" width="21.140625" style="195" customWidth="1"/>
    <col min="10" max="10" width="19.85546875" style="195" customWidth="1"/>
    <col min="11" max="11" width="18.85546875" style="195" customWidth="1"/>
    <col min="12" max="16384" width="9.140625" style="195"/>
  </cols>
  <sheetData>
    <row r="1" spans="1:11" ht="18" customHeight="1">
      <c r="C1" s="277"/>
      <c r="D1" s="278"/>
      <c r="E1" s="277"/>
      <c r="F1" s="277"/>
      <c r="G1" s="277"/>
      <c r="I1" s="277"/>
      <c r="J1" s="277"/>
      <c r="K1" s="277"/>
    </row>
    <row r="2" spans="1:11" ht="18" customHeight="1">
      <c r="D2" s="511" t="s">
        <v>187</v>
      </c>
      <c r="E2" s="512"/>
      <c r="F2" s="512"/>
      <c r="G2" s="512"/>
      <c r="H2" s="512"/>
    </row>
    <row r="3" spans="1:11" ht="18" customHeight="1">
      <c r="B3" s="198" t="s">
        <v>0</v>
      </c>
    </row>
    <row r="5" spans="1:11" ht="18" customHeight="1">
      <c r="B5" s="208" t="s">
        <v>40</v>
      </c>
      <c r="C5" s="518" t="s">
        <v>431</v>
      </c>
      <c r="D5" s="519"/>
      <c r="E5" s="519"/>
      <c r="F5" s="519"/>
      <c r="G5" s="520"/>
    </row>
    <row r="6" spans="1:11" ht="18" customHeight="1">
      <c r="B6" s="208" t="s">
        <v>3</v>
      </c>
      <c r="C6" s="521">
        <v>23</v>
      </c>
      <c r="D6" s="522"/>
      <c r="E6" s="522"/>
      <c r="F6" s="522"/>
      <c r="G6" s="523"/>
    </row>
    <row r="7" spans="1:11" ht="18" customHeight="1">
      <c r="B7" s="208" t="s">
        <v>4</v>
      </c>
      <c r="C7" s="524">
        <v>3955</v>
      </c>
      <c r="D7" s="525"/>
      <c r="E7" s="525"/>
      <c r="F7" s="525"/>
      <c r="G7" s="526"/>
    </row>
    <row r="9" spans="1:11" ht="18" customHeight="1">
      <c r="B9" s="208" t="s">
        <v>1</v>
      </c>
      <c r="C9" s="518" t="s">
        <v>430</v>
      </c>
      <c r="D9" s="519"/>
      <c r="E9" s="519"/>
      <c r="F9" s="519"/>
      <c r="G9" s="520"/>
    </row>
    <row r="10" spans="1:11" ht="18" customHeight="1">
      <c r="B10" s="208" t="s">
        <v>2</v>
      </c>
      <c r="C10" s="527" t="s">
        <v>429</v>
      </c>
      <c r="D10" s="528"/>
      <c r="E10" s="528"/>
      <c r="F10" s="528"/>
      <c r="G10" s="529"/>
    </row>
    <row r="11" spans="1:11" ht="18" customHeight="1">
      <c r="B11" s="208" t="s">
        <v>32</v>
      </c>
      <c r="C11" s="513" t="s">
        <v>428</v>
      </c>
      <c r="D11" s="514"/>
      <c r="E11" s="514"/>
      <c r="F11" s="514"/>
      <c r="G11" s="515"/>
    </row>
    <row r="12" spans="1:11" ht="18" customHeight="1">
      <c r="B12" s="208"/>
      <c r="C12" s="208"/>
      <c r="D12" s="208"/>
      <c r="E12" s="208"/>
      <c r="F12" s="208"/>
      <c r="G12" s="208"/>
    </row>
    <row r="13" spans="1:11" ht="24.6" customHeight="1">
      <c r="B13" s="516"/>
      <c r="C13" s="517"/>
      <c r="D13" s="517"/>
      <c r="E13" s="517"/>
      <c r="F13" s="517"/>
      <c r="G13" s="517"/>
      <c r="H13" s="510"/>
      <c r="I13" s="277"/>
    </row>
    <row r="14" spans="1:11" ht="18" customHeight="1">
      <c r="B14" s="280"/>
    </row>
    <row r="15" spans="1:11" ht="18" customHeight="1">
      <c r="B15" s="280"/>
    </row>
    <row r="16" spans="1:11" ht="60.75" customHeight="1">
      <c r="A16" s="278" t="s">
        <v>181</v>
      </c>
      <c r="B16" s="277"/>
      <c r="C16" s="277"/>
      <c r="D16" s="277"/>
      <c r="E16" s="277"/>
      <c r="F16" s="215" t="s">
        <v>9</v>
      </c>
      <c r="G16" s="215" t="s">
        <v>37</v>
      </c>
      <c r="H16" s="276" t="s">
        <v>29</v>
      </c>
      <c r="I16" s="215" t="s">
        <v>30</v>
      </c>
      <c r="J16" s="215" t="s">
        <v>33</v>
      </c>
      <c r="K16" s="215" t="s">
        <v>34</v>
      </c>
    </row>
    <row r="17" spans="1:11" ht="18" customHeight="1">
      <c r="A17" s="200" t="s">
        <v>184</v>
      </c>
      <c r="B17" s="198" t="s">
        <v>182</v>
      </c>
    </row>
    <row r="18" spans="1:11" ht="18" customHeight="1">
      <c r="A18" s="208" t="s">
        <v>185</v>
      </c>
      <c r="B18" s="195" t="s">
        <v>183</v>
      </c>
      <c r="F18" s="279" t="s">
        <v>73</v>
      </c>
      <c r="G18" s="279" t="s">
        <v>73</v>
      </c>
      <c r="H18" s="218">
        <v>12144983</v>
      </c>
      <c r="I18" s="217"/>
      <c r="J18" s="216">
        <v>10385479</v>
      </c>
      <c r="K18" s="211">
        <f>(H18+I18)-J18</f>
        <v>1759504</v>
      </c>
    </row>
    <row r="19" spans="1:11" ht="55.5" customHeight="1">
      <c r="A19" s="278" t="s">
        <v>8</v>
      </c>
      <c r="B19" s="277"/>
      <c r="C19" s="277"/>
      <c r="D19" s="277"/>
      <c r="E19" s="277"/>
      <c r="F19" s="215" t="s">
        <v>9</v>
      </c>
      <c r="G19" s="215" t="s">
        <v>37</v>
      </c>
      <c r="H19" s="276" t="s">
        <v>29</v>
      </c>
      <c r="I19" s="215" t="s">
        <v>30</v>
      </c>
      <c r="J19" s="215" t="s">
        <v>33</v>
      </c>
      <c r="K19" s="215" t="s">
        <v>34</v>
      </c>
    </row>
    <row r="20" spans="1:11" ht="18" customHeight="1">
      <c r="A20" s="200" t="s">
        <v>74</v>
      </c>
      <c r="B20" s="198" t="s">
        <v>41</v>
      </c>
    </row>
    <row r="21" spans="1:11" s="272" customFormat="1" ht="18" customHeight="1">
      <c r="A21" s="275" t="s">
        <v>75</v>
      </c>
      <c r="B21" s="272" t="s">
        <v>42</v>
      </c>
      <c r="F21" s="265">
        <v>4540</v>
      </c>
      <c r="G21" s="265">
        <v>24737</v>
      </c>
      <c r="H21" s="231">
        <v>506968.83</v>
      </c>
      <c r="I21" s="231">
        <f>H21*F$114</f>
        <v>263116.82277000003</v>
      </c>
      <c r="J21" s="274">
        <v>2467</v>
      </c>
      <c r="K21" s="273">
        <f>(H21+I21)-J21</f>
        <v>767618.65277000004</v>
      </c>
    </row>
    <row r="22" spans="1:11" ht="18" customHeight="1">
      <c r="A22" s="208" t="s">
        <v>76</v>
      </c>
      <c r="B22" s="195" t="s">
        <v>6</v>
      </c>
      <c r="F22" s="219">
        <v>657</v>
      </c>
      <c r="G22" s="265">
        <v>1619</v>
      </c>
      <c r="H22" s="231">
        <v>23972.46</v>
      </c>
      <c r="I22" s="231">
        <f>H22*F$114</f>
        <v>12441.70674</v>
      </c>
      <c r="J22" s="216"/>
      <c r="K22" s="211">
        <f>(H22+I22)-J22</f>
        <v>36414.166740000001</v>
      </c>
    </row>
    <row r="23" spans="1:11" ht="18" customHeight="1">
      <c r="A23" s="208" t="s">
        <v>77</v>
      </c>
      <c r="B23" s="195" t="s">
        <v>427</v>
      </c>
      <c r="F23" s="219">
        <v>2638</v>
      </c>
      <c r="G23" s="219">
        <v>5872</v>
      </c>
      <c r="H23" s="218">
        <v>108660.32</v>
      </c>
      <c r="I23" s="231">
        <f>H23*F$114</f>
        <v>56394.706080000004</v>
      </c>
      <c r="J23" s="216">
        <v>46225</v>
      </c>
      <c r="K23" s="211">
        <f>(H23+I23)-J23</f>
        <v>118830.02608000001</v>
      </c>
    </row>
    <row r="24" spans="1:11" ht="18" customHeight="1">
      <c r="A24" s="208" t="s">
        <v>78</v>
      </c>
      <c r="B24" s="195" t="s">
        <v>44</v>
      </c>
      <c r="F24" s="219"/>
      <c r="G24" s="219"/>
      <c r="H24" s="218"/>
      <c r="I24" s="231"/>
      <c r="J24" s="216"/>
      <c r="K24" s="211">
        <f>(H24+I24)-J24</f>
        <v>0</v>
      </c>
    </row>
    <row r="25" spans="1:11" ht="18" customHeight="1">
      <c r="A25" s="208" t="s">
        <v>79</v>
      </c>
      <c r="B25" s="195" t="s">
        <v>5</v>
      </c>
      <c r="F25" s="219">
        <v>359</v>
      </c>
      <c r="G25" s="219">
        <v>8357</v>
      </c>
      <c r="H25" s="218">
        <v>97638.080000000002</v>
      </c>
      <c r="I25" s="231">
        <f>H25*F$114</f>
        <v>50674.163520000002</v>
      </c>
      <c r="J25" s="216">
        <v>15875</v>
      </c>
      <c r="K25" s="211">
        <f>(H25+I25)-J25</f>
        <v>132437.24352000002</v>
      </c>
    </row>
    <row r="26" spans="1:11" ht="18" customHeight="1">
      <c r="A26" s="208" t="s">
        <v>80</v>
      </c>
      <c r="B26" s="195" t="s">
        <v>45</v>
      </c>
      <c r="F26" s="219"/>
      <c r="G26" s="219"/>
      <c r="H26" s="218"/>
      <c r="I26" s="231"/>
      <c r="J26" s="216"/>
      <c r="K26" s="211"/>
    </row>
    <row r="27" spans="1:11" ht="18" customHeight="1">
      <c r="A27" s="208" t="s">
        <v>81</v>
      </c>
      <c r="B27" s="195" t="s">
        <v>46</v>
      </c>
      <c r="F27" s="219"/>
      <c r="G27" s="219"/>
      <c r="H27" s="218"/>
      <c r="I27" s="231"/>
      <c r="J27" s="216"/>
      <c r="K27" s="211"/>
    </row>
    <row r="28" spans="1:11" ht="18" customHeight="1">
      <c r="A28" s="208" t="s">
        <v>82</v>
      </c>
      <c r="B28" s="195" t="s">
        <v>47</v>
      </c>
      <c r="F28" s="219"/>
      <c r="G28" s="219"/>
      <c r="H28" s="218"/>
      <c r="I28" s="231"/>
      <c r="J28" s="216"/>
      <c r="K28" s="211"/>
    </row>
    <row r="29" spans="1:11" ht="18" customHeight="1">
      <c r="A29" s="208" t="s">
        <v>83</v>
      </c>
      <c r="B29" s="195" t="s">
        <v>426</v>
      </c>
      <c r="F29" s="219">
        <v>20446</v>
      </c>
      <c r="G29" s="219">
        <v>46298</v>
      </c>
      <c r="H29" s="218">
        <v>919257</v>
      </c>
      <c r="I29" s="231">
        <f>H29*F$114</f>
        <v>477094.38300000003</v>
      </c>
      <c r="J29" s="216"/>
      <c r="K29" s="211">
        <f>(H29+I29)-J29</f>
        <v>1396351.3829999999</v>
      </c>
    </row>
    <row r="30" spans="1:11" ht="18" customHeight="1">
      <c r="A30" s="208" t="s">
        <v>84</v>
      </c>
      <c r="B30" s="195" t="s">
        <v>282</v>
      </c>
      <c r="F30" s="219">
        <v>0</v>
      </c>
      <c r="G30" s="219">
        <v>0</v>
      </c>
      <c r="H30" s="219">
        <v>553896.5</v>
      </c>
      <c r="I30" s="219">
        <v>295432.56018000003</v>
      </c>
      <c r="J30" s="219">
        <v>0</v>
      </c>
      <c r="K30" s="211">
        <f>(H30+I30)-J30</f>
        <v>849329.06018000003</v>
      </c>
    </row>
    <row r="31" spans="1:11" ht="18" customHeight="1">
      <c r="K31" s="271"/>
    </row>
    <row r="32" spans="1:11" ht="18" customHeight="1">
      <c r="K32" s="271"/>
    </row>
    <row r="33" spans="1:11" ht="18" customHeight="1">
      <c r="K33" s="271"/>
    </row>
    <row r="34" spans="1:11" ht="18" customHeight="1">
      <c r="K34" s="271"/>
    </row>
    <row r="35" spans="1:11" ht="18" customHeight="1">
      <c r="K35" s="271"/>
    </row>
    <row r="36" spans="1:11" ht="18" customHeight="1">
      <c r="A36" s="200" t="s">
        <v>137</v>
      </c>
      <c r="B36" s="198" t="s">
        <v>138</v>
      </c>
      <c r="E36" s="198" t="s">
        <v>7</v>
      </c>
      <c r="F36" s="202">
        <f t="shared" ref="F36:K36" si="0">SUM(F21:F30)</f>
        <v>28640</v>
      </c>
      <c r="G36" s="202">
        <f t="shared" si="0"/>
        <v>86883</v>
      </c>
      <c r="H36" s="218">
        <f t="shared" si="0"/>
        <v>2210393.19</v>
      </c>
      <c r="I36" s="211">
        <f t="shared" si="0"/>
        <v>1155154.3422900001</v>
      </c>
      <c r="J36" s="211">
        <f t="shared" si="0"/>
        <v>64567</v>
      </c>
      <c r="K36" s="211">
        <f t="shared" si="0"/>
        <v>3300980.53229</v>
      </c>
    </row>
    <row r="37" spans="1:11" ht="18" customHeight="1" thickBot="1">
      <c r="B37" s="198"/>
      <c r="F37" s="270"/>
      <c r="G37" s="270"/>
      <c r="H37" s="269"/>
      <c r="I37" s="268"/>
      <c r="J37" s="268"/>
      <c r="K37" s="267"/>
    </row>
    <row r="38" spans="1:11" ht="18" customHeight="1">
      <c r="A38" s="195"/>
      <c r="F38" s="215" t="s">
        <v>9</v>
      </c>
      <c r="G38" s="215" t="s">
        <v>37</v>
      </c>
      <c r="H38" s="215" t="s">
        <v>29</v>
      </c>
      <c r="I38" s="215" t="s">
        <v>30</v>
      </c>
      <c r="J38" s="215" t="s">
        <v>33</v>
      </c>
      <c r="K38" s="215" t="s">
        <v>34</v>
      </c>
    </row>
    <row r="39" spans="1:11" ht="18" customHeight="1">
      <c r="A39" s="200" t="s">
        <v>86</v>
      </c>
      <c r="B39" s="198" t="s">
        <v>49</v>
      </c>
    </row>
    <row r="40" spans="1:11" ht="18" customHeight="1">
      <c r="A40" s="208" t="s">
        <v>87</v>
      </c>
      <c r="B40" s="195" t="s">
        <v>31</v>
      </c>
      <c r="F40" s="219"/>
      <c r="G40" s="219">
        <v>197</v>
      </c>
      <c r="H40" s="263"/>
      <c r="I40" s="263"/>
      <c r="J40" s="216"/>
      <c r="K40" s="211">
        <f t="shared" ref="K40:K46" si="1">(H40+I40)-J40</f>
        <v>0</v>
      </c>
    </row>
    <row r="41" spans="1:11" ht="18" customHeight="1">
      <c r="A41" s="208" t="s">
        <v>88</v>
      </c>
      <c r="B41" s="510" t="s">
        <v>50</v>
      </c>
      <c r="C41" s="510"/>
      <c r="F41" s="219">
        <v>21533</v>
      </c>
      <c r="G41" s="219">
        <v>682</v>
      </c>
      <c r="H41" s="263">
        <v>757622.89</v>
      </c>
      <c r="I41" s="263">
        <f>H41*F$114</f>
        <v>393206.27991000004</v>
      </c>
      <c r="J41" s="216"/>
      <c r="K41" s="211">
        <f t="shared" si="1"/>
        <v>1150829.1699100002</v>
      </c>
    </row>
    <row r="42" spans="1:11" ht="21" customHeight="1">
      <c r="A42" s="208" t="s">
        <v>89</v>
      </c>
      <c r="B42" s="195" t="s">
        <v>11</v>
      </c>
      <c r="F42" s="219"/>
      <c r="G42" s="219"/>
      <c r="H42" s="263"/>
      <c r="I42" s="263"/>
      <c r="J42" s="216"/>
      <c r="K42" s="211">
        <f t="shared" si="1"/>
        <v>0</v>
      </c>
    </row>
    <row r="43" spans="1:11" ht="18" customHeight="1">
      <c r="A43" s="208" t="s">
        <v>90</v>
      </c>
      <c r="B43" s="224" t="s">
        <v>10</v>
      </c>
      <c r="C43" s="224"/>
      <c r="D43" s="224"/>
      <c r="F43" s="219"/>
      <c r="G43" s="219"/>
      <c r="H43" s="263"/>
      <c r="I43" s="263"/>
      <c r="J43" s="216"/>
      <c r="K43" s="211">
        <f t="shared" si="1"/>
        <v>0</v>
      </c>
    </row>
    <row r="44" spans="1:11" ht="18" customHeight="1">
      <c r="A44" s="208" t="s">
        <v>91</v>
      </c>
      <c r="B44" s="508" t="s">
        <v>425</v>
      </c>
      <c r="C44" s="509"/>
      <c r="D44" s="507"/>
      <c r="F44" s="265">
        <v>592</v>
      </c>
      <c r="G44" s="265">
        <v>5</v>
      </c>
      <c r="H44" s="263">
        <v>22173.360000000001</v>
      </c>
      <c r="I44" s="263">
        <f>H44*F$114</f>
        <v>11507.973840000001</v>
      </c>
      <c r="J44" s="265"/>
      <c r="K44" s="266">
        <f t="shared" si="1"/>
        <v>33681.333839999999</v>
      </c>
    </row>
    <row r="45" spans="1:11" ht="18" customHeight="1">
      <c r="A45" s="208" t="s">
        <v>139</v>
      </c>
      <c r="B45" s="508" t="s">
        <v>424</v>
      </c>
      <c r="C45" s="509"/>
      <c r="D45" s="507"/>
      <c r="F45" s="265">
        <v>5521</v>
      </c>
      <c r="G45" s="265">
        <v>15</v>
      </c>
      <c r="H45" s="263">
        <v>196878.86</v>
      </c>
      <c r="I45" s="263">
        <f>H45*F$114</f>
        <v>102180.12834</v>
      </c>
      <c r="J45" s="216"/>
      <c r="K45" s="211">
        <f t="shared" si="1"/>
        <v>299058.98833999998</v>
      </c>
    </row>
    <row r="46" spans="1:11" ht="21.75" customHeight="1">
      <c r="A46" s="208" t="s">
        <v>140</v>
      </c>
      <c r="B46" s="508" t="s">
        <v>423</v>
      </c>
      <c r="C46" s="509"/>
      <c r="D46" s="507"/>
      <c r="F46" s="265">
        <v>1150</v>
      </c>
      <c r="G46" s="265">
        <v>23</v>
      </c>
      <c r="H46" s="264">
        <v>62077</v>
      </c>
      <c r="I46" s="263">
        <f>H46*F$114</f>
        <v>32217.963</v>
      </c>
      <c r="J46" s="216"/>
      <c r="K46" s="211">
        <f t="shared" si="1"/>
        <v>94294.963000000003</v>
      </c>
    </row>
    <row r="47" spans="1:11" ht="18.75" customHeight="1">
      <c r="A47" s="208" t="s">
        <v>141</v>
      </c>
      <c r="B47" s="508" t="s">
        <v>85</v>
      </c>
      <c r="C47" s="509"/>
      <c r="D47" s="507"/>
      <c r="F47" s="219"/>
      <c r="G47" s="219"/>
      <c r="H47" s="218"/>
      <c r="I47" s="237"/>
      <c r="J47" s="216"/>
      <c r="K47" s="211"/>
    </row>
    <row r="49" spans="1:11" ht="18" customHeight="1">
      <c r="A49" s="200" t="s">
        <v>142</v>
      </c>
      <c r="B49" s="198" t="s">
        <v>143</v>
      </c>
      <c r="E49" s="198" t="s">
        <v>7</v>
      </c>
      <c r="F49" s="202">
        <f>SUM(F40:F47)</f>
        <v>28796</v>
      </c>
      <c r="G49" s="202">
        <f>SUM(G40:G47)</f>
        <v>922</v>
      </c>
      <c r="H49" s="212">
        <f>SUM(H40:H47)</f>
        <v>1038752.11</v>
      </c>
      <c r="I49" s="211">
        <f>SUM(I40:I47)</f>
        <v>539112.34509000008</v>
      </c>
      <c r="J49" s="211"/>
      <c r="K49" s="211">
        <f>SUM(K40:K47)</f>
        <v>1577864.4550900001</v>
      </c>
    </row>
    <row r="50" spans="1:11" ht="18" customHeight="1" thickBot="1">
      <c r="G50" s="225"/>
      <c r="H50" s="226"/>
      <c r="I50" s="225"/>
      <c r="J50" s="225"/>
      <c r="K50" s="225"/>
    </row>
    <row r="51" spans="1:11" ht="18" customHeight="1">
      <c r="A51" s="195"/>
      <c r="F51" s="215" t="s">
        <v>9</v>
      </c>
      <c r="G51" s="215" t="s">
        <v>37</v>
      </c>
      <c r="H51" s="215" t="s">
        <v>29</v>
      </c>
      <c r="I51" s="215" t="s">
        <v>30</v>
      </c>
      <c r="J51" s="215" t="s">
        <v>33</v>
      </c>
      <c r="K51" s="215" t="s">
        <v>34</v>
      </c>
    </row>
    <row r="52" spans="1:11" ht="18" customHeight="1">
      <c r="A52" s="200" t="s">
        <v>92</v>
      </c>
      <c r="B52" s="503" t="s">
        <v>38</v>
      </c>
      <c r="C52" s="504"/>
    </row>
    <row r="53" spans="1:11" ht="18" customHeight="1">
      <c r="A53" s="208" t="s">
        <v>51</v>
      </c>
      <c r="B53" s="505" t="s">
        <v>422</v>
      </c>
      <c r="C53" s="506"/>
      <c r="D53" s="507"/>
      <c r="F53" s="219">
        <v>460</v>
      </c>
      <c r="G53" s="219">
        <v>1600</v>
      </c>
      <c r="H53" s="218">
        <v>62000</v>
      </c>
      <c r="I53" s="218"/>
      <c r="J53" s="216"/>
      <c r="K53" s="211">
        <f t="shared" ref="K53:K63" si="2">(H53+I53)-J53</f>
        <v>62000</v>
      </c>
    </row>
    <row r="54" spans="1:11" ht="18" customHeight="1">
      <c r="A54" s="208" t="s">
        <v>93</v>
      </c>
      <c r="B54" s="255" t="s">
        <v>421</v>
      </c>
      <c r="C54" s="254"/>
      <c r="D54" s="253"/>
      <c r="F54" s="262">
        <v>7514</v>
      </c>
      <c r="G54" s="219">
        <v>6776</v>
      </c>
      <c r="H54" s="218">
        <v>260841</v>
      </c>
      <c r="I54" s="218"/>
      <c r="J54" s="216"/>
      <c r="K54" s="211">
        <f t="shared" si="2"/>
        <v>260841</v>
      </c>
    </row>
    <row r="55" spans="1:11" ht="18" customHeight="1">
      <c r="A55" s="208" t="s">
        <v>94</v>
      </c>
      <c r="B55" s="508" t="s">
        <v>420</v>
      </c>
      <c r="C55" s="509"/>
      <c r="D55" s="507"/>
      <c r="F55" s="262">
        <v>11035</v>
      </c>
      <c r="G55" s="219">
        <v>6905</v>
      </c>
      <c r="H55" s="218">
        <v>430371</v>
      </c>
      <c r="I55" s="218"/>
      <c r="J55" s="216"/>
      <c r="K55" s="211">
        <f t="shared" si="2"/>
        <v>430371</v>
      </c>
    </row>
    <row r="56" spans="1:11" ht="18" customHeight="1">
      <c r="A56" s="208" t="s">
        <v>95</v>
      </c>
      <c r="B56" s="508" t="s">
        <v>419</v>
      </c>
      <c r="C56" s="509"/>
      <c r="D56" s="507"/>
      <c r="F56" s="219" t="s">
        <v>740</v>
      </c>
      <c r="G56" s="219"/>
      <c r="H56" s="218">
        <v>50000</v>
      </c>
      <c r="I56" s="218"/>
      <c r="J56" s="216"/>
      <c r="K56" s="211">
        <f t="shared" si="2"/>
        <v>50000</v>
      </c>
    </row>
    <row r="57" spans="1:11" ht="18" customHeight="1">
      <c r="A57" s="208" t="s">
        <v>96</v>
      </c>
      <c r="B57" s="508" t="s">
        <v>418</v>
      </c>
      <c r="C57" s="509"/>
      <c r="D57" s="507"/>
      <c r="F57" s="219">
        <v>803</v>
      </c>
      <c r="G57" s="219"/>
      <c r="H57" s="218">
        <v>151701</v>
      </c>
      <c r="I57" s="218">
        <f>H57*F$114</f>
        <v>78732.819000000003</v>
      </c>
      <c r="J57" s="216"/>
      <c r="K57" s="211">
        <f t="shared" si="2"/>
        <v>230433.81900000002</v>
      </c>
    </row>
    <row r="58" spans="1:11" ht="18" customHeight="1">
      <c r="A58" s="208" t="s">
        <v>97</v>
      </c>
      <c r="B58" s="255" t="s">
        <v>417</v>
      </c>
      <c r="C58" s="254"/>
      <c r="D58" s="253"/>
      <c r="F58" s="219">
        <v>126</v>
      </c>
      <c r="G58" s="219">
        <v>3152</v>
      </c>
      <c r="H58" s="218">
        <v>103539.93</v>
      </c>
      <c r="I58" s="218">
        <f>H58*F$114</f>
        <v>53737.223669999999</v>
      </c>
      <c r="J58" s="216"/>
      <c r="K58" s="211">
        <f t="shared" si="2"/>
        <v>157277.15367</v>
      </c>
    </row>
    <row r="59" spans="1:11" ht="15">
      <c r="A59" s="208" t="s">
        <v>98</v>
      </c>
      <c r="B59" s="508" t="s">
        <v>416</v>
      </c>
      <c r="C59" s="509"/>
      <c r="D59" s="507"/>
      <c r="F59" s="219"/>
      <c r="G59" s="219">
        <v>3313</v>
      </c>
      <c r="H59" s="218">
        <v>1538149</v>
      </c>
      <c r="I59" s="218">
        <v>131791.128241414</v>
      </c>
      <c r="J59" s="216">
        <v>542577.80000000005</v>
      </c>
      <c r="K59" s="211">
        <f t="shared" si="2"/>
        <v>1127362.3282414139</v>
      </c>
    </row>
    <row r="60" spans="1:11" ht="15">
      <c r="A60" s="208" t="s">
        <v>99</v>
      </c>
      <c r="B60" s="255" t="s">
        <v>415</v>
      </c>
      <c r="C60" s="254"/>
      <c r="D60" s="253"/>
      <c r="F60" s="219">
        <v>2420</v>
      </c>
      <c r="G60" s="219">
        <v>693</v>
      </c>
      <c r="H60" s="218">
        <v>82280</v>
      </c>
      <c r="I60" s="218">
        <f>H60*F$114</f>
        <v>42703.32</v>
      </c>
      <c r="J60" s="216"/>
      <c r="K60" s="211">
        <f t="shared" si="2"/>
        <v>124983.32</v>
      </c>
    </row>
    <row r="61" spans="1:11" ht="18" customHeight="1">
      <c r="A61" s="208" t="s">
        <v>100</v>
      </c>
      <c r="B61" s="255" t="s">
        <v>414</v>
      </c>
      <c r="C61" s="254"/>
      <c r="D61" s="253"/>
      <c r="F61" s="219"/>
      <c r="G61" s="219"/>
      <c r="H61" s="218">
        <v>35816.74</v>
      </c>
      <c r="I61" s="218">
        <f>H61*F$114</f>
        <v>18588.888060000001</v>
      </c>
      <c r="J61" s="216"/>
      <c r="K61" s="211">
        <f t="shared" si="2"/>
        <v>54405.628060000003</v>
      </c>
    </row>
    <row r="62" spans="1:11" ht="18" customHeight="1">
      <c r="A62" s="208" t="s">
        <v>101</v>
      </c>
      <c r="B62" s="255" t="s">
        <v>413</v>
      </c>
      <c r="C62" s="254"/>
      <c r="D62" s="253"/>
      <c r="F62" s="219"/>
      <c r="G62" s="219"/>
      <c r="H62" s="218">
        <v>469127.47</v>
      </c>
      <c r="I62" s="218"/>
      <c r="J62" s="216"/>
      <c r="K62" s="211">
        <f t="shared" si="2"/>
        <v>469127.47</v>
      </c>
    </row>
    <row r="63" spans="1:11" ht="18" customHeight="1">
      <c r="A63" s="208" t="s">
        <v>412</v>
      </c>
      <c r="B63" s="255" t="s">
        <v>411</v>
      </c>
      <c r="C63" s="254"/>
      <c r="D63" s="253"/>
      <c r="F63" s="219"/>
      <c r="G63" s="219"/>
      <c r="H63" s="218">
        <v>10841391</v>
      </c>
      <c r="I63" s="218"/>
      <c r="J63" s="216"/>
      <c r="K63" s="211">
        <f t="shared" si="2"/>
        <v>10841391</v>
      </c>
    </row>
    <row r="64" spans="1:11" ht="18" customHeight="1">
      <c r="A64" s="208" t="s">
        <v>144</v>
      </c>
      <c r="B64" s="198" t="s">
        <v>145</v>
      </c>
      <c r="E64" s="198" t="s">
        <v>7</v>
      </c>
      <c r="F64" s="202">
        <f t="shared" ref="F64:K64" si="3">SUM(F53:F63)</f>
        <v>22358</v>
      </c>
      <c r="G64" s="202">
        <f t="shared" si="3"/>
        <v>22439</v>
      </c>
      <c r="H64" s="212">
        <f t="shared" si="3"/>
        <v>14025217.140000001</v>
      </c>
      <c r="I64" s="211">
        <f t="shared" si="3"/>
        <v>325553.378971414</v>
      </c>
      <c r="J64" s="211">
        <f t="shared" si="3"/>
        <v>542577.80000000005</v>
      </c>
      <c r="K64" s="211">
        <f t="shared" si="3"/>
        <v>13808192.718971413</v>
      </c>
    </row>
    <row r="65" spans="1:11" ht="18" customHeight="1">
      <c r="F65" s="203"/>
      <c r="G65" s="203"/>
      <c r="H65" s="204"/>
      <c r="I65" s="203"/>
      <c r="J65" s="203"/>
      <c r="K65" s="203"/>
    </row>
    <row r="66" spans="1:11" ht="18" customHeight="1">
      <c r="A66" s="195"/>
      <c r="F66" s="261" t="s">
        <v>9</v>
      </c>
      <c r="G66" s="261" t="s">
        <v>37</v>
      </c>
      <c r="H66" s="261" t="s">
        <v>29</v>
      </c>
      <c r="I66" s="261" t="s">
        <v>30</v>
      </c>
      <c r="J66" s="261" t="s">
        <v>33</v>
      </c>
      <c r="K66" s="261" t="s">
        <v>34</v>
      </c>
    </row>
    <row r="67" spans="1:11" ht="18" customHeight="1">
      <c r="A67" s="200" t="s">
        <v>102</v>
      </c>
      <c r="B67" s="198" t="s">
        <v>12</v>
      </c>
      <c r="F67" s="259"/>
      <c r="G67" s="259"/>
      <c r="H67" s="260"/>
      <c r="I67" s="244"/>
      <c r="J67" s="259"/>
      <c r="K67" s="242"/>
    </row>
    <row r="68" spans="1:11" ht="18" customHeight="1">
      <c r="A68" s="208" t="s">
        <v>103</v>
      </c>
      <c r="B68" s="195" t="s">
        <v>52</v>
      </c>
      <c r="F68" s="256"/>
      <c r="G68" s="256"/>
      <c r="H68" s="257">
        <v>1300237</v>
      </c>
      <c r="I68" s="258">
        <v>531742</v>
      </c>
      <c r="J68" s="216">
        <v>555343</v>
      </c>
      <c r="K68" s="211">
        <f>(H68+I68)-J68</f>
        <v>1276636</v>
      </c>
    </row>
    <row r="69" spans="1:11" ht="18" customHeight="1">
      <c r="A69" s="208" t="s">
        <v>104</v>
      </c>
      <c r="B69" s="195" t="s">
        <v>53</v>
      </c>
      <c r="F69" s="256">
        <v>238</v>
      </c>
      <c r="G69" s="256">
        <v>300</v>
      </c>
      <c r="H69" s="257">
        <v>10401.91</v>
      </c>
      <c r="I69" s="217"/>
      <c r="J69" s="256"/>
      <c r="K69" s="211">
        <f>(H69+I69)-J69</f>
        <v>10401.91</v>
      </c>
    </row>
    <row r="70" spans="1:11" ht="18" customHeight="1">
      <c r="A70" s="208" t="s">
        <v>178</v>
      </c>
      <c r="B70" s="255"/>
      <c r="C70" s="254"/>
      <c r="D70" s="253"/>
      <c r="E70" s="198"/>
      <c r="F70" s="252"/>
      <c r="G70" s="252"/>
      <c r="H70" s="251"/>
      <c r="I70" s="217"/>
      <c r="J70" s="250"/>
      <c r="K70" s="211"/>
    </row>
    <row r="71" spans="1:11" ht="18" customHeight="1">
      <c r="A71" s="208" t="s">
        <v>179</v>
      </c>
      <c r="B71" s="255"/>
      <c r="C71" s="254"/>
      <c r="D71" s="253"/>
      <c r="E71" s="198"/>
      <c r="F71" s="252"/>
      <c r="G71" s="252"/>
      <c r="H71" s="251"/>
      <c r="I71" s="217"/>
      <c r="J71" s="250"/>
      <c r="K71" s="211"/>
    </row>
    <row r="72" spans="1:11" ht="18" customHeight="1">
      <c r="A72" s="208" t="s">
        <v>180</v>
      </c>
      <c r="B72" s="249"/>
      <c r="C72" s="248"/>
      <c r="D72" s="247"/>
      <c r="E72" s="198"/>
      <c r="F72" s="219"/>
      <c r="G72" s="219"/>
      <c r="H72" s="218"/>
      <c r="I72" s="217"/>
      <c r="J72" s="216"/>
      <c r="K72" s="211"/>
    </row>
    <row r="73" spans="1:11" ht="18" customHeight="1">
      <c r="A73" s="208"/>
      <c r="E73" s="198"/>
      <c r="F73" s="246"/>
      <c r="G73" s="246"/>
      <c r="H73" s="245"/>
      <c r="I73" s="244"/>
      <c r="J73" s="243"/>
      <c r="K73" s="242"/>
    </row>
    <row r="74" spans="1:11" ht="42.75" customHeight="1">
      <c r="A74" s="200" t="s">
        <v>146</v>
      </c>
      <c r="B74" s="198" t="s">
        <v>147</v>
      </c>
      <c r="E74" s="198" t="s">
        <v>7</v>
      </c>
      <c r="F74" s="241">
        <f t="shared" ref="F74:K74" si="4">SUM(F68:F72)</f>
        <v>238</v>
      </c>
      <c r="G74" s="241">
        <f t="shared" si="4"/>
        <v>300</v>
      </c>
      <c r="H74" s="238">
        <f t="shared" si="4"/>
        <v>1310638.9099999999</v>
      </c>
      <c r="I74" s="240">
        <f t="shared" si="4"/>
        <v>531742</v>
      </c>
      <c r="J74" s="216">
        <f t="shared" si="4"/>
        <v>555343</v>
      </c>
      <c r="K74" s="221">
        <f t="shared" si="4"/>
        <v>1287037.9099999999</v>
      </c>
    </row>
    <row r="75" spans="1:11" ht="18" customHeight="1">
      <c r="A75" s="195"/>
      <c r="F75" s="215" t="s">
        <v>9</v>
      </c>
      <c r="G75" s="215" t="s">
        <v>37</v>
      </c>
      <c r="H75" s="215" t="s">
        <v>29</v>
      </c>
      <c r="I75" s="215" t="s">
        <v>30</v>
      </c>
      <c r="J75" s="215" t="s">
        <v>33</v>
      </c>
      <c r="K75" s="215" t="s">
        <v>34</v>
      </c>
    </row>
    <row r="76" spans="1:11" ht="18" customHeight="1">
      <c r="A76" s="200" t="s">
        <v>105</v>
      </c>
      <c r="B76" s="198" t="s">
        <v>106</v>
      </c>
    </row>
    <row r="77" spans="1:11" ht="18" customHeight="1">
      <c r="A77" s="208" t="s">
        <v>107</v>
      </c>
      <c r="B77" s="195" t="s">
        <v>54</v>
      </c>
      <c r="F77" s="219"/>
      <c r="G77" s="219"/>
      <c r="H77" s="231">
        <v>84710</v>
      </c>
      <c r="I77" s="231"/>
      <c r="J77" s="216"/>
      <c r="K77" s="211">
        <f>(H77+I77)-J77</f>
        <v>84710</v>
      </c>
    </row>
    <row r="78" spans="1:11" ht="18" customHeight="1">
      <c r="A78" s="208" t="s">
        <v>108</v>
      </c>
      <c r="B78" s="195" t="s">
        <v>55</v>
      </c>
      <c r="F78" s="219">
        <v>651</v>
      </c>
      <c r="G78" s="219"/>
      <c r="H78" s="231">
        <v>36208.76</v>
      </c>
      <c r="I78" s="231">
        <f>H78*F$114</f>
        <v>18792.346440000001</v>
      </c>
      <c r="J78" s="216"/>
      <c r="K78" s="211">
        <f>(H78+I78)-J78</f>
        <v>55001.106440000003</v>
      </c>
    </row>
    <row r="79" spans="1:11" ht="18" customHeight="1">
      <c r="A79" s="208" t="s">
        <v>109</v>
      </c>
      <c r="B79" s="195" t="s">
        <v>13</v>
      </c>
      <c r="F79" s="219">
        <v>527</v>
      </c>
      <c r="G79" s="219">
        <v>420</v>
      </c>
      <c r="H79" s="231">
        <v>510360.12</v>
      </c>
      <c r="I79" s="231">
        <f>H79*F$114</f>
        <v>264876.90227999998</v>
      </c>
      <c r="J79" s="216"/>
      <c r="K79" s="211">
        <f>(H79+I79)-J79</f>
        <v>775237.02227999992</v>
      </c>
    </row>
    <row r="80" spans="1:11" ht="18" customHeight="1">
      <c r="A80" s="208" t="s">
        <v>110</v>
      </c>
      <c r="B80" s="195" t="s">
        <v>56</v>
      </c>
      <c r="F80" s="219"/>
      <c r="G80" s="219"/>
      <c r="H80" s="218"/>
      <c r="I80" s="232"/>
      <c r="J80" s="216"/>
      <c r="K80" s="211"/>
    </row>
    <row r="81" spans="1:11" ht="18" customHeight="1">
      <c r="A81" s="208"/>
      <c r="K81" s="239"/>
    </row>
    <row r="82" spans="1:11" ht="18" customHeight="1">
      <c r="A82" s="208" t="s">
        <v>148</v>
      </c>
      <c r="B82" s="198" t="s">
        <v>149</v>
      </c>
      <c r="E82" s="198" t="s">
        <v>7</v>
      </c>
      <c r="F82" s="202">
        <f>SUM(F77:F80)</f>
        <v>1178</v>
      </c>
      <c r="G82" s="202">
        <f>SUM(G77:G80)</f>
        <v>420</v>
      </c>
      <c r="H82" s="238">
        <f>SUM(H77:H80)</f>
        <v>631278.88</v>
      </c>
      <c r="I82" s="221">
        <f>SUM(I77:I80)</f>
        <v>283669.24871999997</v>
      </c>
      <c r="J82" s="221"/>
      <c r="K82" s="221">
        <f>SUM(K77:K80)</f>
        <v>914948.12871999992</v>
      </c>
    </row>
    <row r="83" spans="1:11" ht="42.75" customHeight="1" thickBot="1">
      <c r="A83" s="208"/>
      <c r="F83" s="225"/>
      <c r="G83" s="225"/>
      <c r="H83" s="226"/>
      <c r="I83" s="225"/>
      <c r="J83" s="225"/>
      <c r="K83" s="225"/>
    </row>
    <row r="84" spans="1:11" ht="18" customHeight="1">
      <c r="F84" s="215" t="s">
        <v>9</v>
      </c>
      <c r="G84" s="215" t="s">
        <v>37</v>
      </c>
      <c r="H84" s="215" t="s">
        <v>29</v>
      </c>
      <c r="I84" s="215" t="s">
        <v>30</v>
      </c>
      <c r="J84" s="215" t="s">
        <v>33</v>
      </c>
      <c r="K84" s="215" t="s">
        <v>34</v>
      </c>
    </row>
    <row r="85" spans="1:11" ht="18" customHeight="1">
      <c r="A85" s="200" t="s">
        <v>111</v>
      </c>
      <c r="B85" s="198" t="s">
        <v>57</v>
      </c>
    </row>
    <row r="86" spans="1:11" ht="18" customHeight="1">
      <c r="A86" s="208" t="s">
        <v>112</v>
      </c>
      <c r="B86" s="195" t="s">
        <v>113</v>
      </c>
      <c r="F86" s="219"/>
      <c r="G86" s="219"/>
      <c r="H86" s="237"/>
      <c r="I86" s="232"/>
      <c r="J86" s="216"/>
      <c r="K86" s="211"/>
    </row>
    <row r="87" spans="1:11" ht="18" customHeight="1">
      <c r="A87" s="208" t="s">
        <v>114</v>
      </c>
      <c r="B87" s="195" t="s">
        <v>14</v>
      </c>
      <c r="F87" s="219">
        <v>148</v>
      </c>
      <c r="G87" s="219"/>
      <c r="H87" s="231">
        <v>12973.87</v>
      </c>
      <c r="I87" s="231">
        <f>H87*F$114</f>
        <v>6733.4385300000004</v>
      </c>
      <c r="J87" s="216"/>
      <c r="K87" s="211">
        <f>(H87+I87)-J87</f>
        <v>19707.308530000002</v>
      </c>
    </row>
    <row r="88" spans="1:11" ht="18" customHeight="1">
      <c r="A88" s="208" t="s">
        <v>115</v>
      </c>
      <c r="B88" s="195" t="s">
        <v>116</v>
      </c>
      <c r="F88" s="219">
        <v>904</v>
      </c>
      <c r="G88" s="219"/>
      <c r="H88" s="231">
        <v>29538.2</v>
      </c>
      <c r="I88" s="231">
        <f>H88*F$114</f>
        <v>15330.325800000001</v>
      </c>
      <c r="J88" s="216"/>
      <c r="K88" s="211">
        <f>(H88+I88)-J88</f>
        <v>44868.525800000003</v>
      </c>
    </row>
    <row r="89" spans="1:11" ht="18" customHeight="1">
      <c r="A89" s="208" t="s">
        <v>117</v>
      </c>
      <c r="B89" s="195" t="s">
        <v>410</v>
      </c>
      <c r="F89" s="219">
        <v>372</v>
      </c>
      <c r="G89" s="219"/>
      <c r="H89" s="231">
        <v>20148</v>
      </c>
      <c r="I89" s="231">
        <f>H89*F$114</f>
        <v>10456.812</v>
      </c>
      <c r="J89" s="216"/>
      <c r="K89" s="211">
        <f>(H89+I89)-J89</f>
        <v>30604.811999999998</v>
      </c>
    </row>
    <row r="90" spans="1:11" ht="18" customHeight="1">
      <c r="A90" s="208" t="s">
        <v>118</v>
      </c>
      <c r="B90" s="510" t="s">
        <v>59</v>
      </c>
      <c r="C90" s="510"/>
      <c r="F90" s="219"/>
      <c r="G90" s="219"/>
      <c r="H90" s="231"/>
      <c r="I90" s="231"/>
      <c r="J90" s="216"/>
      <c r="K90" s="211">
        <f>(H90+I90)-J90</f>
        <v>0</v>
      </c>
    </row>
    <row r="91" spans="1:11" ht="18" customHeight="1">
      <c r="A91" s="208" t="s">
        <v>119</v>
      </c>
      <c r="B91" s="195" t="s">
        <v>60</v>
      </c>
      <c r="F91" s="219">
        <v>1007</v>
      </c>
      <c r="G91" s="219"/>
      <c r="H91" s="231">
        <v>63758.22</v>
      </c>
      <c r="I91" s="231">
        <f>H91*F$114</f>
        <v>33090.516179999999</v>
      </c>
      <c r="J91" s="216"/>
      <c r="K91" s="211">
        <f>(H91+I91)-J91</f>
        <v>96848.736180000007</v>
      </c>
    </row>
    <row r="92" spans="1:11" ht="15">
      <c r="A92" s="208" t="s">
        <v>120</v>
      </c>
      <c r="B92" s="195" t="s">
        <v>121</v>
      </c>
      <c r="F92" s="236"/>
      <c r="G92" s="236"/>
      <c r="H92" s="235"/>
      <c r="I92" s="231"/>
      <c r="J92" s="234"/>
      <c r="K92" s="211"/>
    </row>
    <row r="93" spans="1:11" ht="18" customHeight="1">
      <c r="A93" s="208" t="s">
        <v>122</v>
      </c>
      <c r="B93" s="195" t="s">
        <v>123</v>
      </c>
      <c r="F93" s="219">
        <v>127</v>
      </c>
      <c r="G93" s="219">
        <v>54</v>
      </c>
      <c r="H93" s="231">
        <v>8062.52</v>
      </c>
      <c r="I93" s="231"/>
      <c r="J93" s="216"/>
      <c r="K93" s="211">
        <f>(H93+I93)-J93</f>
        <v>8062.52</v>
      </c>
    </row>
    <row r="94" spans="1:11" ht="18" customHeight="1">
      <c r="A94" s="208" t="s">
        <v>124</v>
      </c>
      <c r="B94" s="508" t="s">
        <v>409</v>
      </c>
      <c r="C94" s="509"/>
      <c r="D94" s="507"/>
      <c r="F94" s="219">
        <v>140</v>
      </c>
      <c r="G94" s="219">
        <v>144304</v>
      </c>
      <c r="H94" s="231">
        <v>21610.6</v>
      </c>
      <c r="I94" s="231">
        <f>H94*F$114</f>
        <v>11215.901399999999</v>
      </c>
      <c r="J94" s="216"/>
      <c r="K94" s="211">
        <f>(H94+I94)-J94</f>
        <v>32826.501399999994</v>
      </c>
    </row>
    <row r="95" spans="1:11" ht="18" customHeight="1">
      <c r="A95" s="208" t="s">
        <v>125</v>
      </c>
      <c r="B95" s="508" t="s">
        <v>408</v>
      </c>
      <c r="C95" s="509"/>
      <c r="D95" s="507"/>
      <c r="F95" s="219">
        <v>1235</v>
      </c>
      <c r="G95" s="219"/>
      <c r="H95" s="231">
        <v>51870</v>
      </c>
      <c r="I95" s="231">
        <f>H95*F$114</f>
        <v>26920.530000000002</v>
      </c>
      <c r="J95" s="216"/>
      <c r="K95" s="211">
        <f>(H95+I95)-J95</f>
        <v>78790.53</v>
      </c>
    </row>
    <row r="96" spans="1:11" ht="18" customHeight="1">
      <c r="A96" s="208" t="s">
        <v>126</v>
      </c>
      <c r="B96" s="508"/>
      <c r="C96" s="509"/>
      <c r="D96" s="507"/>
      <c r="F96" s="219"/>
      <c r="G96" s="219"/>
      <c r="H96" s="233"/>
      <c r="I96" s="232"/>
      <c r="J96" s="216"/>
      <c r="K96" s="211"/>
    </row>
    <row r="97" spans="1:11" ht="18" customHeight="1">
      <c r="A97" s="195"/>
    </row>
    <row r="98" spans="1:11" ht="18" customHeight="1">
      <c r="A98" s="200" t="s">
        <v>150</v>
      </c>
      <c r="B98" s="198" t="s">
        <v>151</v>
      </c>
      <c r="E98" s="198" t="s">
        <v>7</v>
      </c>
      <c r="F98" s="202">
        <f>SUM(F86:F96)</f>
        <v>3933</v>
      </c>
      <c r="G98" s="202">
        <f>SUM(G86:G96)</f>
        <v>144358</v>
      </c>
      <c r="H98" s="231">
        <f>SUM(H86:H96)</f>
        <v>207961.41</v>
      </c>
      <c r="I98" s="231">
        <f>SUM(I86:I96)</f>
        <v>103747.52391</v>
      </c>
      <c r="J98" s="202"/>
      <c r="K98" s="211">
        <f>SUM(K86:K96)</f>
        <v>311708.93391000002</v>
      </c>
    </row>
    <row r="99" spans="1:11" ht="18" customHeight="1" thickBot="1">
      <c r="B99" s="198"/>
      <c r="F99" s="225"/>
      <c r="G99" s="225"/>
      <c r="H99" s="226"/>
      <c r="I99" s="225"/>
      <c r="J99" s="225"/>
      <c r="K99" s="225"/>
    </row>
    <row r="100" spans="1:11" ht="18" customHeight="1">
      <c r="F100" s="215" t="s">
        <v>9</v>
      </c>
      <c r="G100" s="215" t="s">
        <v>37</v>
      </c>
      <c r="H100" s="215" t="s">
        <v>29</v>
      </c>
      <c r="I100" s="215" t="s">
        <v>30</v>
      </c>
      <c r="J100" s="215" t="s">
        <v>33</v>
      </c>
      <c r="K100" s="215" t="s">
        <v>34</v>
      </c>
    </row>
    <row r="101" spans="1:11" ht="18" customHeight="1">
      <c r="A101" s="200" t="s">
        <v>130</v>
      </c>
      <c r="B101" s="198" t="s">
        <v>63</v>
      </c>
    </row>
    <row r="102" spans="1:11" ht="18" customHeight="1">
      <c r="A102" s="208" t="s">
        <v>131</v>
      </c>
      <c r="B102" s="195" t="s">
        <v>152</v>
      </c>
      <c r="F102" s="219">
        <v>1100</v>
      </c>
      <c r="G102" s="219"/>
      <c r="H102" s="231">
        <v>37400</v>
      </c>
      <c r="I102" s="231">
        <f>H102*F$114</f>
        <v>19410.600000000002</v>
      </c>
      <c r="J102" s="216"/>
      <c r="K102" s="211">
        <f>(H102+I102)-J102</f>
        <v>56810.600000000006</v>
      </c>
    </row>
    <row r="103" spans="1:11" ht="18" customHeight="1">
      <c r="A103" s="208" t="s">
        <v>132</v>
      </c>
      <c r="B103" s="510" t="s">
        <v>62</v>
      </c>
      <c r="C103" s="510"/>
      <c r="F103" s="219"/>
      <c r="G103" s="219"/>
      <c r="H103" s="218"/>
      <c r="I103" s="217"/>
      <c r="J103" s="216"/>
      <c r="K103" s="211">
        <f>(H103+I103)-J103</f>
        <v>0</v>
      </c>
    </row>
    <row r="104" spans="1:11" ht="18" customHeight="1">
      <c r="A104" s="208" t="s">
        <v>128</v>
      </c>
      <c r="B104" s="508" t="s">
        <v>407</v>
      </c>
      <c r="C104" s="509"/>
      <c r="D104" s="507"/>
      <c r="F104" s="219"/>
      <c r="G104" s="219"/>
      <c r="H104" s="218">
        <v>900</v>
      </c>
      <c r="I104" s="217"/>
      <c r="J104" s="216"/>
      <c r="K104" s="211">
        <f>(H104+I104)-J104</f>
        <v>900</v>
      </c>
    </row>
    <row r="105" spans="1:11" ht="18" customHeight="1">
      <c r="A105" s="208" t="s">
        <v>127</v>
      </c>
      <c r="B105" s="508"/>
      <c r="C105" s="509"/>
      <c r="D105" s="507"/>
      <c r="F105" s="219"/>
      <c r="G105" s="219"/>
      <c r="H105" s="218"/>
      <c r="I105" s="217"/>
      <c r="J105" s="216"/>
      <c r="K105" s="211"/>
    </row>
    <row r="106" spans="1:11" ht="16.5" customHeight="1">
      <c r="A106" s="208" t="s">
        <v>129</v>
      </c>
      <c r="B106" s="508"/>
      <c r="C106" s="509"/>
      <c r="D106" s="507"/>
      <c r="F106" s="219"/>
      <c r="G106" s="219"/>
      <c r="H106" s="218"/>
      <c r="I106" s="217"/>
      <c r="J106" s="216"/>
      <c r="K106" s="211"/>
    </row>
    <row r="107" spans="1:11" ht="18" customHeight="1">
      <c r="B107" s="198"/>
    </row>
    <row r="108" spans="1:11" ht="15">
      <c r="A108" s="200" t="s">
        <v>153</v>
      </c>
      <c r="B108" s="230" t="s">
        <v>154</v>
      </c>
      <c r="E108" s="198" t="s">
        <v>7</v>
      </c>
      <c r="F108" s="202">
        <f>SUM(F102:F106)</f>
        <v>1100</v>
      </c>
      <c r="G108" s="202"/>
      <c r="H108" s="212">
        <f>SUM(H102:H106)</f>
        <v>38300</v>
      </c>
      <c r="I108" s="211">
        <f>SUM(I102:I106)</f>
        <v>19410.600000000002</v>
      </c>
      <c r="J108" s="211"/>
      <c r="K108" s="211">
        <f>SUM(K102:K106)</f>
        <v>57710.600000000006</v>
      </c>
    </row>
    <row r="109" spans="1:11" ht="18" customHeight="1" thickBot="1">
      <c r="A109" s="229"/>
      <c r="B109" s="228"/>
      <c r="C109" s="227"/>
      <c r="D109" s="227"/>
      <c r="E109" s="227"/>
      <c r="F109" s="225"/>
      <c r="G109" s="225"/>
      <c r="H109" s="226"/>
      <c r="I109" s="225"/>
      <c r="J109" s="225"/>
      <c r="K109" s="225"/>
    </row>
    <row r="110" spans="1:11" ht="18" customHeight="1">
      <c r="A110" s="200" t="s">
        <v>156</v>
      </c>
      <c r="B110" s="198" t="s">
        <v>39</v>
      </c>
    </row>
    <row r="111" spans="1:11" ht="18" customHeight="1">
      <c r="A111" s="200" t="s">
        <v>155</v>
      </c>
      <c r="B111" s="198" t="s">
        <v>164</v>
      </c>
      <c r="E111" s="198" t="s">
        <v>7</v>
      </c>
      <c r="F111" s="216">
        <v>6430100</v>
      </c>
    </row>
    <row r="112" spans="1:11" ht="18" customHeight="1">
      <c r="B112" s="198"/>
      <c r="E112" s="198"/>
      <c r="F112" s="223"/>
    </row>
    <row r="113" spans="1:11" ht="18" customHeight="1">
      <c r="A113" s="200"/>
      <c r="B113" s="198" t="s">
        <v>15</v>
      </c>
    </row>
    <row r="114" spans="1:11" ht="18" customHeight="1">
      <c r="A114" s="208" t="s">
        <v>171</v>
      </c>
      <c r="B114" s="195" t="s">
        <v>35</v>
      </c>
      <c r="F114" s="222">
        <v>0.51900000000000002</v>
      </c>
    </row>
    <row r="115" spans="1:11" ht="18" customHeight="1">
      <c r="A115" s="208"/>
      <c r="B115" s="198"/>
    </row>
    <row r="116" spans="1:11" s="224" customFormat="1" ht="18" customHeight="1">
      <c r="A116" s="208" t="s">
        <v>170</v>
      </c>
      <c r="B116" s="198" t="s">
        <v>16</v>
      </c>
      <c r="C116" s="195"/>
      <c r="D116" s="195"/>
      <c r="E116" s="195"/>
      <c r="F116" s="195"/>
      <c r="G116" s="195"/>
      <c r="H116" s="196"/>
      <c r="I116" s="195"/>
      <c r="J116" s="195"/>
      <c r="K116" s="195"/>
    </row>
    <row r="117" spans="1:11" s="224" customFormat="1" ht="18" customHeight="1">
      <c r="A117" s="208" t="s">
        <v>172</v>
      </c>
      <c r="B117" s="195" t="s">
        <v>17</v>
      </c>
      <c r="C117" s="195"/>
      <c r="D117" s="195"/>
      <c r="E117" s="195"/>
      <c r="F117" s="216">
        <v>498647000</v>
      </c>
      <c r="G117" s="195"/>
      <c r="H117" s="196"/>
      <c r="I117" s="195"/>
      <c r="J117" s="195"/>
      <c r="K117" s="195"/>
    </row>
    <row r="118" spans="1:11" s="224" customFormat="1" ht="18" customHeight="1">
      <c r="A118" s="208" t="s">
        <v>173</v>
      </c>
      <c r="B118" s="195" t="s">
        <v>18</v>
      </c>
      <c r="C118" s="195"/>
      <c r="D118" s="195"/>
      <c r="E118" s="195"/>
      <c r="F118" s="216">
        <v>15804000</v>
      </c>
      <c r="G118" s="195"/>
      <c r="H118" s="196"/>
      <c r="I118" s="195"/>
      <c r="J118" s="195"/>
      <c r="K118" s="195"/>
    </row>
    <row r="119" spans="1:11" ht="18" customHeight="1">
      <c r="A119" s="208" t="s">
        <v>174</v>
      </c>
      <c r="B119" s="198" t="s">
        <v>19</v>
      </c>
      <c r="F119" s="221">
        <f>SUM(F117:F118)</f>
        <v>514451000</v>
      </c>
    </row>
    <row r="120" spans="1:11" ht="18" customHeight="1">
      <c r="A120" s="208"/>
      <c r="B120" s="198"/>
    </row>
    <row r="121" spans="1:11" ht="18" customHeight="1">
      <c r="A121" s="208" t="s">
        <v>167</v>
      </c>
      <c r="B121" s="198" t="s">
        <v>36</v>
      </c>
      <c r="F121" s="216">
        <v>500951000</v>
      </c>
    </row>
    <row r="122" spans="1:11" ht="18" customHeight="1">
      <c r="A122" s="208"/>
    </row>
    <row r="123" spans="1:11" ht="18" customHeight="1">
      <c r="A123" s="208" t="s">
        <v>175</v>
      </c>
      <c r="B123" s="198" t="s">
        <v>20</v>
      </c>
      <c r="F123" s="216">
        <v>13500000</v>
      </c>
    </row>
    <row r="124" spans="1:11" ht="18" customHeight="1">
      <c r="A124" s="208"/>
    </row>
    <row r="125" spans="1:11" ht="18" customHeight="1">
      <c r="A125" s="208" t="s">
        <v>176</v>
      </c>
      <c r="B125" s="198" t="s">
        <v>21</v>
      </c>
      <c r="F125" s="216">
        <v>47021000</v>
      </c>
    </row>
    <row r="126" spans="1:11" ht="18" customHeight="1">
      <c r="A126" s="208"/>
    </row>
    <row r="127" spans="1:11" ht="18" customHeight="1">
      <c r="A127" s="208" t="s">
        <v>177</v>
      </c>
      <c r="B127" s="198" t="s">
        <v>22</v>
      </c>
      <c r="F127" s="216">
        <v>33521000</v>
      </c>
    </row>
    <row r="128" spans="1:11" ht="18" customHeight="1">
      <c r="A128" s="208"/>
    </row>
    <row r="129" spans="1:11" ht="18" customHeight="1">
      <c r="F129" s="215" t="s">
        <v>9</v>
      </c>
      <c r="G129" s="215" t="s">
        <v>37</v>
      </c>
      <c r="H129" s="215" t="s">
        <v>29</v>
      </c>
      <c r="I129" s="215" t="s">
        <v>30</v>
      </c>
      <c r="J129" s="215" t="s">
        <v>33</v>
      </c>
      <c r="K129" s="215" t="s">
        <v>34</v>
      </c>
    </row>
    <row r="130" spans="1:11" ht="18" customHeight="1">
      <c r="A130" s="200" t="s">
        <v>157</v>
      </c>
      <c r="B130" s="198" t="s">
        <v>23</v>
      </c>
    </row>
    <row r="131" spans="1:11" ht="18" customHeight="1">
      <c r="A131" s="208" t="s">
        <v>158</v>
      </c>
      <c r="B131" s="195" t="s">
        <v>24</v>
      </c>
      <c r="F131" s="219"/>
      <c r="G131" s="219"/>
      <c r="H131" s="218"/>
      <c r="I131" s="217"/>
      <c r="J131" s="216"/>
      <c r="K131" s="211"/>
    </row>
    <row r="132" spans="1:11" ht="18" customHeight="1">
      <c r="A132" s="208" t="s">
        <v>159</v>
      </c>
      <c r="B132" s="195" t="s">
        <v>25</v>
      </c>
      <c r="F132" s="219"/>
      <c r="G132" s="219"/>
      <c r="H132" s="220"/>
      <c r="I132" s="217"/>
      <c r="J132" s="216"/>
      <c r="K132" s="211"/>
    </row>
    <row r="133" spans="1:11" ht="18" customHeight="1">
      <c r="A133" s="208" t="s">
        <v>160</v>
      </c>
      <c r="B133" s="508"/>
      <c r="C133" s="509"/>
      <c r="D133" s="507"/>
      <c r="F133" s="219"/>
      <c r="G133" s="219"/>
      <c r="H133" s="218"/>
      <c r="I133" s="217"/>
      <c r="J133" s="216"/>
      <c r="K133" s="211"/>
    </row>
    <row r="134" spans="1:11" ht="18" customHeight="1">
      <c r="A134" s="208" t="s">
        <v>161</v>
      </c>
      <c r="B134" s="508"/>
      <c r="C134" s="509"/>
      <c r="D134" s="507"/>
      <c r="F134" s="219"/>
      <c r="G134" s="219"/>
      <c r="H134" s="218"/>
      <c r="I134" s="217"/>
      <c r="J134" s="216"/>
      <c r="K134" s="211"/>
    </row>
    <row r="135" spans="1:11" ht="18" customHeight="1">
      <c r="A135" s="208" t="s">
        <v>162</v>
      </c>
      <c r="B135" s="508"/>
      <c r="C135" s="509"/>
      <c r="D135" s="507"/>
      <c r="F135" s="219"/>
      <c r="G135" s="219"/>
      <c r="H135" s="218"/>
      <c r="I135" s="217"/>
      <c r="J135" s="216"/>
      <c r="K135" s="211"/>
    </row>
    <row r="136" spans="1:11" ht="18" customHeight="1">
      <c r="A136" s="200"/>
    </row>
    <row r="137" spans="1:11" ht="15">
      <c r="A137" s="200" t="s">
        <v>163</v>
      </c>
      <c r="B137" s="198" t="s">
        <v>27</v>
      </c>
      <c r="F137" s="202"/>
      <c r="G137" s="202"/>
      <c r="H137" s="212"/>
      <c r="I137" s="211"/>
      <c r="J137" s="211"/>
      <c r="K137" s="211"/>
    </row>
    <row r="138" spans="1:11" ht="14.25">
      <c r="A138" s="195"/>
    </row>
    <row r="139" spans="1:11" ht="18" customHeight="1">
      <c r="F139" s="215" t="s">
        <v>9</v>
      </c>
      <c r="G139" s="215" t="s">
        <v>37</v>
      </c>
      <c r="H139" s="215" t="s">
        <v>29</v>
      </c>
      <c r="I139" s="215" t="s">
        <v>30</v>
      </c>
      <c r="J139" s="215" t="s">
        <v>33</v>
      </c>
      <c r="K139" s="215" t="s">
        <v>34</v>
      </c>
    </row>
    <row r="140" spans="1:11" ht="18" customHeight="1">
      <c r="A140" s="200" t="s">
        <v>166</v>
      </c>
      <c r="B140" s="198" t="s">
        <v>26</v>
      </c>
    </row>
    <row r="141" spans="1:11" ht="18" customHeight="1">
      <c r="A141" s="208" t="s">
        <v>137</v>
      </c>
      <c r="B141" s="198" t="s">
        <v>64</v>
      </c>
      <c r="F141" s="214">
        <f t="shared" ref="F141:K141" si="5">F36</f>
        <v>28640</v>
      </c>
      <c r="G141" s="214">
        <f t="shared" si="5"/>
        <v>86883</v>
      </c>
      <c r="H141" s="213">
        <f t="shared" si="5"/>
        <v>2210393.19</v>
      </c>
      <c r="I141" s="205">
        <f t="shared" si="5"/>
        <v>1155154.3422900001</v>
      </c>
      <c r="J141" s="205">
        <f t="shared" si="5"/>
        <v>64567</v>
      </c>
      <c r="K141" s="205">
        <f t="shared" si="5"/>
        <v>3300980.53229</v>
      </c>
    </row>
    <row r="142" spans="1:11" ht="18" customHeight="1">
      <c r="A142" s="208" t="s">
        <v>142</v>
      </c>
      <c r="B142" s="198" t="s">
        <v>65</v>
      </c>
      <c r="F142" s="214">
        <f>F49</f>
        <v>28796</v>
      </c>
      <c r="G142" s="214">
        <f>G49</f>
        <v>922</v>
      </c>
      <c r="H142" s="213">
        <f>H49</f>
        <v>1038752.11</v>
      </c>
      <c r="I142" s="205">
        <f>I49</f>
        <v>539112.34509000008</v>
      </c>
      <c r="J142" s="205"/>
      <c r="K142" s="205">
        <f>K49</f>
        <v>1577864.4550900001</v>
      </c>
    </row>
    <row r="143" spans="1:11" ht="18" customHeight="1">
      <c r="A143" s="208" t="s">
        <v>144</v>
      </c>
      <c r="B143" s="198" t="s">
        <v>66</v>
      </c>
      <c r="F143" s="214">
        <f t="shared" ref="F143:K143" si="6">F64</f>
        <v>22358</v>
      </c>
      <c r="G143" s="214">
        <f t="shared" si="6"/>
        <v>22439</v>
      </c>
      <c r="H143" s="213">
        <f t="shared" si="6"/>
        <v>14025217.140000001</v>
      </c>
      <c r="I143" s="205">
        <f t="shared" si="6"/>
        <v>325553.378971414</v>
      </c>
      <c r="J143" s="205">
        <f t="shared" si="6"/>
        <v>542577.80000000005</v>
      </c>
      <c r="K143" s="205">
        <f t="shared" si="6"/>
        <v>13808192.718971413</v>
      </c>
    </row>
    <row r="144" spans="1:11" ht="18" customHeight="1">
      <c r="A144" s="208" t="s">
        <v>146</v>
      </c>
      <c r="B144" s="198" t="s">
        <v>67</v>
      </c>
      <c r="F144" s="214">
        <f t="shared" ref="F144:K144" si="7">F74</f>
        <v>238</v>
      </c>
      <c r="G144" s="214">
        <f t="shared" si="7"/>
        <v>300</v>
      </c>
      <c r="H144" s="213">
        <f t="shared" si="7"/>
        <v>1310638.9099999999</v>
      </c>
      <c r="I144" s="205">
        <f t="shared" si="7"/>
        <v>531742</v>
      </c>
      <c r="J144" s="205">
        <f t="shared" si="7"/>
        <v>555343</v>
      </c>
      <c r="K144" s="205">
        <f t="shared" si="7"/>
        <v>1287037.9099999999</v>
      </c>
    </row>
    <row r="145" spans="1:11" ht="18" customHeight="1">
      <c r="A145" s="208" t="s">
        <v>148</v>
      </c>
      <c r="B145" s="198" t="s">
        <v>68</v>
      </c>
      <c r="F145" s="214">
        <f>F82</f>
        <v>1178</v>
      </c>
      <c r="G145" s="214">
        <f>G82</f>
        <v>420</v>
      </c>
      <c r="H145" s="213">
        <f>H82</f>
        <v>631278.88</v>
      </c>
      <c r="I145" s="205">
        <f>I82</f>
        <v>283669.24871999997</v>
      </c>
      <c r="J145" s="205"/>
      <c r="K145" s="205">
        <f>K82</f>
        <v>914948.12871999992</v>
      </c>
    </row>
    <row r="146" spans="1:11" ht="18" customHeight="1">
      <c r="A146" s="208" t="s">
        <v>150</v>
      </c>
      <c r="B146" s="198" t="s">
        <v>69</v>
      </c>
      <c r="F146" s="214">
        <f>F98</f>
        <v>3933</v>
      </c>
      <c r="G146" s="214">
        <f>G98</f>
        <v>144358</v>
      </c>
      <c r="H146" s="213">
        <f>H98</f>
        <v>207961.41</v>
      </c>
      <c r="I146" s="205">
        <f>I98</f>
        <v>103747.52391</v>
      </c>
      <c r="J146" s="205"/>
      <c r="K146" s="205">
        <f>K98</f>
        <v>311708.93391000002</v>
      </c>
    </row>
    <row r="147" spans="1:11" ht="15">
      <c r="A147" s="208" t="s">
        <v>153</v>
      </c>
      <c r="B147" s="198" t="s">
        <v>61</v>
      </c>
      <c r="F147" s="202">
        <f>F108</f>
        <v>1100</v>
      </c>
      <c r="G147" s="202">
        <f>G108</f>
        <v>0</v>
      </c>
      <c r="H147" s="212">
        <f>H108</f>
        <v>38300</v>
      </c>
      <c r="I147" s="211">
        <f>I108</f>
        <v>19410.600000000002</v>
      </c>
      <c r="J147" s="211"/>
      <c r="K147" s="205">
        <f>K108</f>
        <v>57710.600000000006</v>
      </c>
    </row>
    <row r="148" spans="1:11" ht="18" customHeight="1">
      <c r="A148" s="208" t="s">
        <v>155</v>
      </c>
      <c r="B148" s="198" t="s">
        <v>70</v>
      </c>
      <c r="F148" s="207" t="s">
        <v>73</v>
      </c>
      <c r="G148" s="207" t="s">
        <v>73</v>
      </c>
      <c r="H148" s="210" t="s">
        <v>73</v>
      </c>
      <c r="I148" s="209" t="s">
        <v>73</v>
      </c>
      <c r="J148" s="209" t="s">
        <v>73</v>
      </c>
      <c r="K148" s="205">
        <f>F111</f>
        <v>6430100</v>
      </c>
    </row>
    <row r="149" spans="1:11" ht="18" customHeight="1">
      <c r="A149" s="208" t="s">
        <v>163</v>
      </c>
      <c r="B149" s="198" t="s">
        <v>71</v>
      </c>
      <c r="F149" s="202"/>
      <c r="G149" s="202"/>
      <c r="H149" s="206"/>
      <c r="I149" s="202"/>
      <c r="J149" s="202"/>
      <c r="K149" s="205"/>
    </row>
    <row r="150" spans="1:11" ht="18" customHeight="1">
      <c r="A150" s="208" t="s">
        <v>185</v>
      </c>
      <c r="B150" s="198" t="s">
        <v>186</v>
      </c>
      <c r="F150" s="207" t="s">
        <v>73</v>
      </c>
      <c r="G150" s="207" t="s">
        <v>73</v>
      </c>
      <c r="H150" s="206">
        <f>H18</f>
        <v>12144983</v>
      </c>
      <c r="I150" s="202"/>
      <c r="J150" s="202">
        <f>J18</f>
        <v>10385479</v>
      </c>
      <c r="K150" s="205">
        <f>K18</f>
        <v>1759504</v>
      </c>
    </row>
    <row r="151" spans="1:11" ht="18" customHeight="1">
      <c r="B151" s="198"/>
      <c r="F151" s="203"/>
      <c r="G151" s="203"/>
      <c r="H151" s="204"/>
      <c r="I151" s="203"/>
      <c r="J151" s="203"/>
      <c r="K151" s="203"/>
    </row>
    <row r="152" spans="1:11" ht="18" customHeight="1">
      <c r="A152" s="200" t="s">
        <v>165</v>
      </c>
      <c r="B152" s="198" t="s">
        <v>26</v>
      </c>
      <c r="F152" s="202">
        <f t="shared" ref="F152:K152" si="8">SUM(F141:F150)</f>
        <v>86243</v>
      </c>
      <c r="G152" s="202">
        <f t="shared" si="8"/>
        <v>255322</v>
      </c>
      <c r="H152" s="201">
        <f t="shared" si="8"/>
        <v>31607524.640000001</v>
      </c>
      <c r="I152" s="201">
        <f t="shared" si="8"/>
        <v>2958389.4389814138</v>
      </c>
      <c r="J152" s="201">
        <f t="shared" si="8"/>
        <v>11547966.800000001</v>
      </c>
      <c r="K152" s="201">
        <f t="shared" si="8"/>
        <v>29448047.278981417</v>
      </c>
    </row>
    <row r="154" spans="1:11" ht="18" customHeight="1">
      <c r="A154" s="200" t="s">
        <v>168</v>
      </c>
      <c r="B154" s="198" t="s">
        <v>28</v>
      </c>
      <c r="F154" s="199">
        <f>K152/F121</f>
        <v>5.8784286844384817E-2</v>
      </c>
    </row>
    <row r="155" spans="1:11" ht="18" customHeight="1">
      <c r="A155" s="200" t="s">
        <v>169</v>
      </c>
      <c r="B155" s="198" t="s">
        <v>72</v>
      </c>
      <c r="F155" s="199">
        <f>K152/F127</f>
        <v>0.87849548876768047</v>
      </c>
      <c r="G155" s="198"/>
      <c r="H155" s="195"/>
    </row>
    <row r="156" spans="1:11" ht="18" customHeight="1">
      <c r="G156" s="198"/>
      <c r="H156" s="195"/>
    </row>
  </sheetData>
  <sheetProtection password="EF72" sheet="1" objects="1" scenarios="1"/>
  <mergeCells count="30">
    <mergeCell ref="B56:D56"/>
    <mergeCell ref="D2:H2"/>
    <mergeCell ref="B45:D45"/>
    <mergeCell ref="B46:D46"/>
    <mergeCell ref="B47:D47"/>
    <mergeCell ref="C11:G11"/>
    <mergeCell ref="B41:C41"/>
    <mergeCell ref="B44:D44"/>
    <mergeCell ref="B13:H13"/>
    <mergeCell ref="C5:G5"/>
    <mergeCell ref="C6:G6"/>
    <mergeCell ref="C7:G7"/>
    <mergeCell ref="C9:G9"/>
    <mergeCell ref="C10:G10"/>
    <mergeCell ref="B52:C52"/>
    <mergeCell ref="B53:D53"/>
    <mergeCell ref="B135:D135"/>
    <mergeCell ref="B133:D133"/>
    <mergeCell ref="B104:D104"/>
    <mergeCell ref="B105:D105"/>
    <mergeCell ref="B106:D106"/>
    <mergeCell ref="B103:C103"/>
    <mergeCell ref="B134:D134"/>
    <mergeCell ref="B96:D96"/>
    <mergeCell ref="B95:D95"/>
    <mergeCell ref="B57:D57"/>
    <mergeCell ref="B94:D94"/>
    <mergeCell ref="B90:C90"/>
    <mergeCell ref="B59:D59"/>
    <mergeCell ref="B55:D55"/>
  </mergeCells>
  <hyperlinks>
    <hyperlink ref="C11" r:id="rId1"/>
  </hyperlinks>
  <printOptions headings="1" gridLines="1"/>
  <pageMargins left="0.1" right="0.1" top="0.1" bottom="0.1" header="0.1" footer="0.1"/>
  <pageSetup scale="59" fitToHeight="3" orientation="landscape" copies="2" r:id="rId2"/>
  <headerFooter alignWithMargins="0">
    <oddFooter>&amp;L&amp;Z&amp;F.xls&amp;C&amp;P of &amp;N&amp;R&amp;D</oddFooter>
  </headerFooter>
  <rowBreaks count="3" manualBreakCount="3">
    <brk id="37" max="11" man="1"/>
    <brk id="74" max="11" man="1"/>
    <brk id="128" max="11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90" zoomScaleNormal="50" zoomScaleSheetLayoutView="90" workbookViewId="0"/>
  </sheetViews>
  <sheetFormatPr defaultColWidth="9.140625" defaultRowHeight="18" customHeight="1"/>
  <cols>
    <col min="1" max="1" width="8.28515625" style="96" customWidth="1"/>
    <col min="2" max="2" width="55.42578125" style="95" bestFit="1" customWidth="1"/>
    <col min="3" max="3" width="9.5703125" style="95" customWidth="1"/>
    <col min="4" max="4" width="9.140625" style="95"/>
    <col min="5" max="5" width="12.42578125" style="95" customWidth="1"/>
    <col min="6" max="6" width="18.5703125" style="95" customWidth="1"/>
    <col min="7" max="7" width="23.5703125" style="95" customWidth="1"/>
    <col min="8" max="8" width="17.140625" style="95" customWidth="1"/>
    <col min="9" max="9" width="21.140625" style="95" customWidth="1"/>
    <col min="10" max="10" width="19.85546875" style="95" customWidth="1"/>
    <col min="11" max="11" width="17.5703125" style="95" customWidth="1"/>
    <col min="12" max="16384" width="9.140625" style="95"/>
  </cols>
  <sheetData>
    <row r="1" spans="1:11" ht="18" customHeight="1">
      <c r="C1" s="158"/>
      <c r="D1" s="159"/>
      <c r="E1" s="158"/>
      <c r="F1" s="158"/>
      <c r="G1" s="158"/>
      <c r="H1" s="158"/>
      <c r="I1" s="158"/>
      <c r="J1" s="158"/>
      <c r="K1" s="158"/>
    </row>
    <row r="2" spans="1:11" ht="18" customHeight="1">
      <c r="D2" s="600" t="s">
        <v>187</v>
      </c>
      <c r="E2" s="601"/>
      <c r="F2" s="601"/>
      <c r="G2" s="601"/>
      <c r="H2" s="601"/>
    </row>
    <row r="3" spans="1:11" ht="18" customHeight="1">
      <c r="B3" s="97" t="s">
        <v>0</v>
      </c>
    </row>
    <row r="5" spans="1:11" ht="18" customHeight="1">
      <c r="B5" s="104" t="s">
        <v>40</v>
      </c>
      <c r="C5" s="602" t="s">
        <v>295</v>
      </c>
      <c r="D5" s="603"/>
      <c r="E5" s="603"/>
      <c r="F5" s="603"/>
      <c r="G5" s="604"/>
    </row>
    <row r="6" spans="1:11" ht="18" customHeight="1">
      <c r="B6" s="104" t="s">
        <v>3</v>
      </c>
      <c r="C6" s="661">
        <v>2004</v>
      </c>
      <c r="D6" s="662"/>
      <c r="E6" s="662"/>
      <c r="F6" s="662"/>
      <c r="G6" s="663"/>
    </row>
    <row r="7" spans="1:11" ht="18" customHeight="1">
      <c r="B7" s="104" t="s">
        <v>4</v>
      </c>
      <c r="C7" s="633">
        <v>2385</v>
      </c>
      <c r="D7" s="659"/>
      <c r="E7" s="659"/>
      <c r="F7" s="659"/>
      <c r="G7" s="660"/>
    </row>
    <row r="9" spans="1:11" ht="18" customHeight="1">
      <c r="B9" s="104" t="s">
        <v>1</v>
      </c>
      <c r="C9" s="602" t="s">
        <v>285</v>
      </c>
      <c r="D9" s="603"/>
      <c r="E9" s="603"/>
      <c r="F9" s="603"/>
      <c r="G9" s="604"/>
    </row>
    <row r="10" spans="1:11" ht="18" customHeight="1">
      <c r="B10" s="104" t="s">
        <v>2</v>
      </c>
      <c r="C10" s="611" t="s">
        <v>284</v>
      </c>
      <c r="D10" s="612"/>
      <c r="E10" s="612"/>
      <c r="F10" s="612"/>
      <c r="G10" s="613"/>
    </row>
    <row r="11" spans="1:11" ht="18" customHeight="1">
      <c r="B11" s="104" t="s">
        <v>32</v>
      </c>
      <c r="C11" s="602" t="s">
        <v>283</v>
      </c>
      <c r="D11" s="614"/>
      <c r="E11" s="614"/>
      <c r="F11" s="614"/>
      <c r="G11" s="614"/>
    </row>
    <row r="12" spans="1:11" ht="18" customHeight="1">
      <c r="B12" s="104"/>
      <c r="C12" s="104"/>
      <c r="D12" s="104"/>
      <c r="E12" s="104"/>
      <c r="F12" s="104"/>
      <c r="G12" s="104"/>
    </row>
    <row r="13" spans="1:11" ht="24.6" customHeight="1">
      <c r="B13" s="615"/>
      <c r="C13" s="616"/>
      <c r="D13" s="616"/>
      <c r="E13" s="616"/>
      <c r="F13" s="616"/>
      <c r="G13" s="616"/>
      <c r="H13" s="617"/>
      <c r="I13" s="158"/>
    </row>
    <row r="14" spans="1:11" ht="18" customHeight="1">
      <c r="B14" s="160"/>
    </row>
    <row r="15" spans="1:11" ht="18" customHeight="1">
      <c r="B15" s="160"/>
    </row>
    <row r="16" spans="1:11" ht="45" customHeight="1">
      <c r="A16" s="159" t="s">
        <v>181</v>
      </c>
      <c r="B16" s="158"/>
      <c r="C16" s="158"/>
      <c r="D16" s="158"/>
      <c r="E16" s="158"/>
      <c r="F16" s="108" t="s">
        <v>9</v>
      </c>
      <c r="G16" s="108" t="s">
        <v>37</v>
      </c>
      <c r="H16" s="108" t="s">
        <v>29</v>
      </c>
      <c r="I16" s="108" t="s">
        <v>30</v>
      </c>
      <c r="J16" s="108" t="s">
        <v>33</v>
      </c>
      <c r="K16" s="108" t="s">
        <v>34</v>
      </c>
    </row>
    <row r="17" spans="1:11" ht="18" customHeight="1">
      <c r="A17" s="99" t="s">
        <v>184</v>
      </c>
      <c r="B17" s="97" t="s">
        <v>182</v>
      </c>
    </row>
    <row r="18" spans="1:11" ht="18" customHeight="1">
      <c r="A18" s="104" t="s">
        <v>185</v>
      </c>
      <c r="B18" s="114" t="s">
        <v>183</v>
      </c>
      <c r="F18" s="112" t="s">
        <v>73</v>
      </c>
      <c r="G18" s="112" t="s">
        <v>73</v>
      </c>
      <c r="H18" s="110">
        <v>8141324</v>
      </c>
      <c r="I18" s="111">
        <v>0</v>
      </c>
      <c r="J18" s="110">
        <v>6961850</v>
      </c>
      <c r="K18" s="109">
        <f>(H18+I18)-J18</f>
        <v>1179474</v>
      </c>
    </row>
    <row r="19" spans="1:11" ht="45" customHeight="1">
      <c r="A19" s="159" t="s">
        <v>8</v>
      </c>
      <c r="B19" s="158"/>
      <c r="C19" s="158"/>
      <c r="D19" s="158"/>
      <c r="E19" s="158"/>
      <c r="F19" s="108" t="s">
        <v>9</v>
      </c>
      <c r="G19" s="108" t="s">
        <v>37</v>
      </c>
      <c r="H19" s="108" t="s">
        <v>29</v>
      </c>
      <c r="I19" s="108" t="s">
        <v>30</v>
      </c>
      <c r="J19" s="108" t="s">
        <v>33</v>
      </c>
      <c r="K19" s="108" t="s">
        <v>34</v>
      </c>
    </row>
    <row r="20" spans="1:11" ht="18" customHeight="1">
      <c r="A20" s="99" t="s">
        <v>74</v>
      </c>
      <c r="B20" s="97" t="s">
        <v>41</v>
      </c>
    </row>
    <row r="21" spans="1:11" ht="18" customHeight="1">
      <c r="A21" s="104" t="s">
        <v>75</v>
      </c>
      <c r="B21" s="114" t="s">
        <v>42</v>
      </c>
      <c r="F21" s="112">
        <v>5269</v>
      </c>
      <c r="G21" s="112">
        <v>91515</v>
      </c>
      <c r="H21" s="110">
        <v>378980</v>
      </c>
      <c r="I21" s="111">
        <v>205560</v>
      </c>
      <c r="J21" s="110">
        <v>58720</v>
      </c>
      <c r="K21" s="109">
        <f t="shared" ref="K21:K34" si="0">(H21+I21)-J21</f>
        <v>525820</v>
      </c>
    </row>
    <row r="22" spans="1:11" ht="18" customHeight="1">
      <c r="A22" s="104" t="s">
        <v>76</v>
      </c>
      <c r="B22" s="95" t="s">
        <v>6</v>
      </c>
      <c r="F22" s="112"/>
      <c r="G22" s="112"/>
      <c r="H22" s="110"/>
      <c r="I22" s="111">
        <f>H22*F$114</f>
        <v>0</v>
      </c>
      <c r="J22" s="110"/>
      <c r="K22" s="109">
        <f t="shared" si="0"/>
        <v>0</v>
      </c>
    </row>
    <row r="23" spans="1:11" ht="18" customHeight="1">
      <c r="A23" s="104" t="s">
        <v>77</v>
      </c>
      <c r="B23" s="95" t="s">
        <v>43</v>
      </c>
      <c r="F23" s="112"/>
      <c r="G23" s="112"/>
      <c r="H23" s="110"/>
      <c r="I23" s="111">
        <f>H23*F$114</f>
        <v>0</v>
      </c>
      <c r="J23" s="110"/>
      <c r="K23" s="109">
        <f t="shared" si="0"/>
        <v>0</v>
      </c>
    </row>
    <row r="24" spans="1:11" ht="18" customHeight="1">
      <c r="A24" s="104" t="s">
        <v>78</v>
      </c>
      <c r="B24" s="95" t="s">
        <v>44</v>
      </c>
      <c r="F24" s="112">
        <v>2702.5</v>
      </c>
      <c r="G24" s="112">
        <v>5888</v>
      </c>
      <c r="H24" s="110">
        <v>132016</v>
      </c>
      <c r="I24" s="111">
        <v>73515</v>
      </c>
      <c r="J24" s="110">
        <v>6060</v>
      </c>
      <c r="K24" s="109">
        <f t="shared" si="0"/>
        <v>199471</v>
      </c>
    </row>
    <row r="25" spans="1:11" ht="18" customHeight="1">
      <c r="A25" s="104" t="s">
        <v>79</v>
      </c>
      <c r="B25" s="95" t="s">
        <v>5</v>
      </c>
      <c r="F25" s="112"/>
      <c r="G25" s="112"/>
      <c r="H25" s="110"/>
      <c r="I25" s="111">
        <f>H25*F$114</f>
        <v>0</v>
      </c>
      <c r="J25" s="110"/>
      <c r="K25" s="109">
        <f t="shared" si="0"/>
        <v>0</v>
      </c>
    </row>
    <row r="26" spans="1:11" ht="18" customHeight="1">
      <c r="A26" s="104" t="s">
        <v>80</v>
      </c>
      <c r="B26" s="95" t="s">
        <v>45</v>
      </c>
      <c r="F26" s="112"/>
      <c r="G26" s="112"/>
      <c r="H26" s="110"/>
      <c r="I26" s="111">
        <f>H26*F$114</f>
        <v>0</v>
      </c>
      <c r="J26" s="110"/>
      <c r="K26" s="109">
        <f t="shared" si="0"/>
        <v>0</v>
      </c>
    </row>
    <row r="27" spans="1:11" ht="18" customHeight="1">
      <c r="A27" s="104" t="s">
        <v>81</v>
      </c>
      <c r="B27" s="95" t="s">
        <v>46</v>
      </c>
      <c r="F27" s="112"/>
      <c r="G27" s="112"/>
      <c r="H27" s="110"/>
      <c r="I27" s="111">
        <f>H27*F$114</f>
        <v>0</v>
      </c>
      <c r="J27" s="110"/>
      <c r="K27" s="109">
        <f t="shared" si="0"/>
        <v>0</v>
      </c>
    </row>
    <row r="28" spans="1:11" ht="18" customHeight="1">
      <c r="A28" s="104" t="s">
        <v>82</v>
      </c>
      <c r="B28" s="95" t="s">
        <v>47</v>
      </c>
      <c r="F28" s="112"/>
      <c r="G28" s="112"/>
      <c r="H28" s="110"/>
      <c r="I28" s="111">
        <f>H28*F$114</f>
        <v>0</v>
      </c>
      <c r="J28" s="110"/>
      <c r="K28" s="109">
        <f t="shared" si="0"/>
        <v>0</v>
      </c>
    </row>
    <row r="29" spans="1:11" ht="18" customHeight="1">
      <c r="A29" s="104" t="s">
        <v>83</v>
      </c>
      <c r="B29" s="95" t="s">
        <v>48</v>
      </c>
      <c r="F29" s="112">
        <v>2080</v>
      </c>
      <c r="G29" s="112">
        <v>0</v>
      </c>
      <c r="H29" s="110">
        <v>108281</v>
      </c>
      <c r="I29" s="111">
        <v>60011</v>
      </c>
      <c r="J29" s="110">
        <v>0</v>
      </c>
      <c r="K29" s="109">
        <f t="shared" si="0"/>
        <v>168292</v>
      </c>
    </row>
    <row r="30" spans="1:11" ht="18" customHeight="1">
      <c r="A30" s="104" t="s">
        <v>84</v>
      </c>
      <c r="B30" s="618" t="s">
        <v>294</v>
      </c>
      <c r="C30" s="619"/>
      <c r="D30" s="620"/>
      <c r="F30" s="112">
        <v>8411</v>
      </c>
      <c r="G30" s="112">
        <v>15349</v>
      </c>
      <c r="H30" s="110">
        <v>207286</v>
      </c>
      <c r="I30" s="111">
        <f>H30*F$114</f>
        <v>114007.3</v>
      </c>
      <c r="J30" s="110">
        <v>0</v>
      </c>
      <c r="K30" s="109">
        <f t="shared" si="0"/>
        <v>321293.3</v>
      </c>
    </row>
    <row r="31" spans="1:11" ht="18" customHeight="1">
      <c r="A31" s="104" t="s">
        <v>133</v>
      </c>
      <c r="B31" s="618"/>
      <c r="C31" s="619"/>
      <c r="D31" s="620"/>
      <c r="F31" s="112"/>
      <c r="G31" s="112"/>
      <c r="H31" s="110"/>
      <c r="I31" s="111">
        <f>H31*F$114</f>
        <v>0</v>
      </c>
      <c r="J31" s="110"/>
      <c r="K31" s="109">
        <f t="shared" si="0"/>
        <v>0</v>
      </c>
    </row>
    <row r="32" spans="1:11" ht="18" customHeight="1">
      <c r="A32" s="104" t="s">
        <v>134</v>
      </c>
      <c r="B32" s="157"/>
      <c r="C32" s="145"/>
      <c r="D32" s="144"/>
      <c r="F32" s="112"/>
      <c r="G32" s="156" t="s">
        <v>85</v>
      </c>
      <c r="H32" s="110"/>
      <c r="I32" s="111">
        <f>H32*F$114</f>
        <v>0</v>
      </c>
      <c r="J32" s="110"/>
      <c r="K32" s="109">
        <f t="shared" si="0"/>
        <v>0</v>
      </c>
    </row>
    <row r="33" spans="1:11" ht="18" customHeight="1">
      <c r="A33" s="104" t="s">
        <v>135</v>
      </c>
      <c r="B33" s="157"/>
      <c r="C33" s="145"/>
      <c r="D33" s="144"/>
      <c r="F33" s="112"/>
      <c r="G33" s="156" t="s">
        <v>85</v>
      </c>
      <c r="H33" s="110"/>
      <c r="I33" s="111">
        <f>H33*F$114</f>
        <v>0</v>
      </c>
      <c r="J33" s="110"/>
      <c r="K33" s="109">
        <f t="shared" si="0"/>
        <v>0</v>
      </c>
    </row>
    <row r="34" spans="1:11" ht="18" customHeight="1">
      <c r="A34" s="104" t="s">
        <v>136</v>
      </c>
      <c r="B34" s="618"/>
      <c r="C34" s="619"/>
      <c r="D34" s="620"/>
      <c r="F34" s="112"/>
      <c r="G34" s="156" t="s">
        <v>85</v>
      </c>
      <c r="H34" s="110"/>
      <c r="I34" s="111">
        <f>H34*F$114</f>
        <v>0</v>
      </c>
      <c r="J34" s="110"/>
      <c r="K34" s="109">
        <f t="shared" si="0"/>
        <v>0</v>
      </c>
    </row>
    <row r="35" spans="1:11" ht="18" customHeight="1">
      <c r="K35" s="155"/>
    </row>
    <row r="36" spans="1:11" ht="18" customHeight="1">
      <c r="A36" s="99" t="s">
        <v>137</v>
      </c>
      <c r="B36" s="97" t="s">
        <v>138</v>
      </c>
      <c r="E36" s="97" t="s">
        <v>7</v>
      </c>
      <c r="F36" s="102">
        <f t="shared" ref="F36:K36" si="1">SUM(F21:F34)</f>
        <v>18462.5</v>
      </c>
      <c r="G36" s="102">
        <f t="shared" si="1"/>
        <v>112752</v>
      </c>
      <c r="H36" s="102">
        <f t="shared" si="1"/>
        <v>826563</v>
      </c>
      <c r="I36" s="109">
        <f t="shared" si="1"/>
        <v>453093.3</v>
      </c>
      <c r="J36" s="109">
        <f t="shared" si="1"/>
        <v>64780</v>
      </c>
      <c r="K36" s="109">
        <f t="shared" si="1"/>
        <v>1214876.3</v>
      </c>
    </row>
    <row r="37" spans="1:11" ht="18" customHeight="1" thickBot="1">
      <c r="B37" s="97"/>
      <c r="F37" s="154"/>
      <c r="G37" s="154"/>
      <c r="H37" s="153"/>
      <c r="I37" s="153"/>
      <c r="J37" s="153"/>
      <c r="K37" s="152"/>
    </row>
    <row r="38" spans="1:11" ht="42.75" customHeight="1">
      <c r="F38" s="108" t="s">
        <v>9</v>
      </c>
      <c r="G38" s="108" t="s">
        <v>37</v>
      </c>
      <c r="H38" s="108" t="s">
        <v>29</v>
      </c>
      <c r="I38" s="108" t="s">
        <v>30</v>
      </c>
      <c r="J38" s="108" t="s">
        <v>33</v>
      </c>
      <c r="K38" s="108" t="s">
        <v>34</v>
      </c>
    </row>
    <row r="39" spans="1:11" ht="18.75" customHeight="1">
      <c r="A39" s="99" t="s">
        <v>86</v>
      </c>
      <c r="B39" s="97" t="s">
        <v>49</v>
      </c>
    </row>
    <row r="40" spans="1:11" ht="18" customHeight="1">
      <c r="A40" s="104" t="s">
        <v>87</v>
      </c>
      <c r="B40" s="95" t="s">
        <v>31</v>
      </c>
      <c r="F40" s="112">
        <v>100869</v>
      </c>
      <c r="G40" s="112">
        <v>0</v>
      </c>
      <c r="H40" s="110">
        <v>5372375</v>
      </c>
      <c r="I40" s="111">
        <v>2954806</v>
      </c>
      <c r="J40" s="110">
        <v>0</v>
      </c>
      <c r="K40" s="109">
        <f t="shared" ref="K40:K47" si="2">(H40+I40)-J40</f>
        <v>8327181</v>
      </c>
    </row>
    <row r="41" spans="1:11" ht="18" customHeight="1">
      <c r="A41" s="104" t="s">
        <v>88</v>
      </c>
      <c r="B41" s="598" t="s">
        <v>50</v>
      </c>
      <c r="C41" s="599"/>
      <c r="F41" s="112">
        <v>2664</v>
      </c>
      <c r="G41" s="112">
        <v>657</v>
      </c>
      <c r="H41" s="110">
        <v>283637</v>
      </c>
      <c r="I41" s="111">
        <v>128148</v>
      </c>
      <c r="J41" s="110">
        <f>336257-294819</f>
        <v>41438</v>
      </c>
      <c r="K41" s="109">
        <f t="shared" si="2"/>
        <v>370347</v>
      </c>
    </row>
    <row r="42" spans="1:11" ht="18" customHeight="1">
      <c r="A42" s="104" t="s">
        <v>89</v>
      </c>
      <c r="B42" s="114" t="s">
        <v>11</v>
      </c>
      <c r="F42" s="112">
        <v>340</v>
      </c>
      <c r="G42" s="112">
        <v>18</v>
      </c>
      <c r="H42" s="110">
        <v>17713</v>
      </c>
      <c r="I42" s="111">
        <v>5157</v>
      </c>
      <c r="J42" s="110">
        <v>0</v>
      </c>
      <c r="K42" s="109">
        <f t="shared" si="2"/>
        <v>22870</v>
      </c>
    </row>
    <row r="43" spans="1:11" ht="18" customHeight="1">
      <c r="A43" s="104" t="s">
        <v>90</v>
      </c>
      <c r="B43" s="151" t="s">
        <v>10</v>
      </c>
      <c r="C43" s="117"/>
      <c r="D43" s="117"/>
      <c r="F43" s="112"/>
      <c r="G43" s="112"/>
      <c r="H43" s="110"/>
      <c r="I43" s="111">
        <v>0</v>
      </c>
      <c r="J43" s="110"/>
      <c r="K43" s="109">
        <f t="shared" si="2"/>
        <v>0</v>
      </c>
    </row>
    <row r="44" spans="1:11" ht="18" customHeight="1">
      <c r="A44" s="104" t="s">
        <v>91</v>
      </c>
      <c r="B44" s="618"/>
      <c r="C44" s="619"/>
      <c r="D44" s="620"/>
      <c r="F44" s="149"/>
      <c r="G44" s="149"/>
      <c r="H44" s="149"/>
      <c r="I44" s="150">
        <v>0</v>
      </c>
      <c r="J44" s="149"/>
      <c r="K44" s="148">
        <f t="shared" si="2"/>
        <v>0</v>
      </c>
    </row>
    <row r="45" spans="1:11" ht="18" customHeight="1">
      <c r="A45" s="104" t="s">
        <v>139</v>
      </c>
      <c r="B45" s="618"/>
      <c r="C45" s="619"/>
      <c r="D45" s="620"/>
      <c r="F45" s="112"/>
      <c r="G45" s="112"/>
      <c r="H45" s="110"/>
      <c r="I45" s="111">
        <v>0</v>
      </c>
      <c r="J45" s="110"/>
      <c r="K45" s="109">
        <f t="shared" si="2"/>
        <v>0</v>
      </c>
    </row>
    <row r="46" spans="1:11" ht="18" customHeight="1">
      <c r="A46" s="104" t="s">
        <v>140</v>
      </c>
      <c r="B46" s="618"/>
      <c r="C46" s="619"/>
      <c r="D46" s="620"/>
      <c r="F46" s="112"/>
      <c r="G46" s="112"/>
      <c r="H46" s="110"/>
      <c r="I46" s="111">
        <v>0</v>
      </c>
      <c r="J46" s="110"/>
      <c r="K46" s="109">
        <f t="shared" si="2"/>
        <v>0</v>
      </c>
    </row>
    <row r="47" spans="1:11" ht="18" customHeight="1">
      <c r="A47" s="104" t="s">
        <v>141</v>
      </c>
      <c r="B47" s="618"/>
      <c r="C47" s="619"/>
      <c r="D47" s="620"/>
      <c r="F47" s="112"/>
      <c r="G47" s="112"/>
      <c r="H47" s="110"/>
      <c r="I47" s="111">
        <v>0</v>
      </c>
      <c r="J47" s="110"/>
      <c r="K47" s="109">
        <f t="shared" si="2"/>
        <v>0</v>
      </c>
    </row>
    <row r="49" spans="1:11" ht="18" customHeight="1">
      <c r="A49" s="99" t="s">
        <v>142</v>
      </c>
      <c r="B49" s="97" t="s">
        <v>143</v>
      </c>
      <c r="E49" s="97" t="s">
        <v>7</v>
      </c>
      <c r="F49" s="147">
        <f t="shared" ref="F49:K49" si="3">SUM(F40:F47)</f>
        <v>103873</v>
      </c>
      <c r="G49" s="147">
        <f t="shared" si="3"/>
        <v>675</v>
      </c>
      <c r="H49" s="109">
        <f t="shared" si="3"/>
        <v>5673725</v>
      </c>
      <c r="I49" s="109">
        <f t="shared" si="3"/>
        <v>3088111</v>
      </c>
      <c r="J49" s="109">
        <f t="shared" si="3"/>
        <v>41438</v>
      </c>
      <c r="K49" s="109">
        <f t="shared" si="3"/>
        <v>8720398</v>
      </c>
    </row>
    <row r="50" spans="1:11" ht="18" customHeight="1" thickBot="1">
      <c r="G50" s="118"/>
      <c r="H50" s="118"/>
      <c r="I50" s="118"/>
      <c r="J50" s="118"/>
      <c r="K50" s="118"/>
    </row>
    <row r="51" spans="1:11" ht="42.75" customHeight="1">
      <c r="F51" s="108" t="s">
        <v>9</v>
      </c>
      <c r="G51" s="108" t="s">
        <v>37</v>
      </c>
      <c r="H51" s="108" t="s">
        <v>29</v>
      </c>
      <c r="I51" s="108" t="s">
        <v>30</v>
      </c>
      <c r="J51" s="108" t="s">
        <v>33</v>
      </c>
      <c r="K51" s="108" t="s">
        <v>34</v>
      </c>
    </row>
    <row r="52" spans="1:11" ht="18" customHeight="1">
      <c r="A52" s="99" t="s">
        <v>92</v>
      </c>
      <c r="B52" s="621" t="s">
        <v>38</v>
      </c>
      <c r="C52" s="622"/>
    </row>
    <row r="53" spans="1:11" ht="18" customHeight="1">
      <c r="A53" s="104" t="s">
        <v>51</v>
      </c>
      <c r="B53" s="646" t="s">
        <v>293</v>
      </c>
      <c r="C53" s="647"/>
      <c r="D53" s="648"/>
      <c r="F53" s="112">
        <v>21957</v>
      </c>
      <c r="G53" s="112">
        <v>203</v>
      </c>
      <c r="H53" s="110">
        <v>1362788</v>
      </c>
      <c r="I53" s="111">
        <v>0</v>
      </c>
      <c r="J53" s="110">
        <v>877197</v>
      </c>
      <c r="K53" s="109">
        <f t="shared" ref="K53:K62" si="4">(H53+I53)-J53</f>
        <v>485591</v>
      </c>
    </row>
    <row r="54" spans="1:11" ht="18" customHeight="1">
      <c r="A54" s="104" t="s">
        <v>93</v>
      </c>
      <c r="B54" s="646" t="s">
        <v>292</v>
      </c>
      <c r="C54" s="647"/>
      <c r="D54" s="648"/>
      <c r="F54" s="112">
        <v>40004</v>
      </c>
      <c r="G54" s="112">
        <v>5666</v>
      </c>
      <c r="H54" s="110">
        <v>3780709</v>
      </c>
      <c r="I54" s="111">
        <v>0</v>
      </c>
      <c r="J54" s="110">
        <v>1566754</v>
      </c>
      <c r="K54" s="109">
        <f t="shared" si="4"/>
        <v>2213955</v>
      </c>
    </row>
    <row r="55" spans="1:11" ht="18" customHeight="1">
      <c r="A55" s="104" t="s">
        <v>94</v>
      </c>
      <c r="B55" s="146" t="s">
        <v>291</v>
      </c>
      <c r="C55" s="145"/>
      <c r="D55" s="144"/>
      <c r="F55" s="112"/>
      <c r="G55" s="112"/>
      <c r="H55" s="110">
        <v>61646</v>
      </c>
      <c r="I55" s="111">
        <v>0</v>
      </c>
      <c r="J55" s="110"/>
      <c r="K55" s="109">
        <f t="shared" si="4"/>
        <v>61646</v>
      </c>
    </row>
    <row r="56" spans="1:11" ht="18" customHeight="1">
      <c r="A56" s="104" t="s">
        <v>95</v>
      </c>
      <c r="B56" s="146" t="s">
        <v>290</v>
      </c>
      <c r="C56" s="145"/>
      <c r="D56" s="144"/>
      <c r="F56" s="112" t="s">
        <v>740</v>
      </c>
      <c r="G56" s="112"/>
      <c r="H56" s="110">
        <v>87500</v>
      </c>
      <c r="I56" s="111">
        <v>0</v>
      </c>
      <c r="J56" s="110"/>
      <c r="K56" s="109">
        <f t="shared" si="4"/>
        <v>87500</v>
      </c>
    </row>
    <row r="57" spans="1:11" ht="18" customHeight="1">
      <c r="A57" s="104" t="s">
        <v>96</v>
      </c>
      <c r="B57" s="146" t="s">
        <v>289</v>
      </c>
      <c r="C57" s="145"/>
      <c r="D57" s="144"/>
      <c r="F57" s="112"/>
      <c r="G57" s="112"/>
      <c r="H57" s="110">
        <v>195100</v>
      </c>
      <c r="I57" s="111">
        <v>0</v>
      </c>
      <c r="J57" s="110"/>
      <c r="K57" s="109">
        <f t="shared" si="4"/>
        <v>195100</v>
      </c>
    </row>
    <row r="58" spans="1:11" ht="18" customHeight="1">
      <c r="A58" s="104" t="s">
        <v>97</v>
      </c>
      <c r="B58" s="146" t="s">
        <v>288</v>
      </c>
      <c r="C58" s="145"/>
      <c r="D58" s="144"/>
      <c r="F58" s="112">
        <v>208890</v>
      </c>
      <c r="G58" s="112">
        <v>665</v>
      </c>
      <c r="H58" s="110">
        <v>14101700</v>
      </c>
      <c r="I58" s="111">
        <v>3116308</v>
      </c>
      <c r="J58" s="110">
        <v>14634702</v>
      </c>
      <c r="K58" s="109">
        <f t="shared" si="4"/>
        <v>2583306</v>
      </c>
    </row>
    <row r="59" spans="1:11" ht="18" customHeight="1">
      <c r="A59" s="104" t="s">
        <v>98</v>
      </c>
      <c r="B59" s="146"/>
      <c r="C59" s="145"/>
      <c r="D59" s="144"/>
      <c r="F59" s="112"/>
      <c r="G59" s="112">
        <v>0</v>
      </c>
      <c r="H59" s="110">
        <v>0</v>
      </c>
      <c r="I59" s="111">
        <v>0</v>
      </c>
      <c r="J59" s="110"/>
      <c r="K59" s="109">
        <f t="shared" si="4"/>
        <v>0</v>
      </c>
    </row>
    <row r="60" spans="1:11" ht="18" customHeight="1">
      <c r="A60" s="104" t="s">
        <v>99</v>
      </c>
      <c r="B60" s="146"/>
      <c r="C60" s="145"/>
      <c r="D60" s="144"/>
      <c r="F60" s="112">
        <v>0</v>
      </c>
      <c r="G60" s="112">
        <v>0</v>
      </c>
      <c r="H60" s="110"/>
      <c r="I60" s="111">
        <v>0</v>
      </c>
      <c r="J60" s="110"/>
      <c r="K60" s="109">
        <f t="shared" si="4"/>
        <v>0</v>
      </c>
    </row>
    <row r="61" spans="1:11" ht="18" customHeight="1">
      <c r="A61" s="104" t="s">
        <v>100</v>
      </c>
      <c r="B61" s="139"/>
      <c r="C61" s="138"/>
      <c r="D61" s="137"/>
      <c r="F61" s="112"/>
      <c r="G61" s="112"/>
      <c r="H61" s="110"/>
      <c r="I61" s="111">
        <v>0</v>
      </c>
      <c r="J61" s="110"/>
      <c r="K61" s="109">
        <f t="shared" si="4"/>
        <v>0</v>
      </c>
    </row>
    <row r="62" spans="1:11" ht="18" customHeight="1">
      <c r="A62" s="104" t="s">
        <v>101</v>
      </c>
      <c r="B62" s="626"/>
      <c r="C62" s="627"/>
      <c r="D62" s="625"/>
      <c r="F62" s="112"/>
      <c r="G62" s="112"/>
      <c r="H62" s="110"/>
      <c r="I62" s="111">
        <v>0</v>
      </c>
      <c r="J62" s="110"/>
      <c r="K62" s="109">
        <f t="shared" si="4"/>
        <v>0</v>
      </c>
    </row>
    <row r="63" spans="1:11" ht="18" customHeight="1">
      <c r="A63" s="104"/>
      <c r="I63" s="143"/>
    </row>
    <row r="64" spans="1:11" ht="18" customHeight="1">
      <c r="A64" s="104" t="s">
        <v>144</v>
      </c>
      <c r="B64" s="97" t="s">
        <v>145</v>
      </c>
      <c r="E64" s="97" t="s">
        <v>7</v>
      </c>
      <c r="F64" s="102">
        <f t="shared" ref="F64:K64" si="5">SUM(F53:F62)</f>
        <v>270851</v>
      </c>
      <c r="G64" s="102">
        <f t="shared" si="5"/>
        <v>6534</v>
      </c>
      <c r="H64" s="109">
        <f t="shared" si="5"/>
        <v>19589443</v>
      </c>
      <c r="I64" s="109">
        <f t="shared" si="5"/>
        <v>3116308</v>
      </c>
      <c r="J64" s="109">
        <f t="shared" si="5"/>
        <v>17078653</v>
      </c>
      <c r="K64" s="109">
        <f t="shared" si="5"/>
        <v>5627098</v>
      </c>
    </row>
    <row r="65" spans="1:11" ht="18" customHeight="1">
      <c r="F65" s="101"/>
      <c r="G65" s="101"/>
      <c r="H65" s="101"/>
      <c r="I65" s="101"/>
      <c r="J65" s="101"/>
      <c r="K65" s="101"/>
    </row>
    <row r="66" spans="1:11" ht="42.75" customHeight="1">
      <c r="F66" s="142" t="s">
        <v>9</v>
      </c>
      <c r="G66" s="142" t="s">
        <v>37</v>
      </c>
      <c r="H66" s="142" t="s">
        <v>29</v>
      </c>
      <c r="I66" s="142" t="s">
        <v>30</v>
      </c>
      <c r="J66" s="142" t="s">
        <v>33</v>
      </c>
      <c r="K66" s="142" t="s">
        <v>34</v>
      </c>
    </row>
    <row r="67" spans="1:11" ht="18" customHeight="1">
      <c r="A67" s="99" t="s">
        <v>102</v>
      </c>
      <c r="B67" s="97" t="s">
        <v>12</v>
      </c>
      <c r="F67" s="141"/>
      <c r="G67" s="141"/>
      <c r="H67" s="141"/>
      <c r="I67" s="130"/>
      <c r="J67" s="141"/>
      <c r="K67" s="128"/>
    </row>
    <row r="68" spans="1:11" ht="18" customHeight="1">
      <c r="A68" s="104" t="s">
        <v>103</v>
      </c>
      <c r="B68" s="95" t="s">
        <v>52</v>
      </c>
      <c r="F68" s="140">
        <v>15</v>
      </c>
      <c r="G68" s="140">
        <v>75</v>
      </c>
      <c r="H68" s="140">
        <v>1212</v>
      </c>
      <c r="I68" s="111">
        <v>0</v>
      </c>
      <c r="J68" s="140"/>
      <c r="K68" s="109">
        <f>(H68+I68)-J68</f>
        <v>1212</v>
      </c>
    </row>
    <row r="69" spans="1:11" ht="18" customHeight="1">
      <c r="A69" s="104" t="s">
        <v>104</v>
      </c>
      <c r="B69" s="114" t="s">
        <v>53</v>
      </c>
      <c r="F69" s="140"/>
      <c r="G69" s="140"/>
      <c r="H69" s="140"/>
      <c r="I69" s="111">
        <v>0</v>
      </c>
      <c r="J69" s="140"/>
      <c r="K69" s="109">
        <f>(H69+I69)-J69</f>
        <v>0</v>
      </c>
    </row>
    <row r="70" spans="1:11" ht="18" customHeight="1">
      <c r="A70" s="104" t="s">
        <v>178</v>
      </c>
      <c r="B70" s="139"/>
      <c r="C70" s="138"/>
      <c r="D70" s="137"/>
      <c r="E70" s="97"/>
      <c r="F70" s="136"/>
      <c r="G70" s="136"/>
      <c r="H70" s="135"/>
      <c r="I70" s="111">
        <v>0</v>
      </c>
      <c r="J70" s="135"/>
      <c r="K70" s="109">
        <f>(H70+I70)-J70</f>
        <v>0</v>
      </c>
    </row>
    <row r="71" spans="1:11" ht="18" customHeight="1">
      <c r="A71" s="104" t="s">
        <v>179</v>
      </c>
      <c r="B71" s="139"/>
      <c r="C71" s="138"/>
      <c r="D71" s="137"/>
      <c r="E71" s="97"/>
      <c r="F71" s="136"/>
      <c r="G71" s="136"/>
      <c r="H71" s="135"/>
      <c r="I71" s="111">
        <v>0</v>
      </c>
      <c r="J71" s="135"/>
      <c r="K71" s="109">
        <f>(H71+I71)-J71</f>
        <v>0</v>
      </c>
    </row>
    <row r="72" spans="1:11" ht="18" customHeight="1">
      <c r="A72" s="104" t="s">
        <v>180</v>
      </c>
      <c r="B72" s="134"/>
      <c r="C72" s="133"/>
      <c r="D72" s="132"/>
      <c r="E72" s="97"/>
      <c r="F72" s="112"/>
      <c r="G72" s="112"/>
      <c r="H72" s="110"/>
      <c r="I72" s="111">
        <v>0</v>
      </c>
      <c r="J72" s="110"/>
      <c r="K72" s="109">
        <f>(H72+I72)-J72</f>
        <v>0</v>
      </c>
    </row>
    <row r="73" spans="1:11" ht="18" customHeight="1">
      <c r="A73" s="104"/>
      <c r="B73" s="114"/>
      <c r="E73" s="97"/>
      <c r="F73" s="131"/>
      <c r="G73" s="131"/>
      <c r="H73" s="129"/>
      <c r="I73" s="130"/>
      <c r="J73" s="129"/>
      <c r="K73" s="128"/>
    </row>
    <row r="74" spans="1:11" ht="18" customHeight="1">
      <c r="A74" s="99" t="s">
        <v>146</v>
      </c>
      <c r="B74" s="97" t="s">
        <v>147</v>
      </c>
      <c r="E74" s="97" t="s">
        <v>7</v>
      </c>
      <c r="F74" s="125">
        <f t="shared" ref="F74:K74" si="6">SUM(F68:F72)</f>
        <v>15</v>
      </c>
      <c r="G74" s="125">
        <f t="shared" si="6"/>
        <v>75</v>
      </c>
      <c r="H74" s="125">
        <f t="shared" si="6"/>
        <v>1212</v>
      </c>
      <c r="I74" s="127">
        <f t="shared" si="6"/>
        <v>0</v>
      </c>
      <c r="J74" s="125">
        <f t="shared" si="6"/>
        <v>0</v>
      </c>
      <c r="K74" s="113">
        <f t="shared" si="6"/>
        <v>1212</v>
      </c>
    </row>
    <row r="75" spans="1:11" ht="42.75" customHeight="1">
      <c r="F75" s="108" t="s">
        <v>9</v>
      </c>
      <c r="G75" s="108" t="s">
        <v>37</v>
      </c>
      <c r="H75" s="108" t="s">
        <v>29</v>
      </c>
      <c r="I75" s="108" t="s">
        <v>30</v>
      </c>
      <c r="J75" s="108" t="s">
        <v>33</v>
      </c>
      <c r="K75" s="108" t="s">
        <v>34</v>
      </c>
    </row>
    <row r="76" spans="1:11" ht="18" customHeight="1">
      <c r="A76" s="99" t="s">
        <v>105</v>
      </c>
      <c r="B76" s="97" t="s">
        <v>106</v>
      </c>
    </row>
    <row r="77" spans="1:11" ht="18" customHeight="1">
      <c r="A77" s="104" t="s">
        <v>107</v>
      </c>
      <c r="B77" s="114" t="s">
        <v>54</v>
      </c>
      <c r="F77" s="112">
        <v>0</v>
      </c>
      <c r="G77" s="112">
        <v>0</v>
      </c>
      <c r="H77" s="110">
        <v>28690</v>
      </c>
      <c r="I77" s="111">
        <v>0</v>
      </c>
      <c r="J77" s="110"/>
      <c r="K77" s="109">
        <f>(H77+I77)-J77</f>
        <v>28690</v>
      </c>
    </row>
    <row r="78" spans="1:11" ht="18" customHeight="1">
      <c r="A78" s="104" t="s">
        <v>108</v>
      </c>
      <c r="B78" s="114" t="s">
        <v>55</v>
      </c>
      <c r="F78" s="112"/>
      <c r="G78" s="112"/>
      <c r="H78" s="110"/>
      <c r="I78" s="111">
        <v>0</v>
      </c>
      <c r="J78" s="110"/>
      <c r="K78" s="109">
        <f>(H78+I78)-J78</f>
        <v>0</v>
      </c>
    </row>
    <row r="79" spans="1:11" ht="18" customHeight="1">
      <c r="A79" s="104" t="s">
        <v>109</v>
      </c>
      <c r="B79" s="114" t="s">
        <v>13</v>
      </c>
      <c r="F79" s="112"/>
      <c r="G79" s="112"/>
      <c r="H79" s="110"/>
      <c r="I79" s="111">
        <v>0</v>
      </c>
      <c r="J79" s="110"/>
      <c r="K79" s="109">
        <f>(H79+I79)-J79</f>
        <v>0</v>
      </c>
    </row>
    <row r="80" spans="1:11" ht="18" customHeight="1">
      <c r="A80" s="104" t="s">
        <v>110</v>
      </c>
      <c r="B80" s="114" t="s">
        <v>56</v>
      </c>
      <c r="F80" s="112">
        <v>8</v>
      </c>
      <c r="G80" s="112">
        <v>1000</v>
      </c>
      <c r="H80" s="110">
        <v>4897</v>
      </c>
      <c r="I80" s="111">
        <v>2693</v>
      </c>
      <c r="J80" s="110"/>
      <c r="K80" s="109">
        <f>(H80+I80)-J80</f>
        <v>7590</v>
      </c>
    </row>
    <row r="81" spans="1:11" ht="18" customHeight="1">
      <c r="A81" s="104"/>
      <c r="K81" s="126"/>
    </row>
    <row r="82" spans="1:11" ht="18" customHeight="1">
      <c r="A82" s="104" t="s">
        <v>148</v>
      </c>
      <c r="B82" s="97" t="s">
        <v>149</v>
      </c>
      <c r="E82" s="97" t="s">
        <v>7</v>
      </c>
      <c r="F82" s="125">
        <f t="shared" ref="F82:K82" si="7">SUM(F77:F80)</f>
        <v>8</v>
      </c>
      <c r="G82" s="125">
        <f t="shared" si="7"/>
        <v>1000</v>
      </c>
      <c r="H82" s="113">
        <f t="shared" si="7"/>
        <v>33587</v>
      </c>
      <c r="I82" s="113">
        <f t="shared" si="7"/>
        <v>2693</v>
      </c>
      <c r="J82" s="113">
        <f t="shared" si="7"/>
        <v>0</v>
      </c>
      <c r="K82" s="113">
        <f t="shared" si="7"/>
        <v>36280</v>
      </c>
    </row>
    <row r="83" spans="1:11" ht="18" customHeight="1" thickBot="1">
      <c r="A83" s="104"/>
      <c r="F83" s="118"/>
      <c r="G83" s="118"/>
      <c r="H83" s="118"/>
      <c r="I83" s="118"/>
      <c r="J83" s="118"/>
      <c r="K83" s="118"/>
    </row>
    <row r="84" spans="1:11" ht="42.75" customHeight="1">
      <c r="F84" s="108" t="s">
        <v>9</v>
      </c>
      <c r="G84" s="108" t="s">
        <v>37</v>
      </c>
      <c r="H84" s="108" t="s">
        <v>29</v>
      </c>
      <c r="I84" s="108" t="s">
        <v>30</v>
      </c>
      <c r="J84" s="108" t="s">
        <v>33</v>
      </c>
      <c r="K84" s="108" t="s">
        <v>34</v>
      </c>
    </row>
    <row r="85" spans="1:11" ht="18" customHeight="1">
      <c r="A85" s="99" t="s">
        <v>111</v>
      </c>
      <c r="B85" s="97" t="s">
        <v>57</v>
      </c>
    </row>
    <row r="86" spans="1:11" ht="18" customHeight="1">
      <c r="A86" s="104" t="s">
        <v>112</v>
      </c>
      <c r="B86" s="114" t="s">
        <v>113</v>
      </c>
      <c r="F86" s="112"/>
      <c r="G86" s="112"/>
      <c r="H86" s="110"/>
      <c r="I86" s="111">
        <f>H86*F$114</f>
        <v>0</v>
      </c>
      <c r="J86" s="110"/>
      <c r="K86" s="109">
        <f t="shared" ref="K86:K96" si="8">(H86+I86)-J86</f>
        <v>0</v>
      </c>
    </row>
    <row r="87" spans="1:11" ht="18" customHeight="1">
      <c r="A87" s="104" t="s">
        <v>114</v>
      </c>
      <c r="B87" s="114" t="s">
        <v>14</v>
      </c>
      <c r="F87" s="112"/>
      <c r="G87" s="112"/>
      <c r="H87" s="110"/>
      <c r="I87" s="111">
        <f>H87*F$114</f>
        <v>0</v>
      </c>
      <c r="J87" s="110"/>
      <c r="K87" s="109">
        <f t="shared" si="8"/>
        <v>0</v>
      </c>
    </row>
    <row r="88" spans="1:11" ht="18" customHeight="1">
      <c r="A88" s="104" t="s">
        <v>115</v>
      </c>
      <c r="B88" s="114" t="s">
        <v>116</v>
      </c>
      <c r="F88" s="112">
        <v>600</v>
      </c>
      <c r="G88" s="112">
        <v>0</v>
      </c>
      <c r="H88" s="110">
        <v>28607</v>
      </c>
      <c r="I88" s="111">
        <v>16021</v>
      </c>
      <c r="J88" s="110"/>
      <c r="K88" s="109">
        <f t="shared" si="8"/>
        <v>44628</v>
      </c>
    </row>
    <row r="89" spans="1:11" ht="18" customHeight="1">
      <c r="A89" s="104" t="s">
        <v>117</v>
      </c>
      <c r="B89" s="114" t="s">
        <v>58</v>
      </c>
      <c r="F89" s="112"/>
      <c r="G89" s="112"/>
      <c r="H89" s="110"/>
      <c r="I89" s="111">
        <f>H89*F$114</f>
        <v>0</v>
      </c>
      <c r="J89" s="110"/>
      <c r="K89" s="109">
        <f t="shared" si="8"/>
        <v>0</v>
      </c>
    </row>
    <row r="90" spans="1:11" ht="18" customHeight="1">
      <c r="A90" s="104" t="s">
        <v>118</v>
      </c>
      <c r="B90" s="598" t="s">
        <v>59</v>
      </c>
      <c r="C90" s="599"/>
      <c r="F90" s="112"/>
      <c r="G90" s="112"/>
      <c r="H90" s="110"/>
      <c r="I90" s="111">
        <f>H90*F$114</f>
        <v>0</v>
      </c>
      <c r="J90" s="110"/>
      <c r="K90" s="109">
        <f t="shared" si="8"/>
        <v>0</v>
      </c>
    </row>
    <row r="91" spans="1:11" ht="18" customHeight="1">
      <c r="A91" s="104" t="s">
        <v>119</v>
      </c>
      <c r="B91" s="114" t="s">
        <v>60</v>
      </c>
      <c r="F91" s="112"/>
      <c r="G91" s="112"/>
      <c r="H91" s="110"/>
      <c r="I91" s="111">
        <f>H91*F$114</f>
        <v>0</v>
      </c>
      <c r="J91" s="110"/>
      <c r="K91" s="109">
        <f t="shared" si="8"/>
        <v>0</v>
      </c>
    </row>
    <row r="92" spans="1:11" ht="18" customHeight="1">
      <c r="A92" s="104" t="s">
        <v>120</v>
      </c>
      <c r="B92" s="114" t="s">
        <v>121</v>
      </c>
      <c r="F92" s="124">
        <v>0</v>
      </c>
      <c r="G92" s="124">
        <v>0</v>
      </c>
      <c r="H92" s="123">
        <v>29317</v>
      </c>
      <c r="I92" s="111">
        <f>H92*F$114</f>
        <v>16124.350000000002</v>
      </c>
      <c r="J92" s="123"/>
      <c r="K92" s="109">
        <f t="shared" si="8"/>
        <v>45441.350000000006</v>
      </c>
    </row>
    <row r="93" spans="1:11" ht="18" customHeight="1">
      <c r="A93" s="104" t="s">
        <v>122</v>
      </c>
      <c r="B93" s="114" t="s">
        <v>123</v>
      </c>
      <c r="F93" s="112">
        <v>90</v>
      </c>
      <c r="G93" s="112">
        <v>1</v>
      </c>
      <c r="H93" s="110">
        <v>4471</v>
      </c>
      <c r="I93" s="111">
        <v>2458</v>
      </c>
      <c r="J93" s="110"/>
      <c r="K93" s="109">
        <f t="shared" si="8"/>
        <v>6929</v>
      </c>
    </row>
    <row r="94" spans="1:11" ht="18" customHeight="1">
      <c r="A94" s="104" t="s">
        <v>124</v>
      </c>
      <c r="B94" s="626"/>
      <c r="C94" s="627"/>
      <c r="D94" s="625"/>
      <c r="F94" s="112"/>
      <c r="G94" s="112"/>
      <c r="H94" s="110"/>
      <c r="I94" s="111">
        <f>H94*F$114</f>
        <v>0</v>
      </c>
      <c r="J94" s="110"/>
      <c r="K94" s="109">
        <f t="shared" si="8"/>
        <v>0</v>
      </c>
    </row>
    <row r="95" spans="1:11" ht="18" customHeight="1">
      <c r="A95" s="104" t="s">
        <v>125</v>
      </c>
      <c r="B95" s="626"/>
      <c r="C95" s="627"/>
      <c r="D95" s="625"/>
      <c r="F95" s="112"/>
      <c r="G95" s="112"/>
      <c r="H95" s="110"/>
      <c r="I95" s="111">
        <f>H95*F$114</f>
        <v>0</v>
      </c>
      <c r="J95" s="110"/>
      <c r="K95" s="109">
        <f t="shared" si="8"/>
        <v>0</v>
      </c>
    </row>
    <row r="96" spans="1:11" ht="18" customHeight="1">
      <c r="A96" s="104" t="s">
        <v>126</v>
      </c>
      <c r="B96" s="626"/>
      <c r="C96" s="627"/>
      <c r="D96" s="625"/>
      <c r="F96" s="112"/>
      <c r="G96" s="112"/>
      <c r="H96" s="110"/>
      <c r="I96" s="111">
        <f>H96*F$114</f>
        <v>0</v>
      </c>
      <c r="J96" s="110"/>
      <c r="K96" s="109">
        <f t="shared" si="8"/>
        <v>0</v>
      </c>
    </row>
    <row r="97" spans="1:11" ht="18" customHeight="1">
      <c r="A97" s="104"/>
      <c r="B97" s="114"/>
    </row>
    <row r="98" spans="1:11" ht="18" customHeight="1">
      <c r="A98" s="99" t="s">
        <v>150</v>
      </c>
      <c r="B98" s="97" t="s">
        <v>151</v>
      </c>
      <c r="E98" s="97" t="s">
        <v>7</v>
      </c>
      <c r="F98" s="102">
        <f t="shared" ref="F98:K98" si="9">SUM(F86:F96)</f>
        <v>690</v>
      </c>
      <c r="G98" s="102">
        <f t="shared" si="9"/>
        <v>1</v>
      </c>
      <c r="H98" s="102">
        <f t="shared" si="9"/>
        <v>62395</v>
      </c>
      <c r="I98" s="102">
        <f t="shared" si="9"/>
        <v>34603.350000000006</v>
      </c>
      <c r="J98" s="102">
        <f t="shared" si="9"/>
        <v>0</v>
      </c>
      <c r="K98" s="102">
        <f t="shared" si="9"/>
        <v>96998.35</v>
      </c>
    </row>
    <row r="99" spans="1:11" ht="18" customHeight="1" thickBot="1">
      <c r="B99" s="97"/>
      <c r="F99" s="118"/>
      <c r="G99" s="118"/>
      <c r="H99" s="118"/>
      <c r="I99" s="118"/>
      <c r="J99" s="118"/>
      <c r="K99" s="118"/>
    </row>
    <row r="100" spans="1:11" ht="42.75" customHeight="1">
      <c r="F100" s="108" t="s">
        <v>9</v>
      </c>
      <c r="G100" s="108" t="s">
        <v>37</v>
      </c>
      <c r="H100" s="108" t="s">
        <v>29</v>
      </c>
      <c r="I100" s="108" t="s">
        <v>30</v>
      </c>
      <c r="J100" s="108" t="s">
        <v>33</v>
      </c>
      <c r="K100" s="108" t="s">
        <v>34</v>
      </c>
    </row>
    <row r="101" spans="1:11" ht="18" customHeight="1">
      <c r="A101" s="99" t="s">
        <v>130</v>
      </c>
      <c r="B101" s="97" t="s">
        <v>63</v>
      </c>
    </row>
    <row r="102" spans="1:11" ht="18" customHeight="1">
      <c r="A102" s="104" t="s">
        <v>131</v>
      </c>
      <c r="B102" s="114" t="s">
        <v>152</v>
      </c>
      <c r="F102" s="112">
        <v>2068</v>
      </c>
      <c r="G102" s="112">
        <v>0</v>
      </c>
      <c r="H102" s="110">
        <v>160349</v>
      </c>
      <c r="I102" s="111">
        <v>88190</v>
      </c>
      <c r="J102" s="110"/>
      <c r="K102" s="109">
        <f>(H102+I102)-J102</f>
        <v>248539</v>
      </c>
    </row>
    <row r="103" spans="1:11" ht="18" customHeight="1">
      <c r="A103" s="104" t="s">
        <v>132</v>
      </c>
      <c r="B103" s="598" t="s">
        <v>62</v>
      </c>
      <c r="C103" s="598"/>
      <c r="F103" s="112"/>
      <c r="G103" s="112"/>
      <c r="H103" s="110"/>
      <c r="I103" s="111">
        <f>H103*F$114</f>
        <v>0</v>
      </c>
      <c r="J103" s="110"/>
      <c r="K103" s="109">
        <f>(H103+I103)-J103</f>
        <v>0</v>
      </c>
    </row>
    <row r="104" spans="1:11" ht="18" customHeight="1">
      <c r="A104" s="104" t="s">
        <v>128</v>
      </c>
      <c r="B104" s="628" t="s">
        <v>287</v>
      </c>
      <c r="C104" s="627"/>
      <c r="D104" s="625"/>
      <c r="F104" s="112">
        <v>0</v>
      </c>
      <c r="G104" s="112">
        <v>0</v>
      </c>
      <c r="H104" s="110">
        <v>38111</v>
      </c>
      <c r="I104" s="111">
        <v>21344</v>
      </c>
      <c r="J104" s="110"/>
      <c r="K104" s="109">
        <f>(H104+I104)-J104</f>
        <v>59455</v>
      </c>
    </row>
    <row r="105" spans="1:11" ht="18" customHeight="1">
      <c r="A105" s="104" t="s">
        <v>127</v>
      </c>
      <c r="B105" s="626"/>
      <c r="C105" s="627"/>
      <c r="D105" s="625"/>
      <c r="F105" s="112"/>
      <c r="G105" s="112"/>
      <c r="H105" s="110"/>
      <c r="I105" s="111">
        <f>H105*F$114</f>
        <v>0</v>
      </c>
      <c r="J105" s="110"/>
      <c r="K105" s="109">
        <f>(H105+I105)-J105</f>
        <v>0</v>
      </c>
    </row>
    <row r="106" spans="1:11" ht="18" customHeight="1">
      <c r="A106" s="104" t="s">
        <v>129</v>
      </c>
      <c r="B106" s="626"/>
      <c r="C106" s="627"/>
      <c r="D106" s="625"/>
      <c r="F106" s="112"/>
      <c r="G106" s="112"/>
      <c r="H106" s="110"/>
      <c r="I106" s="111">
        <f>H106*F$114</f>
        <v>0</v>
      </c>
      <c r="J106" s="110"/>
      <c r="K106" s="109">
        <f>(H106+I106)-J106</f>
        <v>0</v>
      </c>
    </row>
    <row r="107" spans="1:11" ht="18" customHeight="1">
      <c r="B107" s="97"/>
    </row>
    <row r="108" spans="1:11" s="117" customFormat="1" ht="18" customHeight="1">
      <c r="A108" s="99" t="s">
        <v>153</v>
      </c>
      <c r="B108" s="122" t="s">
        <v>154</v>
      </c>
      <c r="C108" s="95"/>
      <c r="D108" s="95"/>
      <c r="E108" s="97" t="s">
        <v>7</v>
      </c>
      <c r="F108" s="102">
        <f t="shared" ref="F108:K108" si="10">SUM(F102:F106)</f>
        <v>2068</v>
      </c>
      <c r="G108" s="102">
        <f t="shared" si="10"/>
        <v>0</v>
      </c>
      <c r="H108" s="109">
        <f t="shared" si="10"/>
        <v>198460</v>
      </c>
      <c r="I108" s="109">
        <f t="shared" si="10"/>
        <v>109534</v>
      </c>
      <c r="J108" s="109">
        <f t="shared" si="10"/>
        <v>0</v>
      </c>
      <c r="K108" s="109">
        <f t="shared" si="10"/>
        <v>307994</v>
      </c>
    </row>
    <row r="109" spans="1:11" s="117" customFormat="1" ht="18" customHeight="1" thickBot="1">
      <c r="A109" s="121"/>
      <c r="B109" s="120"/>
      <c r="C109" s="119"/>
      <c r="D109" s="119"/>
      <c r="E109" s="119"/>
      <c r="F109" s="118"/>
      <c r="G109" s="118"/>
      <c r="H109" s="118"/>
      <c r="I109" s="118"/>
      <c r="J109" s="118"/>
      <c r="K109" s="118"/>
    </row>
    <row r="110" spans="1:11" s="117" customFormat="1" ht="18" customHeight="1">
      <c r="A110" s="99" t="s">
        <v>156</v>
      </c>
      <c r="B110" s="97" t="s">
        <v>39</v>
      </c>
      <c r="C110" s="95"/>
      <c r="D110" s="95"/>
      <c r="E110" s="95"/>
      <c r="F110" s="95"/>
      <c r="G110" s="95"/>
      <c r="H110" s="95"/>
      <c r="I110" s="95"/>
      <c r="J110" s="95"/>
      <c r="K110" s="95"/>
    </row>
    <row r="111" spans="1:11" ht="18" customHeight="1">
      <c r="A111" s="99" t="s">
        <v>155</v>
      </c>
      <c r="B111" s="97" t="s">
        <v>164</v>
      </c>
      <c r="E111" s="97" t="s">
        <v>7</v>
      </c>
      <c r="F111" s="110">
        <v>7313699</v>
      </c>
    </row>
    <row r="112" spans="1:11" ht="18" customHeight="1">
      <c r="B112" s="97"/>
      <c r="E112" s="97"/>
      <c r="F112" s="116"/>
    </row>
    <row r="113" spans="1:6" ht="18" customHeight="1">
      <c r="A113" s="99"/>
      <c r="B113" s="97" t="s">
        <v>15</v>
      </c>
    </row>
    <row r="114" spans="1:6" ht="18" customHeight="1">
      <c r="A114" s="104" t="s">
        <v>171</v>
      </c>
      <c r="B114" s="114" t="s">
        <v>35</v>
      </c>
      <c r="F114" s="115">
        <v>0.55000000000000004</v>
      </c>
    </row>
    <row r="115" spans="1:6" ht="18" customHeight="1">
      <c r="A115" s="104"/>
      <c r="B115" s="97"/>
    </row>
    <row r="116" spans="1:6" ht="18" customHeight="1">
      <c r="A116" s="104" t="s">
        <v>170</v>
      </c>
      <c r="B116" s="97" t="s">
        <v>16</v>
      </c>
    </row>
    <row r="117" spans="1:6" ht="18" customHeight="1">
      <c r="A117" s="104" t="s">
        <v>172</v>
      </c>
      <c r="B117" s="114" t="s">
        <v>17</v>
      </c>
      <c r="F117" s="110">
        <v>303293417</v>
      </c>
    </row>
    <row r="118" spans="1:6" ht="18" customHeight="1">
      <c r="A118" s="104" t="s">
        <v>173</v>
      </c>
      <c r="B118" s="95" t="s">
        <v>18</v>
      </c>
      <c r="F118" s="110">
        <v>4061497</v>
      </c>
    </row>
    <row r="119" spans="1:6" ht="18" customHeight="1">
      <c r="A119" s="104" t="s">
        <v>174</v>
      </c>
      <c r="B119" s="97" t="s">
        <v>19</v>
      </c>
      <c r="F119" s="113">
        <f>SUM(F117:F118)</f>
        <v>307354914</v>
      </c>
    </row>
    <row r="120" spans="1:6" ht="18" customHeight="1">
      <c r="A120" s="104"/>
      <c r="B120" s="97"/>
    </row>
    <row r="121" spans="1:6" ht="18" customHeight="1">
      <c r="A121" s="104" t="s">
        <v>167</v>
      </c>
      <c r="B121" s="97" t="s">
        <v>36</v>
      </c>
      <c r="F121" s="110">
        <v>299758071</v>
      </c>
    </row>
    <row r="122" spans="1:6" ht="18" customHeight="1">
      <c r="A122" s="104"/>
    </row>
    <row r="123" spans="1:6" ht="18" customHeight="1">
      <c r="A123" s="104" t="s">
        <v>175</v>
      </c>
      <c r="B123" s="97" t="s">
        <v>20</v>
      </c>
      <c r="F123" s="110">
        <f>+F119-F121</f>
        <v>7596843</v>
      </c>
    </row>
    <row r="124" spans="1:6" ht="18" customHeight="1">
      <c r="A124" s="104"/>
    </row>
    <row r="125" spans="1:6" ht="18" customHeight="1">
      <c r="A125" s="104" t="s">
        <v>176</v>
      </c>
      <c r="B125" s="97" t="s">
        <v>21</v>
      </c>
      <c r="F125" s="110">
        <v>1008235</v>
      </c>
    </row>
    <row r="126" spans="1:6" ht="18" customHeight="1">
      <c r="A126" s="104"/>
    </row>
    <row r="127" spans="1:6" ht="18" customHeight="1">
      <c r="A127" s="104" t="s">
        <v>177</v>
      </c>
      <c r="B127" s="97" t="s">
        <v>22</v>
      </c>
      <c r="F127" s="110">
        <f>+F123+F125</f>
        <v>8605078</v>
      </c>
    </row>
    <row r="128" spans="1:6" ht="18" customHeight="1">
      <c r="A128" s="104"/>
    </row>
    <row r="129" spans="1:11" ht="42.75" customHeight="1">
      <c r="F129" s="108" t="s">
        <v>9</v>
      </c>
      <c r="G129" s="108" t="s">
        <v>37</v>
      </c>
      <c r="H129" s="108" t="s">
        <v>29</v>
      </c>
      <c r="I129" s="108" t="s">
        <v>30</v>
      </c>
      <c r="J129" s="108" t="s">
        <v>33</v>
      </c>
      <c r="K129" s="108" t="s">
        <v>34</v>
      </c>
    </row>
    <row r="130" spans="1:11" ht="18" customHeight="1">
      <c r="A130" s="99" t="s">
        <v>157</v>
      </c>
      <c r="B130" s="97" t="s">
        <v>23</v>
      </c>
    </row>
    <row r="131" spans="1:11" ht="18" customHeight="1">
      <c r="A131" s="104" t="s">
        <v>158</v>
      </c>
      <c r="B131" s="95" t="s">
        <v>24</v>
      </c>
      <c r="F131" s="112"/>
      <c r="G131" s="112"/>
      <c r="H131" s="110"/>
      <c r="I131" s="111">
        <v>0</v>
      </c>
      <c r="J131" s="110"/>
      <c r="K131" s="109">
        <f>(H131+I131)-J131</f>
        <v>0</v>
      </c>
    </row>
    <row r="132" spans="1:11" ht="18" customHeight="1">
      <c r="A132" s="104" t="s">
        <v>159</v>
      </c>
      <c r="B132" s="95" t="s">
        <v>25</v>
      </c>
      <c r="F132" s="112"/>
      <c r="G132" s="112"/>
      <c r="H132" s="110"/>
      <c r="I132" s="111">
        <v>0</v>
      </c>
      <c r="J132" s="110"/>
      <c r="K132" s="109">
        <f>(H132+I132)-J132</f>
        <v>0</v>
      </c>
    </row>
    <row r="133" spans="1:11" ht="18" customHeight="1">
      <c r="A133" s="104" t="s">
        <v>160</v>
      </c>
      <c r="B133" s="618"/>
      <c r="C133" s="619"/>
      <c r="D133" s="620"/>
      <c r="F133" s="112"/>
      <c r="G133" s="112"/>
      <c r="H133" s="110"/>
      <c r="I133" s="111">
        <v>0</v>
      </c>
      <c r="J133" s="110"/>
      <c r="K133" s="109">
        <f>(H133+I133)-J133</f>
        <v>0</v>
      </c>
    </row>
    <row r="134" spans="1:11" ht="18" customHeight="1">
      <c r="A134" s="104" t="s">
        <v>161</v>
      </c>
      <c r="B134" s="618"/>
      <c r="C134" s="619"/>
      <c r="D134" s="620"/>
      <c r="F134" s="112"/>
      <c r="G134" s="112"/>
      <c r="H134" s="110"/>
      <c r="I134" s="111">
        <v>0</v>
      </c>
      <c r="J134" s="110"/>
      <c r="K134" s="109">
        <f>(H134+I134)-J134</f>
        <v>0</v>
      </c>
    </row>
    <row r="135" spans="1:11" ht="18" customHeight="1">
      <c r="A135" s="104" t="s">
        <v>162</v>
      </c>
      <c r="B135" s="618"/>
      <c r="C135" s="619"/>
      <c r="D135" s="620"/>
      <c r="F135" s="112"/>
      <c r="G135" s="112"/>
      <c r="H135" s="110"/>
      <c r="I135" s="111">
        <v>0</v>
      </c>
      <c r="J135" s="110"/>
      <c r="K135" s="109">
        <f>(H135+I135)-J135</f>
        <v>0</v>
      </c>
    </row>
    <row r="136" spans="1:11" ht="18" customHeight="1">
      <c r="A136" s="99"/>
    </row>
    <row r="137" spans="1:11" ht="18" customHeight="1">
      <c r="A137" s="99" t="s">
        <v>163</v>
      </c>
      <c r="B137" s="97" t="s">
        <v>27</v>
      </c>
      <c r="F137" s="102">
        <f t="shared" ref="F137:K137" si="11">SUM(F131:F135)</f>
        <v>0</v>
      </c>
      <c r="G137" s="102">
        <f t="shared" si="11"/>
        <v>0</v>
      </c>
      <c r="H137" s="109">
        <f t="shared" si="11"/>
        <v>0</v>
      </c>
      <c r="I137" s="109">
        <f t="shared" si="11"/>
        <v>0</v>
      </c>
      <c r="J137" s="109">
        <f t="shared" si="11"/>
        <v>0</v>
      </c>
      <c r="K137" s="109">
        <f t="shared" si="11"/>
        <v>0</v>
      </c>
    </row>
    <row r="138" spans="1:11" ht="18" customHeight="1">
      <c r="A138" s="95"/>
    </row>
    <row r="139" spans="1:11" ht="42.75" customHeight="1">
      <c r="F139" s="108" t="s">
        <v>9</v>
      </c>
      <c r="G139" s="108" t="s">
        <v>37</v>
      </c>
      <c r="H139" s="108" t="s">
        <v>29</v>
      </c>
      <c r="I139" s="108" t="s">
        <v>30</v>
      </c>
      <c r="J139" s="108" t="s">
        <v>33</v>
      </c>
      <c r="K139" s="108" t="s">
        <v>34</v>
      </c>
    </row>
    <row r="140" spans="1:11" ht="18" customHeight="1">
      <c r="A140" s="99" t="s">
        <v>166</v>
      </c>
      <c r="B140" s="97" t="s">
        <v>26</v>
      </c>
    </row>
    <row r="141" spans="1:11" ht="18" customHeight="1">
      <c r="A141" s="104" t="s">
        <v>137</v>
      </c>
      <c r="B141" s="97" t="s">
        <v>64</v>
      </c>
      <c r="F141" s="107">
        <f t="shared" ref="F141:K141" si="12">F36</f>
        <v>18462.5</v>
      </c>
      <c r="G141" s="107">
        <f t="shared" si="12"/>
        <v>112752</v>
      </c>
      <c r="H141" s="107">
        <f t="shared" si="12"/>
        <v>826563</v>
      </c>
      <c r="I141" s="107">
        <f t="shared" si="12"/>
        <v>453093.3</v>
      </c>
      <c r="J141" s="107">
        <f t="shared" si="12"/>
        <v>64780</v>
      </c>
      <c r="K141" s="107">
        <f t="shared" si="12"/>
        <v>1214876.3</v>
      </c>
    </row>
    <row r="142" spans="1:11" ht="18" customHeight="1">
      <c r="A142" s="104" t="s">
        <v>142</v>
      </c>
      <c r="B142" s="97" t="s">
        <v>65</v>
      </c>
      <c r="F142" s="107">
        <f t="shared" ref="F142:K142" si="13">F49</f>
        <v>103873</v>
      </c>
      <c r="G142" s="107">
        <f t="shared" si="13"/>
        <v>675</v>
      </c>
      <c r="H142" s="107">
        <f t="shared" si="13"/>
        <v>5673725</v>
      </c>
      <c r="I142" s="107">
        <f t="shared" si="13"/>
        <v>3088111</v>
      </c>
      <c r="J142" s="107">
        <f t="shared" si="13"/>
        <v>41438</v>
      </c>
      <c r="K142" s="107">
        <f t="shared" si="13"/>
        <v>8720398</v>
      </c>
    </row>
    <row r="143" spans="1:11" ht="18" customHeight="1">
      <c r="A143" s="104" t="s">
        <v>144</v>
      </c>
      <c r="B143" s="97" t="s">
        <v>66</v>
      </c>
      <c r="F143" s="107">
        <f t="shared" ref="F143:K143" si="14">F64</f>
        <v>270851</v>
      </c>
      <c r="G143" s="107">
        <f t="shared" si="14"/>
        <v>6534</v>
      </c>
      <c r="H143" s="107">
        <f t="shared" si="14"/>
        <v>19589443</v>
      </c>
      <c r="I143" s="107">
        <f t="shared" si="14"/>
        <v>3116308</v>
      </c>
      <c r="J143" s="107">
        <f t="shared" si="14"/>
        <v>17078653</v>
      </c>
      <c r="K143" s="107">
        <f t="shared" si="14"/>
        <v>5627098</v>
      </c>
    </row>
    <row r="144" spans="1:11" ht="18" customHeight="1">
      <c r="A144" s="104" t="s">
        <v>146</v>
      </c>
      <c r="B144" s="97" t="s">
        <v>67</v>
      </c>
      <c r="F144" s="107">
        <f t="shared" ref="F144:K144" si="15">F74</f>
        <v>15</v>
      </c>
      <c r="G144" s="107">
        <f t="shared" si="15"/>
        <v>75</v>
      </c>
      <c r="H144" s="107">
        <f t="shared" si="15"/>
        <v>1212</v>
      </c>
      <c r="I144" s="107">
        <f t="shared" si="15"/>
        <v>0</v>
      </c>
      <c r="J144" s="107">
        <f t="shared" si="15"/>
        <v>0</v>
      </c>
      <c r="K144" s="107">
        <f t="shared" si="15"/>
        <v>1212</v>
      </c>
    </row>
    <row r="145" spans="1:11" ht="18" customHeight="1">
      <c r="A145" s="104" t="s">
        <v>148</v>
      </c>
      <c r="B145" s="97" t="s">
        <v>68</v>
      </c>
      <c r="F145" s="107">
        <f t="shared" ref="F145:K145" si="16">F82</f>
        <v>8</v>
      </c>
      <c r="G145" s="107">
        <f t="shared" si="16"/>
        <v>1000</v>
      </c>
      <c r="H145" s="107">
        <f t="shared" si="16"/>
        <v>33587</v>
      </c>
      <c r="I145" s="107">
        <f t="shared" si="16"/>
        <v>2693</v>
      </c>
      <c r="J145" s="107">
        <f t="shared" si="16"/>
        <v>0</v>
      </c>
      <c r="K145" s="107">
        <f t="shared" si="16"/>
        <v>36280</v>
      </c>
    </row>
    <row r="146" spans="1:11" ht="18" customHeight="1">
      <c r="A146" s="104" t="s">
        <v>150</v>
      </c>
      <c r="B146" s="97" t="s">
        <v>69</v>
      </c>
      <c r="F146" s="107">
        <f t="shared" ref="F146:K146" si="17">F98</f>
        <v>690</v>
      </c>
      <c r="G146" s="107">
        <f t="shared" si="17"/>
        <v>1</v>
      </c>
      <c r="H146" s="107">
        <f t="shared" si="17"/>
        <v>62395</v>
      </c>
      <c r="I146" s="107">
        <f t="shared" si="17"/>
        <v>34603.350000000006</v>
      </c>
      <c r="J146" s="107">
        <f t="shared" si="17"/>
        <v>0</v>
      </c>
      <c r="K146" s="107">
        <f t="shared" si="17"/>
        <v>96998.35</v>
      </c>
    </row>
    <row r="147" spans="1:11" ht="18" customHeight="1">
      <c r="A147" s="104" t="s">
        <v>153</v>
      </c>
      <c r="B147" s="97" t="s">
        <v>61</v>
      </c>
      <c r="F147" s="102">
        <f t="shared" ref="F147:K147" si="18">F108</f>
        <v>2068</v>
      </c>
      <c r="G147" s="102">
        <f t="shared" si="18"/>
        <v>0</v>
      </c>
      <c r="H147" s="102">
        <f t="shared" si="18"/>
        <v>198460</v>
      </c>
      <c r="I147" s="102">
        <f t="shared" si="18"/>
        <v>109534</v>
      </c>
      <c r="J147" s="102">
        <f t="shared" si="18"/>
        <v>0</v>
      </c>
      <c r="K147" s="102">
        <f t="shared" si="18"/>
        <v>307994</v>
      </c>
    </row>
    <row r="148" spans="1:11" ht="18" customHeight="1">
      <c r="A148" s="104" t="s">
        <v>155</v>
      </c>
      <c r="B148" s="97" t="s">
        <v>70</v>
      </c>
      <c r="F148" s="103" t="s">
        <v>73</v>
      </c>
      <c r="G148" s="103" t="s">
        <v>73</v>
      </c>
      <c r="H148" s="106" t="s">
        <v>73</v>
      </c>
      <c r="I148" s="106" t="s">
        <v>73</v>
      </c>
      <c r="J148" s="106" t="s">
        <v>73</v>
      </c>
      <c r="K148" s="105">
        <f>F111</f>
        <v>7313699</v>
      </c>
    </row>
    <row r="149" spans="1:11" ht="18" customHeight="1">
      <c r="A149" s="104" t="s">
        <v>163</v>
      </c>
      <c r="B149" s="97" t="s">
        <v>71</v>
      </c>
      <c r="F149" s="102">
        <f t="shared" ref="F149:K149" si="19">F137</f>
        <v>0</v>
      </c>
      <c r="G149" s="102">
        <f t="shared" si="19"/>
        <v>0</v>
      </c>
      <c r="H149" s="102">
        <f t="shared" si="19"/>
        <v>0</v>
      </c>
      <c r="I149" s="102">
        <f t="shared" si="19"/>
        <v>0</v>
      </c>
      <c r="J149" s="102">
        <f t="shared" si="19"/>
        <v>0</v>
      </c>
      <c r="K149" s="102">
        <f t="shared" si="19"/>
        <v>0</v>
      </c>
    </row>
    <row r="150" spans="1:11" ht="18" customHeight="1">
      <c r="A150" s="104" t="s">
        <v>185</v>
      </c>
      <c r="B150" s="97" t="s">
        <v>186</v>
      </c>
      <c r="F150" s="103" t="s">
        <v>73</v>
      </c>
      <c r="G150" s="103" t="s">
        <v>73</v>
      </c>
      <c r="H150" s="102">
        <f>H18</f>
        <v>8141324</v>
      </c>
      <c r="I150" s="102">
        <f>I18</f>
        <v>0</v>
      </c>
      <c r="J150" s="102">
        <f>J18</f>
        <v>6961850</v>
      </c>
      <c r="K150" s="102">
        <f>K18</f>
        <v>1179474</v>
      </c>
    </row>
    <row r="151" spans="1:11" ht="18" customHeight="1">
      <c r="B151" s="97"/>
      <c r="F151" s="101"/>
      <c r="G151" s="101"/>
      <c r="H151" s="101"/>
      <c r="I151" s="101"/>
      <c r="J151" s="101"/>
      <c r="K151" s="101"/>
    </row>
    <row r="152" spans="1:11" ht="18" customHeight="1">
      <c r="A152" s="99" t="s">
        <v>165</v>
      </c>
      <c r="B152" s="97" t="s">
        <v>26</v>
      </c>
      <c r="F152" s="100">
        <f t="shared" ref="F152:K152" si="20">SUM(F141:F150)</f>
        <v>395967.5</v>
      </c>
      <c r="G152" s="100">
        <f t="shared" si="20"/>
        <v>121037</v>
      </c>
      <c r="H152" s="100">
        <f t="shared" si="20"/>
        <v>34526709</v>
      </c>
      <c r="I152" s="100">
        <f t="shared" si="20"/>
        <v>6804342.6499999994</v>
      </c>
      <c r="J152" s="100">
        <f t="shared" si="20"/>
        <v>24146721</v>
      </c>
      <c r="K152" s="100">
        <f t="shared" si="20"/>
        <v>24498029.649999999</v>
      </c>
    </row>
    <row r="154" spans="1:11" ht="18" customHeight="1">
      <c r="A154" s="99" t="s">
        <v>168</v>
      </c>
      <c r="B154" s="97" t="s">
        <v>28</v>
      </c>
      <c r="F154" s="98">
        <f>K152/F121</f>
        <v>8.1726005135654881E-2</v>
      </c>
    </row>
    <row r="155" spans="1:11" ht="18" customHeight="1">
      <c r="A155" s="99" t="s">
        <v>169</v>
      </c>
      <c r="B155" s="97" t="s">
        <v>72</v>
      </c>
      <c r="F155" s="98">
        <f>K152/F127</f>
        <v>2.8469270877033304</v>
      </c>
      <c r="G155" s="97"/>
    </row>
    <row r="156" spans="1:11" ht="18" customHeight="1">
      <c r="G156" s="97"/>
    </row>
  </sheetData>
  <sheetProtection password="EF72" sheet="1" objects="1" scenarios="1"/>
  <mergeCells count="31">
    <mergeCell ref="B135:D135"/>
    <mergeCell ref="B103:C103"/>
    <mergeCell ref="B104:D104"/>
    <mergeCell ref="B105:D105"/>
    <mergeCell ref="B106:D106"/>
    <mergeCell ref="B133:D133"/>
    <mergeCell ref="B134:D134"/>
    <mergeCell ref="B96:D96"/>
    <mergeCell ref="B44:D44"/>
    <mergeCell ref="B45:D45"/>
    <mergeCell ref="B46:D46"/>
    <mergeCell ref="B47:D47"/>
    <mergeCell ref="B52:C52"/>
    <mergeCell ref="B53:D53"/>
    <mergeCell ref="B54:D54"/>
    <mergeCell ref="B62:D62"/>
    <mergeCell ref="B90:C90"/>
    <mergeCell ref="B95:D95"/>
    <mergeCell ref="B94:D94"/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90" zoomScaleNormal="50" zoomScaleSheetLayoutView="9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84" t="s">
        <v>299</v>
      </c>
      <c r="D5" s="534"/>
      <c r="E5" s="534"/>
      <c r="F5" s="534"/>
      <c r="G5" s="535"/>
    </row>
    <row r="6" spans="1:11" ht="18" customHeight="1">
      <c r="B6" s="5" t="s">
        <v>3</v>
      </c>
      <c r="C6" s="655">
        <v>34</v>
      </c>
      <c r="D6" s="656"/>
      <c r="E6" s="656"/>
      <c r="F6" s="656"/>
      <c r="G6" s="657"/>
    </row>
    <row r="7" spans="1:11" ht="18" customHeight="1">
      <c r="B7" s="5" t="s">
        <v>4</v>
      </c>
      <c r="C7" s="640">
        <v>1412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285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284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283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5662830</v>
      </c>
      <c r="I18" s="55">
        <v>0</v>
      </c>
      <c r="J18" s="15">
        <v>4842428</v>
      </c>
      <c r="K18" s="16">
        <f>(H18+I18)-J18</f>
        <v>820402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1907.7</v>
      </c>
      <c r="G21" s="54">
        <v>319955</v>
      </c>
      <c r="H21" s="15">
        <v>275538</v>
      </c>
      <c r="I21" s="55">
        <v>187874</v>
      </c>
      <c r="J21" s="15">
        <v>34680</v>
      </c>
      <c r="K21" s="16">
        <f t="shared" ref="K21:K34" si="0">(H21+I21)-J21</f>
        <v>428732</v>
      </c>
    </row>
    <row r="22" spans="1:11" ht="18" customHeight="1">
      <c r="A22" s="5" t="s">
        <v>76</v>
      </c>
      <c r="B22" t="s">
        <v>6</v>
      </c>
      <c r="F22" s="54"/>
      <c r="G22" s="54"/>
      <c r="H22" s="15"/>
      <c r="I22" s="55"/>
      <c r="J22" s="15"/>
      <c r="K22" s="16">
        <f t="shared" si="0"/>
        <v>0</v>
      </c>
    </row>
    <row r="23" spans="1:11" ht="18" customHeight="1">
      <c r="A23" s="5" t="s">
        <v>77</v>
      </c>
      <c r="B23" t="s">
        <v>43</v>
      </c>
      <c r="F23" s="54"/>
      <c r="G23" s="54"/>
      <c r="H23" s="15"/>
      <c r="I23" s="55">
        <f>H23*F$114</f>
        <v>0</v>
      </c>
      <c r="J23" s="15"/>
      <c r="K23" s="16">
        <f t="shared" si="0"/>
        <v>0</v>
      </c>
    </row>
    <row r="24" spans="1:11" ht="18" customHeight="1">
      <c r="A24" s="5" t="s">
        <v>78</v>
      </c>
      <c r="B24" t="s">
        <v>44</v>
      </c>
      <c r="F24" s="54">
        <v>8504</v>
      </c>
      <c r="G24" s="54">
        <v>1431</v>
      </c>
      <c r="H24" s="15">
        <v>901872</v>
      </c>
      <c r="I24" s="55">
        <v>646810</v>
      </c>
      <c r="J24" s="15"/>
      <c r="K24" s="16">
        <f t="shared" si="0"/>
        <v>1548682</v>
      </c>
    </row>
    <row r="25" spans="1:11" ht="18" customHeight="1">
      <c r="A25" s="5" t="s">
        <v>79</v>
      </c>
      <c r="B25" t="s">
        <v>5</v>
      </c>
      <c r="F25" s="54"/>
      <c r="G25" s="54"/>
      <c r="H25" s="15"/>
      <c r="I25" s="55">
        <f>H25*F$114</f>
        <v>0</v>
      </c>
      <c r="J25" s="15"/>
      <c r="K25" s="16">
        <f t="shared" si="0"/>
        <v>0</v>
      </c>
    </row>
    <row r="26" spans="1:11" ht="18" customHeight="1">
      <c r="A26" s="5" t="s">
        <v>80</v>
      </c>
      <c r="B26" t="s">
        <v>45</v>
      </c>
      <c r="F26" s="54"/>
      <c r="G26" s="54"/>
      <c r="H26" s="15"/>
      <c r="I26" s="55">
        <f>H26*F$114</f>
        <v>0</v>
      </c>
      <c r="J26" s="15"/>
      <c r="K26" s="16">
        <f t="shared" si="0"/>
        <v>0</v>
      </c>
    </row>
    <row r="27" spans="1:11" ht="18" customHeight="1">
      <c r="A27" s="5" t="s">
        <v>81</v>
      </c>
      <c r="B27" t="s">
        <v>46</v>
      </c>
      <c r="F27" s="54"/>
      <c r="G27" s="54"/>
      <c r="H27" s="15"/>
      <c r="I27" s="55">
        <f>H27*F$114</f>
        <v>0</v>
      </c>
      <c r="J27" s="15"/>
      <c r="K27" s="16">
        <f t="shared" si="0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15"/>
      <c r="I28" s="55">
        <f>H28*F$114</f>
        <v>0</v>
      </c>
      <c r="J28" s="15"/>
      <c r="K28" s="16">
        <f t="shared" si="0"/>
        <v>0</v>
      </c>
    </row>
    <row r="29" spans="1:11" ht="18" customHeight="1">
      <c r="A29" s="5" t="s">
        <v>83</v>
      </c>
      <c r="B29" t="s">
        <v>48</v>
      </c>
      <c r="F29" s="54"/>
      <c r="G29" s="54"/>
      <c r="H29" s="15">
        <v>102453</v>
      </c>
      <c r="I29" s="55">
        <v>27889</v>
      </c>
      <c r="J29" s="15">
        <v>1387</v>
      </c>
      <c r="K29" s="16">
        <f t="shared" si="0"/>
        <v>128955</v>
      </c>
    </row>
    <row r="30" spans="1:11" ht="18" customHeight="1">
      <c r="A30" s="5" t="s">
        <v>84</v>
      </c>
      <c r="B30" s="547" t="s">
        <v>298</v>
      </c>
      <c r="C30" s="548"/>
      <c r="D30" s="549"/>
      <c r="F30" s="54"/>
      <c r="G30" s="54"/>
      <c r="H30" s="15">
        <v>11009</v>
      </c>
      <c r="I30" s="55">
        <f>H30*F$114</f>
        <v>7926.48</v>
      </c>
      <c r="J30" s="15"/>
      <c r="K30" s="16">
        <f t="shared" si="0"/>
        <v>18935.48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>H31*F$114</f>
        <v>0</v>
      </c>
      <c r="J31" s="15"/>
      <c r="K31" s="16">
        <f t="shared" si="0"/>
        <v>0</v>
      </c>
    </row>
    <row r="32" spans="1:11" ht="18" customHeight="1">
      <c r="A32" s="5" t="s">
        <v>134</v>
      </c>
      <c r="B32" s="68"/>
      <c r="C32" s="69"/>
      <c r="D32" s="70"/>
      <c r="F32" s="54"/>
      <c r="G32" s="52" t="s">
        <v>85</v>
      </c>
      <c r="H32" s="15"/>
      <c r="I32" s="55">
        <f>H32*F$114</f>
        <v>0</v>
      </c>
      <c r="J32" s="15"/>
      <c r="K32" s="16">
        <f t="shared" si="0"/>
        <v>0</v>
      </c>
    </row>
    <row r="33" spans="1:11" ht="18" customHeight="1">
      <c r="A33" s="5" t="s">
        <v>135</v>
      </c>
      <c r="B33" s="68"/>
      <c r="C33" s="69"/>
      <c r="D33" s="70"/>
      <c r="F33" s="54"/>
      <c r="G33" s="52" t="s">
        <v>85</v>
      </c>
      <c r="H33" s="15"/>
      <c r="I33" s="55">
        <f>H33*F$114</f>
        <v>0</v>
      </c>
      <c r="J33" s="15"/>
      <c r="K33" s="16">
        <f t="shared" si="0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>H34*F$114</f>
        <v>0</v>
      </c>
      <c r="J34" s="15"/>
      <c r="K34" s="16">
        <f t="shared" si="0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1">SUM(F21:F34)</f>
        <v>10411.700000000001</v>
      </c>
      <c r="G36" s="18">
        <f t="shared" si="1"/>
        <v>321386</v>
      </c>
      <c r="H36" s="18">
        <f t="shared" si="1"/>
        <v>1290872</v>
      </c>
      <c r="I36" s="16">
        <f t="shared" si="1"/>
        <v>870499.48</v>
      </c>
      <c r="J36" s="16">
        <f t="shared" si="1"/>
        <v>36067</v>
      </c>
      <c r="K36" s="16">
        <f t="shared" si="1"/>
        <v>2125304.48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>
        <v>116272</v>
      </c>
      <c r="G40" s="54"/>
      <c r="H40" s="15">
        <v>5136532</v>
      </c>
      <c r="I40" s="55">
        <f>H40*F$114</f>
        <v>3698303.04</v>
      </c>
      <c r="J40" s="15"/>
      <c r="K40" s="16">
        <f t="shared" ref="K40:K47" si="2">(H40+I40)-J40</f>
        <v>8834835.0399999991</v>
      </c>
    </row>
    <row r="41" spans="1:11" ht="18" customHeight="1">
      <c r="A41" s="5" t="s">
        <v>88</v>
      </c>
      <c r="B41" s="550" t="s">
        <v>50</v>
      </c>
      <c r="C41" s="551"/>
      <c r="F41" s="54">
        <v>2358</v>
      </c>
      <c r="G41" s="54">
        <v>262</v>
      </c>
      <c r="H41" s="15">
        <v>191318</v>
      </c>
      <c r="I41" s="55">
        <f>H41*F$114</f>
        <v>137748.96</v>
      </c>
      <c r="J41" s="15"/>
      <c r="K41" s="16">
        <f t="shared" si="2"/>
        <v>329066.95999999996</v>
      </c>
    </row>
    <row r="42" spans="1:11" ht="18" customHeight="1">
      <c r="A42" s="5" t="s">
        <v>89</v>
      </c>
      <c r="B42" s="1" t="s">
        <v>11</v>
      </c>
      <c r="F42" s="54"/>
      <c r="G42" s="54"/>
      <c r="H42" s="15"/>
      <c r="I42" s="55">
        <v>0</v>
      </c>
      <c r="J42" s="15"/>
      <c r="K42" s="16">
        <f t="shared" si="2"/>
        <v>0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/>
      <c r="I43" s="55">
        <v>0</v>
      </c>
      <c r="J43" s="15"/>
      <c r="K43" s="16">
        <f t="shared" si="2"/>
        <v>0</v>
      </c>
    </row>
    <row r="44" spans="1:11" ht="18" customHeight="1">
      <c r="A44" s="5" t="s">
        <v>91</v>
      </c>
      <c r="B44" s="547"/>
      <c r="C44" s="548"/>
      <c r="D44" s="549"/>
      <c r="F44" s="82"/>
      <c r="G44" s="82"/>
      <c r="H44" s="82"/>
      <c r="I44" s="83">
        <v>0</v>
      </c>
      <c r="J44" s="82"/>
      <c r="K44" s="81">
        <f t="shared" si="2"/>
        <v>0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2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2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2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3">SUM(F40:F47)</f>
        <v>118630</v>
      </c>
      <c r="G49" s="23">
        <f t="shared" si="3"/>
        <v>262</v>
      </c>
      <c r="H49" s="16">
        <f t="shared" si="3"/>
        <v>5327850</v>
      </c>
      <c r="I49" s="16">
        <f t="shared" si="3"/>
        <v>3836052</v>
      </c>
      <c r="J49" s="16">
        <f t="shared" si="3"/>
        <v>0</v>
      </c>
      <c r="K49" s="16">
        <f t="shared" si="3"/>
        <v>9163902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85" t="s">
        <v>281</v>
      </c>
      <c r="C53" s="559"/>
      <c r="D53" s="532"/>
      <c r="F53" s="54"/>
      <c r="G53" s="54"/>
      <c r="H53" s="15">
        <v>395115</v>
      </c>
      <c r="I53" s="55">
        <v>0</v>
      </c>
      <c r="J53" s="15"/>
      <c r="K53" s="16">
        <f t="shared" ref="K53:K62" si="4">(H53+I53)-J53</f>
        <v>395115</v>
      </c>
    </row>
    <row r="54" spans="1:11" ht="18" customHeight="1">
      <c r="A54" s="5" t="s">
        <v>93</v>
      </c>
      <c r="B54" s="88" t="s">
        <v>280</v>
      </c>
      <c r="C54" s="66"/>
      <c r="D54" s="67"/>
      <c r="F54" s="54">
        <v>94016</v>
      </c>
      <c r="G54" s="54">
        <v>26091</v>
      </c>
      <c r="H54" s="15">
        <v>8245896</v>
      </c>
      <c r="I54" s="55">
        <v>0</v>
      </c>
      <c r="J54" s="15">
        <v>4760746</v>
      </c>
      <c r="K54" s="16">
        <f t="shared" si="4"/>
        <v>3485150</v>
      </c>
    </row>
    <row r="55" spans="1:11" ht="18" customHeight="1">
      <c r="A55" s="5" t="s">
        <v>94</v>
      </c>
      <c r="B55" s="530"/>
      <c r="C55" s="531"/>
      <c r="D55" s="532"/>
      <c r="F55" s="54"/>
      <c r="G55" s="54"/>
      <c r="H55" s="15"/>
      <c r="I55" s="55">
        <v>0</v>
      </c>
      <c r="J55" s="15"/>
      <c r="K55" s="16">
        <f t="shared" si="4"/>
        <v>0</v>
      </c>
    </row>
    <row r="56" spans="1:11" ht="18" customHeight="1">
      <c r="A56" s="5" t="s">
        <v>95</v>
      </c>
      <c r="B56" s="530"/>
      <c r="C56" s="531"/>
      <c r="D56" s="532"/>
      <c r="F56" s="54" t="s">
        <v>740</v>
      </c>
      <c r="G56" s="54"/>
      <c r="H56" s="15"/>
      <c r="I56" s="55">
        <v>0</v>
      </c>
      <c r="J56" s="15"/>
      <c r="K56" s="16">
        <f t="shared" si="4"/>
        <v>0</v>
      </c>
    </row>
    <row r="57" spans="1:11" ht="18" customHeight="1">
      <c r="A57" s="5" t="s">
        <v>96</v>
      </c>
      <c r="B57" s="530"/>
      <c r="C57" s="531"/>
      <c r="D57" s="532"/>
      <c r="F57" s="54"/>
      <c r="G57" s="54"/>
      <c r="H57" s="15"/>
      <c r="I57" s="55">
        <v>0</v>
      </c>
      <c r="J57" s="15"/>
      <c r="K57" s="16">
        <f t="shared" si="4"/>
        <v>0</v>
      </c>
    </row>
    <row r="58" spans="1:11" ht="18" customHeight="1">
      <c r="A58" s="5" t="s">
        <v>97</v>
      </c>
      <c r="B58" s="65"/>
      <c r="C58" s="66"/>
      <c r="D58" s="67"/>
      <c r="F58" s="54"/>
      <c r="G58" s="54"/>
      <c r="H58" s="15"/>
      <c r="I58" s="55">
        <v>0</v>
      </c>
      <c r="J58" s="15"/>
      <c r="K58" s="16">
        <f t="shared" si="4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v>0</v>
      </c>
      <c r="J59" s="15"/>
      <c r="K59" s="16">
        <f t="shared" si="4"/>
        <v>0</v>
      </c>
    </row>
    <row r="60" spans="1:11" ht="18" customHeight="1">
      <c r="A60" s="5" t="s">
        <v>99</v>
      </c>
      <c r="B60" s="88" t="s">
        <v>297</v>
      </c>
      <c r="C60" s="66"/>
      <c r="D60" s="67"/>
      <c r="F60" s="54"/>
      <c r="G60" s="54"/>
      <c r="H60" s="15">
        <v>114570</v>
      </c>
      <c r="I60" s="55">
        <v>0</v>
      </c>
      <c r="J60" s="15"/>
      <c r="K60" s="16">
        <f t="shared" si="4"/>
        <v>114570</v>
      </c>
    </row>
    <row r="61" spans="1:11" ht="18" customHeight="1">
      <c r="A61" s="5" t="s">
        <v>100</v>
      </c>
      <c r="B61" s="65"/>
      <c r="C61" s="66"/>
      <c r="D61" s="67"/>
      <c r="F61" s="54"/>
      <c r="G61" s="54"/>
      <c r="H61" s="15"/>
      <c r="I61" s="55">
        <v>0</v>
      </c>
      <c r="J61" s="15"/>
      <c r="K61" s="16">
        <f t="shared" si="4"/>
        <v>0</v>
      </c>
    </row>
    <row r="62" spans="1:11" ht="18" customHeight="1">
      <c r="A62" s="5" t="s">
        <v>101</v>
      </c>
      <c r="B62" s="557" t="s">
        <v>296</v>
      </c>
      <c r="C62" s="531"/>
      <c r="D62" s="532"/>
      <c r="F62" s="54">
        <v>42768</v>
      </c>
      <c r="G62" s="54">
        <v>20335</v>
      </c>
      <c r="H62" s="15">
        <v>2436401</v>
      </c>
      <c r="I62" s="55">
        <v>0</v>
      </c>
      <c r="J62" s="15">
        <v>1976972</v>
      </c>
      <c r="K62" s="16">
        <f t="shared" si="4"/>
        <v>459429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5">SUM(F53:F62)</f>
        <v>136784</v>
      </c>
      <c r="G64" s="18">
        <f t="shared" si="5"/>
        <v>46426</v>
      </c>
      <c r="H64" s="16">
        <f t="shared" si="5"/>
        <v>11191982</v>
      </c>
      <c r="I64" s="16">
        <f t="shared" si="5"/>
        <v>0</v>
      </c>
      <c r="J64" s="16">
        <f t="shared" si="5"/>
        <v>6737718</v>
      </c>
      <c r="K64" s="16">
        <f t="shared" si="5"/>
        <v>4454264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/>
      <c r="G68" s="51"/>
      <c r="H68" s="51"/>
      <c r="I68" s="55">
        <v>0</v>
      </c>
      <c r="J68" s="51"/>
      <c r="K68" s="16">
        <f>(H68+I68)-J68</f>
        <v>0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65"/>
      <c r="C70" s="66"/>
      <c r="D70" s="67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65"/>
      <c r="C71" s="66"/>
      <c r="D71" s="67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71"/>
      <c r="C72" s="72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6">SUM(F68:F72)</f>
        <v>0</v>
      </c>
      <c r="G74" s="21">
        <f t="shared" si="6"/>
        <v>0</v>
      </c>
      <c r="H74" s="21">
        <f t="shared" si="6"/>
        <v>0</v>
      </c>
      <c r="I74" s="53">
        <f t="shared" si="6"/>
        <v>0</v>
      </c>
      <c r="J74" s="21">
        <f t="shared" si="6"/>
        <v>0</v>
      </c>
      <c r="K74" s="56">
        <f t="shared" si="6"/>
        <v>0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>
        <v>4</v>
      </c>
      <c r="G77" s="54"/>
      <c r="H77" s="15">
        <v>24820</v>
      </c>
      <c r="I77" s="55">
        <v>0</v>
      </c>
      <c r="J77" s="15"/>
      <c r="K77" s="16">
        <f>(H77+I77)-J77</f>
        <v>24820</v>
      </c>
    </row>
    <row r="78" spans="1:11" ht="18" customHeight="1">
      <c r="A78" s="5" t="s">
        <v>108</v>
      </c>
      <c r="B78" s="1" t="s">
        <v>55</v>
      </c>
      <c r="F78" s="54"/>
      <c r="G78" s="54"/>
      <c r="H78" s="15"/>
      <c r="I78" s="55"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>
        <v>60</v>
      </c>
      <c r="G79" s="54">
        <v>565</v>
      </c>
      <c r="H79" s="15">
        <v>4010</v>
      </c>
      <c r="I79" s="55">
        <v>0</v>
      </c>
      <c r="J79" s="15"/>
      <c r="K79" s="16">
        <f>(H79+I79)-J79</f>
        <v>4010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7">SUM(F77:F80)</f>
        <v>64</v>
      </c>
      <c r="G82" s="21">
        <f t="shared" si="7"/>
        <v>565</v>
      </c>
      <c r="H82" s="56">
        <f t="shared" si="7"/>
        <v>28830</v>
      </c>
      <c r="I82" s="56">
        <f t="shared" si="7"/>
        <v>0</v>
      </c>
      <c r="J82" s="56">
        <f t="shared" si="7"/>
        <v>0</v>
      </c>
      <c r="K82" s="56">
        <f t="shared" si="7"/>
        <v>28830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f t="shared" ref="I86:I91" si="8">H86*F$114</f>
        <v>0</v>
      </c>
      <c r="J86" s="15"/>
      <c r="K86" s="16">
        <f t="shared" ref="K86:K96" si="9">(H86+I86)-J86</f>
        <v>0</v>
      </c>
    </row>
    <row r="87" spans="1:11" ht="18" customHeight="1">
      <c r="A87" s="5" t="s">
        <v>114</v>
      </c>
      <c r="B87" s="1" t="s">
        <v>14</v>
      </c>
      <c r="F87" s="54"/>
      <c r="G87" s="54"/>
      <c r="H87" s="15"/>
      <c r="I87" s="55">
        <f t="shared" si="8"/>
        <v>0</v>
      </c>
      <c r="J87" s="15"/>
      <c r="K87" s="16">
        <f t="shared" si="9"/>
        <v>0</v>
      </c>
    </row>
    <row r="88" spans="1:11" ht="18" customHeight="1">
      <c r="A88" s="5" t="s">
        <v>115</v>
      </c>
      <c r="B88" s="1" t="s">
        <v>116</v>
      </c>
      <c r="F88" s="54">
        <v>59.5</v>
      </c>
      <c r="G88" s="54">
        <v>545</v>
      </c>
      <c r="H88" s="15">
        <v>32617</v>
      </c>
      <c r="I88" s="55">
        <f t="shared" si="8"/>
        <v>23484.239999999998</v>
      </c>
      <c r="J88" s="15"/>
      <c r="K88" s="16">
        <f t="shared" si="9"/>
        <v>56101.24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 t="shared" si="8"/>
        <v>0</v>
      </c>
      <c r="J89" s="15"/>
      <c r="K89" s="16">
        <f t="shared" si="9"/>
        <v>0</v>
      </c>
    </row>
    <row r="90" spans="1:11" ht="18" customHeight="1">
      <c r="A90" s="5" t="s">
        <v>118</v>
      </c>
      <c r="B90" s="550" t="s">
        <v>59</v>
      </c>
      <c r="C90" s="551"/>
      <c r="F90" s="54"/>
      <c r="G90" s="54"/>
      <c r="H90" s="15"/>
      <c r="I90" s="55">
        <f t="shared" si="8"/>
        <v>0</v>
      </c>
      <c r="J90" s="15"/>
      <c r="K90" s="16">
        <f t="shared" si="9"/>
        <v>0</v>
      </c>
    </row>
    <row r="91" spans="1:11" ht="18" customHeight="1">
      <c r="A91" s="5" t="s">
        <v>119</v>
      </c>
      <c r="B91" s="1" t="s">
        <v>60</v>
      </c>
      <c r="F91" s="54"/>
      <c r="G91" s="54"/>
      <c r="H91" s="15"/>
      <c r="I91" s="55">
        <f t="shared" si="8"/>
        <v>0</v>
      </c>
      <c r="J91" s="15"/>
      <c r="K91" s="16">
        <f t="shared" si="9"/>
        <v>0</v>
      </c>
    </row>
    <row r="92" spans="1:11" ht="18" customHeight="1">
      <c r="A92" s="5" t="s">
        <v>120</v>
      </c>
      <c r="B92" s="1" t="s">
        <v>121</v>
      </c>
      <c r="F92" s="38">
        <v>10</v>
      </c>
      <c r="G92" s="38">
        <v>50</v>
      </c>
      <c r="H92" s="39">
        <v>29705</v>
      </c>
      <c r="I92" s="55">
        <v>280</v>
      </c>
      <c r="J92" s="39"/>
      <c r="K92" s="16">
        <f t="shared" si="9"/>
        <v>29985</v>
      </c>
    </row>
    <row r="93" spans="1:11" ht="18" customHeight="1">
      <c r="A93" s="5" t="s">
        <v>122</v>
      </c>
      <c r="B93" s="1" t="s">
        <v>123</v>
      </c>
      <c r="F93" s="54">
        <v>6</v>
      </c>
      <c r="G93" s="54"/>
      <c r="H93" s="15">
        <v>282</v>
      </c>
      <c r="I93" s="55">
        <v>0</v>
      </c>
      <c r="J93" s="15"/>
      <c r="K93" s="16">
        <f t="shared" si="9"/>
        <v>282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f>H94*F$114</f>
        <v>0</v>
      </c>
      <c r="J94" s="15"/>
      <c r="K94" s="16">
        <f t="shared" si="9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>H95*F$114</f>
        <v>0</v>
      </c>
      <c r="J95" s="15"/>
      <c r="K95" s="16">
        <f t="shared" si="9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>H96*F$114</f>
        <v>0</v>
      </c>
      <c r="J96" s="15"/>
      <c r="K96" s="16">
        <f t="shared" si="9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0">SUM(F86:F96)</f>
        <v>75.5</v>
      </c>
      <c r="G98" s="18">
        <f t="shared" si="10"/>
        <v>595</v>
      </c>
      <c r="H98" s="18">
        <f t="shared" si="10"/>
        <v>62604</v>
      </c>
      <c r="I98" s="18">
        <f t="shared" si="10"/>
        <v>23764.239999999998</v>
      </c>
      <c r="J98" s="18">
        <f t="shared" si="10"/>
        <v>0</v>
      </c>
      <c r="K98" s="18">
        <f t="shared" si="10"/>
        <v>86368.239999999991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>
        <v>104</v>
      </c>
      <c r="G102" s="54"/>
      <c r="H102" s="15">
        <v>66235</v>
      </c>
      <c r="I102" s="55">
        <v>2745</v>
      </c>
      <c r="J102" s="15"/>
      <c r="K102" s="16">
        <f>(H102+I102)-J102</f>
        <v>68980</v>
      </c>
    </row>
    <row r="103" spans="1:11" ht="18" customHeight="1">
      <c r="A103" s="5" t="s">
        <v>132</v>
      </c>
      <c r="B103" s="550" t="s">
        <v>62</v>
      </c>
      <c r="C103" s="550"/>
      <c r="F103" s="54">
        <v>108</v>
      </c>
      <c r="G103" s="54"/>
      <c r="H103" s="15">
        <v>5579</v>
      </c>
      <c r="I103" s="55">
        <v>0</v>
      </c>
      <c r="J103" s="15"/>
      <c r="K103" s="16">
        <f>(H103+I103)-J103</f>
        <v>5579</v>
      </c>
    </row>
    <row r="104" spans="1:11" ht="18" customHeight="1">
      <c r="A104" s="5" t="s">
        <v>128</v>
      </c>
      <c r="B104" s="557" t="s">
        <v>282</v>
      </c>
      <c r="C104" s="531"/>
      <c r="D104" s="532"/>
      <c r="F104" s="54"/>
      <c r="G104" s="54"/>
      <c r="H104" s="15">
        <v>38111</v>
      </c>
      <c r="I104" s="55">
        <v>0</v>
      </c>
      <c r="J104" s="15"/>
      <c r="K104" s="16">
        <f>(H104+I104)-J104</f>
        <v>38111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1">SUM(F102:F106)</f>
        <v>212</v>
      </c>
      <c r="G108" s="18">
        <f t="shared" si="11"/>
        <v>0</v>
      </c>
      <c r="H108" s="16">
        <f t="shared" si="11"/>
        <v>109925</v>
      </c>
      <c r="I108" s="16">
        <f t="shared" si="11"/>
        <v>2745</v>
      </c>
      <c r="J108" s="16">
        <f t="shared" si="11"/>
        <v>0</v>
      </c>
      <c r="K108" s="16">
        <f t="shared" si="11"/>
        <v>112670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7084202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0.72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187468729</v>
      </c>
    </row>
    <row r="118" spans="1:6" ht="18" customHeight="1">
      <c r="A118" s="5" t="s">
        <v>173</v>
      </c>
      <c r="B118" t="s">
        <v>18</v>
      </c>
      <c r="F118" s="15">
        <v>11863130</v>
      </c>
    </row>
    <row r="119" spans="1:6" ht="18" customHeight="1">
      <c r="A119" s="5" t="s">
        <v>174</v>
      </c>
      <c r="B119" s="2" t="s">
        <v>19</v>
      </c>
      <c r="F119" s="56">
        <f>SUM(F117:F118)</f>
        <v>199331859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202041627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f>+F119-F121</f>
        <v>-2709768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220219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v>-2489549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2">SUM(F131:F135)</f>
        <v>0</v>
      </c>
      <c r="G137" s="18">
        <f t="shared" si="12"/>
        <v>0</v>
      </c>
      <c r="H137" s="16">
        <f t="shared" si="12"/>
        <v>0</v>
      </c>
      <c r="I137" s="16">
        <f t="shared" si="12"/>
        <v>0</v>
      </c>
      <c r="J137" s="16">
        <f t="shared" si="12"/>
        <v>0</v>
      </c>
      <c r="K137" s="16">
        <f t="shared" si="12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3">F36</f>
        <v>10411.700000000001</v>
      </c>
      <c r="G141" s="41">
        <f t="shared" si="13"/>
        <v>321386</v>
      </c>
      <c r="H141" s="41">
        <f t="shared" si="13"/>
        <v>1290872</v>
      </c>
      <c r="I141" s="41">
        <f t="shared" si="13"/>
        <v>870499.48</v>
      </c>
      <c r="J141" s="41">
        <f t="shared" si="13"/>
        <v>36067</v>
      </c>
      <c r="K141" s="41">
        <f t="shared" si="13"/>
        <v>2125304.48</v>
      </c>
    </row>
    <row r="142" spans="1:11" ht="18" customHeight="1">
      <c r="A142" s="5" t="s">
        <v>142</v>
      </c>
      <c r="B142" s="2" t="s">
        <v>65</v>
      </c>
      <c r="F142" s="41">
        <f t="shared" ref="F142:K142" si="14">F49</f>
        <v>118630</v>
      </c>
      <c r="G142" s="41">
        <f t="shared" si="14"/>
        <v>262</v>
      </c>
      <c r="H142" s="41">
        <f t="shared" si="14"/>
        <v>5327850</v>
      </c>
      <c r="I142" s="41">
        <f t="shared" si="14"/>
        <v>3836052</v>
      </c>
      <c r="J142" s="41">
        <f t="shared" si="14"/>
        <v>0</v>
      </c>
      <c r="K142" s="41">
        <f t="shared" si="14"/>
        <v>9163902</v>
      </c>
    </row>
    <row r="143" spans="1:11" ht="18" customHeight="1">
      <c r="A143" s="5" t="s">
        <v>144</v>
      </c>
      <c r="B143" s="2" t="s">
        <v>66</v>
      </c>
      <c r="F143" s="41">
        <f t="shared" ref="F143:K143" si="15">F64</f>
        <v>136784</v>
      </c>
      <c r="G143" s="41">
        <f t="shared" si="15"/>
        <v>46426</v>
      </c>
      <c r="H143" s="41">
        <f t="shared" si="15"/>
        <v>11191982</v>
      </c>
      <c r="I143" s="41">
        <f t="shared" si="15"/>
        <v>0</v>
      </c>
      <c r="J143" s="41">
        <f t="shared" si="15"/>
        <v>6737718</v>
      </c>
      <c r="K143" s="41">
        <f t="shared" si="15"/>
        <v>4454264</v>
      </c>
    </row>
    <row r="144" spans="1:11" ht="18" customHeight="1">
      <c r="A144" s="5" t="s">
        <v>146</v>
      </c>
      <c r="B144" s="2" t="s">
        <v>67</v>
      </c>
      <c r="F144" s="41">
        <f t="shared" ref="F144:K144" si="16">F74</f>
        <v>0</v>
      </c>
      <c r="G144" s="41">
        <f t="shared" si="16"/>
        <v>0</v>
      </c>
      <c r="H144" s="41">
        <f t="shared" si="16"/>
        <v>0</v>
      </c>
      <c r="I144" s="41">
        <f t="shared" si="16"/>
        <v>0</v>
      </c>
      <c r="J144" s="41">
        <f t="shared" si="16"/>
        <v>0</v>
      </c>
      <c r="K144" s="41">
        <f t="shared" si="16"/>
        <v>0</v>
      </c>
    </row>
    <row r="145" spans="1:11" ht="18" customHeight="1">
      <c r="A145" s="5" t="s">
        <v>148</v>
      </c>
      <c r="B145" s="2" t="s">
        <v>68</v>
      </c>
      <c r="F145" s="41">
        <f t="shared" ref="F145:K145" si="17">F82</f>
        <v>64</v>
      </c>
      <c r="G145" s="41">
        <f t="shared" si="17"/>
        <v>565</v>
      </c>
      <c r="H145" s="41">
        <f t="shared" si="17"/>
        <v>28830</v>
      </c>
      <c r="I145" s="41">
        <f t="shared" si="17"/>
        <v>0</v>
      </c>
      <c r="J145" s="41">
        <f t="shared" si="17"/>
        <v>0</v>
      </c>
      <c r="K145" s="41">
        <f t="shared" si="17"/>
        <v>28830</v>
      </c>
    </row>
    <row r="146" spans="1:11" ht="18" customHeight="1">
      <c r="A146" s="5" t="s">
        <v>150</v>
      </c>
      <c r="B146" s="2" t="s">
        <v>69</v>
      </c>
      <c r="F146" s="41">
        <f t="shared" ref="F146:K146" si="18">F98</f>
        <v>75.5</v>
      </c>
      <c r="G146" s="41">
        <f t="shared" si="18"/>
        <v>595</v>
      </c>
      <c r="H146" s="41">
        <f t="shared" si="18"/>
        <v>62604</v>
      </c>
      <c r="I146" s="41">
        <f t="shared" si="18"/>
        <v>23764.239999999998</v>
      </c>
      <c r="J146" s="41">
        <f t="shared" si="18"/>
        <v>0</v>
      </c>
      <c r="K146" s="41">
        <f t="shared" si="18"/>
        <v>86368.239999999991</v>
      </c>
    </row>
    <row r="147" spans="1:11" ht="18" customHeight="1">
      <c r="A147" s="5" t="s">
        <v>153</v>
      </c>
      <c r="B147" s="2" t="s">
        <v>61</v>
      </c>
      <c r="F147" s="18">
        <f t="shared" ref="F147:K147" si="19">F108</f>
        <v>212</v>
      </c>
      <c r="G147" s="18">
        <f t="shared" si="19"/>
        <v>0</v>
      </c>
      <c r="H147" s="18">
        <f t="shared" si="19"/>
        <v>109925</v>
      </c>
      <c r="I147" s="18">
        <f t="shared" si="19"/>
        <v>2745</v>
      </c>
      <c r="J147" s="18">
        <f t="shared" si="19"/>
        <v>0</v>
      </c>
      <c r="K147" s="18">
        <f t="shared" si="19"/>
        <v>112670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7084202</v>
      </c>
    </row>
    <row r="149" spans="1:11" ht="18" customHeight="1">
      <c r="A149" s="5" t="s">
        <v>163</v>
      </c>
      <c r="B149" s="2" t="s">
        <v>71</v>
      </c>
      <c r="F149" s="18">
        <f t="shared" ref="F149:K149" si="20">F137</f>
        <v>0</v>
      </c>
      <c r="G149" s="18">
        <f t="shared" si="20"/>
        <v>0</v>
      </c>
      <c r="H149" s="18">
        <f t="shared" si="20"/>
        <v>0</v>
      </c>
      <c r="I149" s="18">
        <f t="shared" si="20"/>
        <v>0</v>
      </c>
      <c r="J149" s="18">
        <f t="shared" si="20"/>
        <v>0</v>
      </c>
      <c r="K149" s="18">
        <f t="shared" si="20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5662830</v>
      </c>
      <c r="I150" s="18">
        <f>I18</f>
        <v>0</v>
      </c>
      <c r="J150" s="18">
        <f>J18</f>
        <v>4842428</v>
      </c>
      <c r="K150" s="18">
        <f>K18</f>
        <v>820402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1">SUM(F141:F150)</f>
        <v>266177.2</v>
      </c>
      <c r="G152" s="49">
        <f t="shared" si="21"/>
        <v>369234</v>
      </c>
      <c r="H152" s="49">
        <f t="shared" si="21"/>
        <v>23674893</v>
      </c>
      <c r="I152" s="49">
        <f t="shared" si="21"/>
        <v>4733060.7200000007</v>
      </c>
      <c r="J152" s="49">
        <f t="shared" si="21"/>
        <v>11616213</v>
      </c>
      <c r="K152" s="49">
        <f t="shared" si="21"/>
        <v>23875942.719999999</v>
      </c>
    </row>
    <row r="154" spans="1:11" ht="18" customHeight="1">
      <c r="A154" s="6" t="s">
        <v>168</v>
      </c>
      <c r="B154" s="2" t="s">
        <v>28</v>
      </c>
      <c r="F154" s="89">
        <f>K152/F121</f>
        <v>0.11817338374532095</v>
      </c>
    </row>
    <row r="155" spans="1:11" ht="18" customHeight="1">
      <c r="A155" s="6" t="s">
        <v>169</v>
      </c>
      <c r="B155" s="2" t="s">
        <v>72</v>
      </c>
      <c r="F155" s="89">
        <f>K152/F127</f>
        <v>-9.5904690849627787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D2:H2"/>
    <mergeCell ref="B45:D45"/>
    <mergeCell ref="B46:D46"/>
    <mergeCell ref="B47:D47"/>
    <mergeCell ref="B34:D34"/>
    <mergeCell ref="C11:G11"/>
    <mergeCell ref="B41:C41"/>
    <mergeCell ref="B44:D44"/>
    <mergeCell ref="B31:D31"/>
    <mergeCell ref="C5:G5"/>
    <mergeCell ref="C6:G6"/>
    <mergeCell ref="C7:G7"/>
    <mergeCell ref="C9:G9"/>
    <mergeCell ref="C10:G10"/>
    <mergeCell ref="B13:H13"/>
    <mergeCell ref="B52:C52"/>
    <mergeCell ref="B90:C90"/>
    <mergeCell ref="B53:D53"/>
    <mergeCell ref="B62:D62"/>
    <mergeCell ref="B30:D30"/>
    <mergeCell ref="B55:D55"/>
    <mergeCell ref="B56:D56"/>
    <mergeCell ref="B95:D95"/>
    <mergeCell ref="B57:D57"/>
    <mergeCell ref="B103:C103"/>
    <mergeCell ref="B59:D59"/>
    <mergeCell ref="B135:D135"/>
    <mergeCell ref="B133:D133"/>
    <mergeCell ref="B104:D104"/>
    <mergeCell ref="B134:D134"/>
    <mergeCell ref="B105:D105"/>
    <mergeCell ref="B106:D106"/>
    <mergeCell ref="B94:D94"/>
    <mergeCell ref="B96:D96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80" zoomScaleNormal="70" zoomScaleSheetLayoutView="80" workbookViewId="0">
      <selection activeCell="C6" sqref="C6:G7"/>
    </sheetView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  <col min="257" max="257" width="8.28515625" customWidth="1"/>
    <col min="258" max="258" width="55.42578125" bestFit="1" customWidth="1"/>
    <col min="259" max="259" width="9.5703125" customWidth="1"/>
    <col min="261" max="261" width="12.42578125" customWidth="1"/>
    <col min="262" max="262" width="18.5703125" customWidth="1"/>
    <col min="263" max="263" width="23.5703125" customWidth="1"/>
    <col min="264" max="264" width="17.140625" customWidth="1"/>
    <col min="265" max="265" width="21.140625" customWidth="1"/>
    <col min="266" max="266" width="19.85546875" customWidth="1"/>
    <col min="267" max="267" width="17.5703125" customWidth="1"/>
    <col min="513" max="513" width="8.28515625" customWidth="1"/>
    <col min="514" max="514" width="55.42578125" bestFit="1" customWidth="1"/>
    <col min="515" max="515" width="9.5703125" customWidth="1"/>
    <col min="517" max="517" width="12.42578125" customWidth="1"/>
    <col min="518" max="518" width="18.5703125" customWidth="1"/>
    <col min="519" max="519" width="23.5703125" customWidth="1"/>
    <col min="520" max="520" width="17.140625" customWidth="1"/>
    <col min="521" max="521" width="21.140625" customWidth="1"/>
    <col min="522" max="522" width="19.85546875" customWidth="1"/>
    <col min="523" max="523" width="17.5703125" customWidth="1"/>
    <col min="769" max="769" width="8.28515625" customWidth="1"/>
    <col min="770" max="770" width="55.42578125" bestFit="1" customWidth="1"/>
    <col min="771" max="771" width="9.5703125" customWidth="1"/>
    <col min="773" max="773" width="12.42578125" customWidth="1"/>
    <col min="774" max="774" width="18.5703125" customWidth="1"/>
    <col min="775" max="775" width="23.5703125" customWidth="1"/>
    <col min="776" max="776" width="17.140625" customWidth="1"/>
    <col min="777" max="777" width="21.140625" customWidth="1"/>
    <col min="778" max="778" width="19.85546875" customWidth="1"/>
    <col min="779" max="779" width="17.5703125" customWidth="1"/>
    <col min="1025" max="1025" width="8.28515625" customWidth="1"/>
    <col min="1026" max="1026" width="55.42578125" bestFit="1" customWidth="1"/>
    <col min="1027" max="1027" width="9.5703125" customWidth="1"/>
    <col min="1029" max="1029" width="12.42578125" customWidth="1"/>
    <col min="1030" max="1030" width="18.5703125" customWidth="1"/>
    <col min="1031" max="1031" width="23.5703125" customWidth="1"/>
    <col min="1032" max="1032" width="17.140625" customWidth="1"/>
    <col min="1033" max="1033" width="21.140625" customWidth="1"/>
    <col min="1034" max="1034" width="19.85546875" customWidth="1"/>
    <col min="1035" max="1035" width="17.5703125" customWidth="1"/>
    <col min="1281" max="1281" width="8.28515625" customWidth="1"/>
    <col min="1282" max="1282" width="55.42578125" bestFit="1" customWidth="1"/>
    <col min="1283" max="1283" width="9.5703125" customWidth="1"/>
    <col min="1285" max="1285" width="12.42578125" customWidth="1"/>
    <col min="1286" max="1286" width="18.5703125" customWidth="1"/>
    <col min="1287" max="1287" width="23.5703125" customWidth="1"/>
    <col min="1288" max="1288" width="17.140625" customWidth="1"/>
    <col min="1289" max="1289" width="21.140625" customWidth="1"/>
    <col min="1290" max="1290" width="19.85546875" customWidth="1"/>
    <col min="1291" max="1291" width="17.5703125" customWidth="1"/>
    <col min="1537" max="1537" width="8.28515625" customWidth="1"/>
    <col min="1538" max="1538" width="55.42578125" bestFit="1" customWidth="1"/>
    <col min="1539" max="1539" width="9.5703125" customWidth="1"/>
    <col min="1541" max="1541" width="12.42578125" customWidth="1"/>
    <col min="1542" max="1542" width="18.5703125" customWidth="1"/>
    <col min="1543" max="1543" width="23.5703125" customWidth="1"/>
    <col min="1544" max="1544" width="17.140625" customWidth="1"/>
    <col min="1545" max="1545" width="21.140625" customWidth="1"/>
    <col min="1546" max="1546" width="19.85546875" customWidth="1"/>
    <col min="1547" max="1547" width="17.5703125" customWidth="1"/>
    <col min="1793" max="1793" width="8.28515625" customWidth="1"/>
    <col min="1794" max="1794" width="55.42578125" bestFit="1" customWidth="1"/>
    <col min="1795" max="1795" width="9.5703125" customWidth="1"/>
    <col min="1797" max="1797" width="12.42578125" customWidth="1"/>
    <col min="1798" max="1798" width="18.5703125" customWidth="1"/>
    <col min="1799" max="1799" width="23.5703125" customWidth="1"/>
    <col min="1800" max="1800" width="17.140625" customWidth="1"/>
    <col min="1801" max="1801" width="21.140625" customWidth="1"/>
    <col min="1802" max="1802" width="19.85546875" customWidth="1"/>
    <col min="1803" max="1803" width="17.5703125" customWidth="1"/>
    <col min="2049" max="2049" width="8.28515625" customWidth="1"/>
    <col min="2050" max="2050" width="55.42578125" bestFit="1" customWidth="1"/>
    <col min="2051" max="2051" width="9.5703125" customWidth="1"/>
    <col min="2053" max="2053" width="12.42578125" customWidth="1"/>
    <col min="2054" max="2054" width="18.5703125" customWidth="1"/>
    <col min="2055" max="2055" width="23.5703125" customWidth="1"/>
    <col min="2056" max="2056" width="17.140625" customWidth="1"/>
    <col min="2057" max="2057" width="21.140625" customWidth="1"/>
    <col min="2058" max="2058" width="19.85546875" customWidth="1"/>
    <col min="2059" max="2059" width="17.5703125" customWidth="1"/>
    <col min="2305" max="2305" width="8.28515625" customWidth="1"/>
    <col min="2306" max="2306" width="55.42578125" bestFit="1" customWidth="1"/>
    <col min="2307" max="2307" width="9.5703125" customWidth="1"/>
    <col min="2309" max="2309" width="12.42578125" customWidth="1"/>
    <col min="2310" max="2310" width="18.5703125" customWidth="1"/>
    <col min="2311" max="2311" width="23.5703125" customWidth="1"/>
    <col min="2312" max="2312" width="17.140625" customWidth="1"/>
    <col min="2313" max="2313" width="21.140625" customWidth="1"/>
    <col min="2314" max="2314" width="19.85546875" customWidth="1"/>
    <col min="2315" max="2315" width="17.5703125" customWidth="1"/>
    <col min="2561" max="2561" width="8.28515625" customWidth="1"/>
    <col min="2562" max="2562" width="55.42578125" bestFit="1" customWidth="1"/>
    <col min="2563" max="2563" width="9.5703125" customWidth="1"/>
    <col min="2565" max="2565" width="12.42578125" customWidth="1"/>
    <col min="2566" max="2566" width="18.5703125" customWidth="1"/>
    <col min="2567" max="2567" width="23.5703125" customWidth="1"/>
    <col min="2568" max="2568" width="17.140625" customWidth="1"/>
    <col min="2569" max="2569" width="21.140625" customWidth="1"/>
    <col min="2570" max="2570" width="19.85546875" customWidth="1"/>
    <col min="2571" max="2571" width="17.5703125" customWidth="1"/>
    <col min="2817" max="2817" width="8.28515625" customWidth="1"/>
    <col min="2818" max="2818" width="55.42578125" bestFit="1" customWidth="1"/>
    <col min="2819" max="2819" width="9.5703125" customWidth="1"/>
    <col min="2821" max="2821" width="12.42578125" customWidth="1"/>
    <col min="2822" max="2822" width="18.5703125" customWidth="1"/>
    <col min="2823" max="2823" width="23.5703125" customWidth="1"/>
    <col min="2824" max="2824" width="17.140625" customWidth="1"/>
    <col min="2825" max="2825" width="21.140625" customWidth="1"/>
    <col min="2826" max="2826" width="19.85546875" customWidth="1"/>
    <col min="2827" max="2827" width="17.5703125" customWidth="1"/>
    <col min="3073" max="3073" width="8.28515625" customWidth="1"/>
    <col min="3074" max="3074" width="55.42578125" bestFit="1" customWidth="1"/>
    <col min="3075" max="3075" width="9.5703125" customWidth="1"/>
    <col min="3077" max="3077" width="12.42578125" customWidth="1"/>
    <col min="3078" max="3078" width="18.5703125" customWidth="1"/>
    <col min="3079" max="3079" width="23.5703125" customWidth="1"/>
    <col min="3080" max="3080" width="17.140625" customWidth="1"/>
    <col min="3081" max="3081" width="21.140625" customWidth="1"/>
    <col min="3082" max="3082" width="19.85546875" customWidth="1"/>
    <col min="3083" max="3083" width="17.5703125" customWidth="1"/>
    <col min="3329" max="3329" width="8.28515625" customWidth="1"/>
    <col min="3330" max="3330" width="55.42578125" bestFit="1" customWidth="1"/>
    <col min="3331" max="3331" width="9.5703125" customWidth="1"/>
    <col min="3333" max="3333" width="12.42578125" customWidth="1"/>
    <col min="3334" max="3334" width="18.5703125" customWidth="1"/>
    <col min="3335" max="3335" width="23.5703125" customWidth="1"/>
    <col min="3336" max="3336" width="17.140625" customWidth="1"/>
    <col min="3337" max="3337" width="21.140625" customWidth="1"/>
    <col min="3338" max="3338" width="19.85546875" customWidth="1"/>
    <col min="3339" max="3339" width="17.5703125" customWidth="1"/>
    <col min="3585" max="3585" width="8.28515625" customWidth="1"/>
    <col min="3586" max="3586" width="55.42578125" bestFit="1" customWidth="1"/>
    <col min="3587" max="3587" width="9.5703125" customWidth="1"/>
    <col min="3589" max="3589" width="12.42578125" customWidth="1"/>
    <col min="3590" max="3590" width="18.5703125" customWidth="1"/>
    <col min="3591" max="3591" width="23.5703125" customWidth="1"/>
    <col min="3592" max="3592" width="17.140625" customWidth="1"/>
    <col min="3593" max="3593" width="21.140625" customWidth="1"/>
    <col min="3594" max="3594" width="19.85546875" customWidth="1"/>
    <col min="3595" max="3595" width="17.5703125" customWidth="1"/>
    <col min="3841" max="3841" width="8.28515625" customWidth="1"/>
    <col min="3842" max="3842" width="55.42578125" bestFit="1" customWidth="1"/>
    <col min="3843" max="3843" width="9.5703125" customWidth="1"/>
    <col min="3845" max="3845" width="12.42578125" customWidth="1"/>
    <col min="3846" max="3846" width="18.5703125" customWidth="1"/>
    <col min="3847" max="3847" width="23.5703125" customWidth="1"/>
    <col min="3848" max="3848" width="17.140625" customWidth="1"/>
    <col min="3849" max="3849" width="21.140625" customWidth="1"/>
    <col min="3850" max="3850" width="19.85546875" customWidth="1"/>
    <col min="3851" max="3851" width="17.5703125" customWidth="1"/>
    <col min="4097" max="4097" width="8.28515625" customWidth="1"/>
    <col min="4098" max="4098" width="55.42578125" bestFit="1" customWidth="1"/>
    <col min="4099" max="4099" width="9.5703125" customWidth="1"/>
    <col min="4101" max="4101" width="12.42578125" customWidth="1"/>
    <col min="4102" max="4102" width="18.5703125" customWidth="1"/>
    <col min="4103" max="4103" width="23.5703125" customWidth="1"/>
    <col min="4104" max="4104" width="17.140625" customWidth="1"/>
    <col min="4105" max="4105" width="21.140625" customWidth="1"/>
    <col min="4106" max="4106" width="19.85546875" customWidth="1"/>
    <col min="4107" max="4107" width="17.5703125" customWidth="1"/>
    <col min="4353" max="4353" width="8.28515625" customWidth="1"/>
    <col min="4354" max="4354" width="55.42578125" bestFit="1" customWidth="1"/>
    <col min="4355" max="4355" width="9.5703125" customWidth="1"/>
    <col min="4357" max="4357" width="12.42578125" customWidth="1"/>
    <col min="4358" max="4358" width="18.5703125" customWidth="1"/>
    <col min="4359" max="4359" width="23.5703125" customWidth="1"/>
    <col min="4360" max="4360" width="17.140625" customWidth="1"/>
    <col min="4361" max="4361" width="21.140625" customWidth="1"/>
    <col min="4362" max="4362" width="19.85546875" customWidth="1"/>
    <col min="4363" max="4363" width="17.5703125" customWidth="1"/>
    <col min="4609" max="4609" width="8.28515625" customWidth="1"/>
    <col min="4610" max="4610" width="55.42578125" bestFit="1" customWidth="1"/>
    <col min="4611" max="4611" width="9.5703125" customWidth="1"/>
    <col min="4613" max="4613" width="12.42578125" customWidth="1"/>
    <col min="4614" max="4614" width="18.5703125" customWidth="1"/>
    <col min="4615" max="4615" width="23.5703125" customWidth="1"/>
    <col min="4616" max="4616" width="17.140625" customWidth="1"/>
    <col min="4617" max="4617" width="21.140625" customWidth="1"/>
    <col min="4618" max="4618" width="19.85546875" customWidth="1"/>
    <col min="4619" max="4619" width="17.5703125" customWidth="1"/>
    <col min="4865" max="4865" width="8.28515625" customWidth="1"/>
    <col min="4866" max="4866" width="55.42578125" bestFit="1" customWidth="1"/>
    <col min="4867" max="4867" width="9.5703125" customWidth="1"/>
    <col min="4869" max="4869" width="12.42578125" customWidth="1"/>
    <col min="4870" max="4870" width="18.5703125" customWidth="1"/>
    <col min="4871" max="4871" width="23.5703125" customWidth="1"/>
    <col min="4872" max="4872" width="17.140625" customWidth="1"/>
    <col min="4873" max="4873" width="21.140625" customWidth="1"/>
    <col min="4874" max="4874" width="19.85546875" customWidth="1"/>
    <col min="4875" max="4875" width="17.5703125" customWidth="1"/>
    <col min="5121" max="5121" width="8.28515625" customWidth="1"/>
    <col min="5122" max="5122" width="55.42578125" bestFit="1" customWidth="1"/>
    <col min="5123" max="5123" width="9.5703125" customWidth="1"/>
    <col min="5125" max="5125" width="12.42578125" customWidth="1"/>
    <col min="5126" max="5126" width="18.5703125" customWidth="1"/>
    <col min="5127" max="5127" width="23.5703125" customWidth="1"/>
    <col min="5128" max="5128" width="17.140625" customWidth="1"/>
    <col min="5129" max="5129" width="21.140625" customWidth="1"/>
    <col min="5130" max="5130" width="19.85546875" customWidth="1"/>
    <col min="5131" max="5131" width="17.5703125" customWidth="1"/>
    <col min="5377" max="5377" width="8.28515625" customWidth="1"/>
    <col min="5378" max="5378" width="55.42578125" bestFit="1" customWidth="1"/>
    <col min="5379" max="5379" width="9.5703125" customWidth="1"/>
    <col min="5381" max="5381" width="12.42578125" customWidth="1"/>
    <col min="5382" max="5382" width="18.5703125" customWidth="1"/>
    <col min="5383" max="5383" width="23.5703125" customWidth="1"/>
    <col min="5384" max="5384" width="17.140625" customWidth="1"/>
    <col min="5385" max="5385" width="21.140625" customWidth="1"/>
    <col min="5386" max="5386" width="19.85546875" customWidth="1"/>
    <col min="5387" max="5387" width="17.5703125" customWidth="1"/>
    <col min="5633" max="5633" width="8.28515625" customWidth="1"/>
    <col min="5634" max="5634" width="55.42578125" bestFit="1" customWidth="1"/>
    <col min="5635" max="5635" width="9.5703125" customWidth="1"/>
    <col min="5637" max="5637" width="12.42578125" customWidth="1"/>
    <col min="5638" max="5638" width="18.5703125" customWidth="1"/>
    <col min="5639" max="5639" width="23.5703125" customWidth="1"/>
    <col min="5640" max="5640" width="17.140625" customWidth="1"/>
    <col min="5641" max="5641" width="21.140625" customWidth="1"/>
    <col min="5642" max="5642" width="19.85546875" customWidth="1"/>
    <col min="5643" max="5643" width="17.5703125" customWidth="1"/>
    <col min="5889" max="5889" width="8.28515625" customWidth="1"/>
    <col min="5890" max="5890" width="55.42578125" bestFit="1" customWidth="1"/>
    <col min="5891" max="5891" width="9.5703125" customWidth="1"/>
    <col min="5893" max="5893" width="12.42578125" customWidth="1"/>
    <col min="5894" max="5894" width="18.5703125" customWidth="1"/>
    <col min="5895" max="5895" width="23.5703125" customWidth="1"/>
    <col min="5896" max="5896" width="17.140625" customWidth="1"/>
    <col min="5897" max="5897" width="21.140625" customWidth="1"/>
    <col min="5898" max="5898" width="19.85546875" customWidth="1"/>
    <col min="5899" max="5899" width="17.5703125" customWidth="1"/>
    <col min="6145" max="6145" width="8.28515625" customWidth="1"/>
    <col min="6146" max="6146" width="55.42578125" bestFit="1" customWidth="1"/>
    <col min="6147" max="6147" width="9.5703125" customWidth="1"/>
    <col min="6149" max="6149" width="12.42578125" customWidth="1"/>
    <col min="6150" max="6150" width="18.5703125" customWidth="1"/>
    <col min="6151" max="6151" width="23.5703125" customWidth="1"/>
    <col min="6152" max="6152" width="17.140625" customWidth="1"/>
    <col min="6153" max="6153" width="21.140625" customWidth="1"/>
    <col min="6154" max="6154" width="19.85546875" customWidth="1"/>
    <col min="6155" max="6155" width="17.5703125" customWidth="1"/>
    <col min="6401" max="6401" width="8.28515625" customWidth="1"/>
    <col min="6402" max="6402" width="55.42578125" bestFit="1" customWidth="1"/>
    <col min="6403" max="6403" width="9.5703125" customWidth="1"/>
    <col min="6405" max="6405" width="12.42578125" customWidth="1"/>
    <col min="6406" max="6406" width="18.5703125" customWidth="1"/>
    <col min="6407" max="6407" width="23.5703125" customWidth="1"/>
    <col min="6408" max="6408" width="17.140625" customWidth="1"/>
    <col min="6409" max="6409" width="21.140625" customWidth="1"/>
    <col min="6410" max="6410" width="19.85546875" customWidth="1"/>
    <col min="6411" max="6411" width="17.5703125" customWidth="1"/>
    <col min="6657" max="6657" width="8.28515625" customWidth="1"/>
    <col min="6658" max="6658" width="55.42578125" bestFit="1" customWidth="1"/>
    <col min="6659" max="6659" width="9.5703125" customWidth="1"/>
    <col min="6661" max="6661" width="12.42578125" customWidth="1"/>
    <col min="6662" max="6662" width="18.5703125" customWidth="1"/>
    <col min="6663" max="6663" width="23.5703125" customWidth="1"/>
    <col min="6664" max="6664" width="17.140625" customWidth="1"/>
    <col min="6665" max="6665" width="21.140625" customWidth="1"/>
    <col min="6666" max="6666" width="19.85546875" customWidth="1"/>
    <col min="6667" max="6667" width="17.5703125" customWidth="1"/>
    <col min="6913" max="6913" width="8.28515625" customWidth="1"/>
    <col min="6914" max="6914" width="55.42578125" bestFit="1" customWidth="1"/>
    <col min="6915" max="6915" width="9.5703125" customWidth="1"/>
    <col min="6917" max="6917" width="12.42578125" customWidth="1"/>
    <col min="6918" max="6918" width="18.5703125" customWidth="1"/>
    <col min="6919" max="6919" width="23.5703125" customWidth="1"/>
    <col min="6920" max="6920" width="17.140625" customWidth="1"/>
    <col min="6921" max="6921" width="21.140625" customWidth="1"/>
    <col min="6922" max="6922" width="19.85546875" customWidth="1"/>
    <col min="6923" max="6923" width="17.5703125" customWidth="1"/>
    <col min="7169" max="7169" width="8.28515625" customWidth="1"/>
    <col min="7170" max="7170" width="55.42578125" bestFit="1" customWidth="1"/>
    <col min="7171" max="7171" width="9.5703125" customWidth="1"/>
    <col min="7173" max="7173" width="12.42578125" customWidth="1"/>
    <col min="7174" max="7174" width="18.5703125" customWidth="1"/>
    <col min="7175" max="7175" width="23.5703125" customWidth="1"/>
    <col min="7176" max="7176" width="17.140625" customWidth="1"/>
    <col min="7177" max="7177" width="21.140625" customWidth="1"/>
    <col min="7178" max="7178" width="19.85546875" customWidth="1"/>
    <col min="7179" max="7179" width="17.5703125" customWidth="1"/>
    <col min="7425" max="7425" width="8.28515625" customWidth="1"/>
    <col min="7426" max="7426" width="55.42578125" bestFit="1" customWidth="1"/>
    <col min="7427" max="7427" width="9.5703125" customWidth="1"/>
    <col min="7429" max="7429" width="12.42578125" customWidth="1"/>
    <col min="7430" max="7430" width="18.5703125" customWidth="1"/>
    <col min="7431" max="7431" width="23.5703125" customWidth="1"/>
    <col min="7432" max="7432" width="17.140625" customWidth="1"/>
    <col min="7433" max="7433" width="21.140625" customWidth="1"/>
    <col min="7434" max="7434" width="19.85546875" customWidth="1"/>
    <col min="7435" max="7435" width="17.5703125" customWidth="1"/>
    <col min="7681" max="7681" width="8.28515625" customWidth="1"/>
    <col min="7682" max="7682" width="55.42578125" bestFit="1" customWidth="1"/>
    <col min="7683" max="7683" width="9.5703125" customWidth="1"/>
    <col min="7685" max="7685" width="12.42578125" customWidth="1"/>
    <col min="7686" max="7686" width="18.5703125" customWidth="1"/>
    <col min="7687" max="7687" width="23.5703125" customWidth="1"/>
    <col min="7688" max="7688" width="17.140625" customWidth="1"/>
    <col min="7689" max="7689" width="21.140625" customWidth="1"/>
    <col min="7690" max="7690" width="19.85546875" customWidth="1"/>
    <col min="7691" max="7691" width="17.5703125" customWidth="1"/>
    <col min="7937" max="7937" width="8.28515625" customWidth="1"/>
    <col min="7938" max="7938" width="55.42578125" bestFit="1" customWidth="1"/>
    <col min="7939" max="7939" width="9.5703125" customWidth="1"/>
    <col min="7941" max="7941" width="12.42578125" customWidth="1"/>
    <col min="7942" max="7942" width="18.5703125" customWidth="1"/>
    <col min="7943" max="7943" width="23.5703125" customWidth="1"/>
    <col min="7944" max="7944" width="17.140625" customWidth="1"/>
    <col min="7945" max="7945" width="21.140625" customWidth="1"/>
    <col min="7946" max="7946" width="19.85546875" customWidth="1"/>
    <col min="7947" max="7947" width="17.5703125" customWidth="1"/>
    <col min="8193" max="8193" width="8.28515625" customWidth="1"/>
    <col min="8194" max="8194" width="55.42578125" bestFit="1" customWidth="1"/>
    <col min="8195" max="8195" width="9.5703125" customWidth="1"/>
    <col min="8197" max="8197" width="12.42578125" customWidth="1"/>
    <col min="8198" max="8198" width="18.5703125" customWidth="1"/>
    <col min="8199" max="8199" width="23.5703125" customWidth="1"/>
    <col min="8200" max="8200" width="17.140625" customWidth="1"/>
    <col min="8201" max="8201" width="21.140625" customWidth="1"/>
    <col min="8202" max="8202" width="19.85546875" customWidth="1"/>
    <col min="8203" max="8203" width="17.5703125" customWidth="1"/>
    <col min="8449" max="8449" width="8.28515625" customWidth="1"/>
    <col min="8450" max="8450" width="55.42578125" bestFit="1" customWidth="1"/>
    <col min="8451" max="8451" width="9.5703125" customWidth="1"/>
    <col min="8453" max="8453" width="12.42578125" customWidth="1"/>
    <col min="8454" max="8454" width="18.5703125" customWidth="1"/>
    <col min="8455" max="8455" width="23.5703125" customWidth="1"/>
    <col min="8456" max="8456" width="17.140625" customWidth="1"/>
    <col min="8457" max="8457" width="21.140625" customWidth="1"/>
    <col min="8458" max="8458" width="19.85546875" customWidth="1"/>
    <col min="8459" max="8459" width="17.5703125" customWidth="1"/>
    <col min="8705" max="8705" width="8.28515625" customWidth="1"/>
    <col min="8706" max="8706" width="55.42578125" bestFit="1" customWidth="1"/>
    <col min="8707" max="8707" width="9.5703125" customWidth="1"/>
    <col min="8709" max="8709" width="12.42578125" customWidth="1"/>
    <col min="8710" max="8710" width="18.5703125" customWidth="1"/>
    <col min="8711" max="8711" width="23.5703125" customWidth="1"/>
    <col min="8712" max="8712" width="17.140625" customWidth="1"/>
    <col min="8713" max="8713" width="21.140625" customWidth="1"/>
    <col min="8714" max="8714" width="19.85546875" customWidth="1"/>
    <col min="8715" max="8715" width="17.5703125" customWidth="1"/>
    <col min="8961" max="8961" width="8.28515625" customWidth="1"/>
    <col min="8962" max="8962" width="55.42578125" bestFit="1" customWidth="1"/>
    <col min="8963" max="8963" width="9.5703125" customWidth="1"/>
    <col min="8965" max="8965" width="12.42578125" customWidth="1"/>
    <col min="8966" max="8966" width="18.5703125" customWidth="1"/>
    <col min="8967" max="8967" width="23.5703125" customWidth="1"/>
    <col min="8968" max="8968" width="17.140625" customWidth="1"/>
    <col min="8969" max="8969" width="21.140625" customWidth="1"/>
    <col min="8970" max="8970" width="19.85546875" customWidth="1"/>
    <col min="8971" max="8971" width="17.5703125" customWidth="1"/>
    <col min="9217" max="9217" width="8.28515625" customWidth="1"/>
    <col min="9218" max="9218" width="55.42578125" bestFit="1" customWidth="1"/>
    <col min="9219" max="9219" width="9.5703125" customWidth="1"/>
    <col min="9221" max="9221" width="12.42578125" customWidth="1"/>
    <col min="9222" max="9222" width="18.5703125" customWidth="1"/>
    <col min="9223" max="9223" width="23.5703125" customWidth="1"/>
    <col min="9224" max="9224" width="17.140625" customWidth="1"/>
    <col min="9225" max="9225" width="21.140625" customWidth="1"/>
    <col min="9226" max="9226" width="19.85546875" customWidth="1"/>
    <col min="9227" max="9227" width="17.5703125" customWidth="1"/>
    <col min="9473" max="9473" width="8.28515625" customWidth="1"/>
    <col min="9474" max="9474" width="55.42578125" bestFit="1" customWidth="1"/>
    <col min="9475" max="9475" width="9.5703125" customWidth="1"/>
    <col min="9477" max="9477" width="12.42578125" customWidth="1"/>
    <col min="9478" max="9478" width="18.5703125" customWidth="1"/>
    <col min="9479" max="9479" width="23.5703125" customWidth="1"/>
    <col min="9480" max="9480" width="17.140625" customWidth="1"/>
    <col min="9481" max="9481" width="21.140625" customWidth="1"/>
    <col min="9482" max="9482" width="19.85546875" customWidth="1"/>
    <col min="9483" max="9483" width="17.5703125" customWidth="1"/>
    <col min="9729" max="9729" width="8.28515625" customWidth="1"/>
    <col min="9730" max="9730" width="55.42578125" bestFit="1" customWidth="1"/>
    <col min="9731" max="9731" width="9.5703125" customWidth="1"/>
    <col min="9733" max="9733" width="12.42578125" customWidth="1"/>
    <col min="9734" max="9734" width="18.5703125" customWidth="1"/>
    <col min="9735" max="9735" width="23.5703125" customWidth="1"/>
    <col min="9736" max="9736" width="17.140625" customWidth="1"/>
    <col min="9737" max="9737" width="21.140625" customWidth="1"/>
    <col min="9738" max="9738" width="19.85546875" customWidth="1"/>
    <col min="9739" max="9739" width="17.5703125" customWidth="1"/>
    <col min="9985" max="9985" width="8.28515625" customWidth="1"/>
    <col min="9986" max="9986" width="55.42578125" bestFit="1" customWidth="1"/>
    <col min="9987" max="9987" width="9.5703125" customWidth="1"/>
    <col min="9989" max="9989" width="12.42578125" customWidth="1"/>
    <col min="9990" max="9990" width="18.5703125" customWidth="1"/>
    <col min="9991" max="9991" width="23.5703125" customWidth="1"/>
    <col min="9992" max="9992" width="17.140625" customWidth="1"/>
    <col min="9993" max="9993" width="21.140625" customWidth="1"/>
    <col min="9994" max="9994" width="19.85546875" customWidth="1"/>
    <col min="9995" max="9995" width="17.5703125" customWidth="1"/>
    <col min="10241" max="10241" width="8.28515625" customWidth="1"/>
    <col min="10242" max="10242" width="55.42578125" bestFit="1" customWidth="1"/>
    <col min="10243" max="10243" width="9.5703125" customWidth="1"/>
    <col min="10245" max="10245" width="12.42578125" customWidth="1"/>
    <col min="10246" max="10246" width="18.5703125" customWidth="1"/>
    <col min="10247" max="10247" width="23.5703125" customWidth="1"/>
    <col min="10248" max="10248" width="17.140625" customWidth="1"/>
    <col min="10249" max="10249" width="21.140625" customWidth="1"/>
    <col min="10250" max="10250" width="19.85546875" customWidth="1"/>
    <col min="10251" max="10251" width="17.5703125" customWidth="1"/>
    <col min="10497" max="10497" width="8.28515625" customWidth="1"/>
    <col min="10498" max="10498" width="55.42578125" bestFit="1" customWidth="1"/>
    <col min="10499" max="10499" width="9.5703125" customWidth="1"/>
    <col min="10501" max="10501" width="12.42578125" customWidth="1"/>
    <col min="10502" max="10502" width="18.5703125" customWidth="1"/>
    <col min="10503" max="10503" width="23.5703125" customWidth="1"/>
    <col min="10504" max="10504" width="17.140625" customWidth="1"/>
    <col min="10505" max="10505" width="21.140625" customWidth="1"/>
    <col min="10506" max="10506" width="19.85546875" customWidth="1"/>
    <col min="10507" max="10507" width="17.5703125" customWidth="1"/>
    <col min="10753" max="10753" width="8.28515625" customWidth="1"/>
    <col min="10754" max="10754" width="55.42578125" bestFit="1" customWidth="1"/>
    <col min="10755" max="10755" width="9.5703125" customWidth="1"/>
    <col min="10757" max="10757" width="12.42578125" customWidth="1"/>
    <col min="10758" max="10758" width="18.5703125" customWidth="1"/>
    <col min="10759" max="10759" width="23.5703125" customWidth="1"/>
    <col min="10760" max="10760" width="17.140625" customWidth="1"/>
    <col min="10761" max="10761" width="21.140625" customWidth="1"/>
    <col min="10762" max="10762" width="19.85546875" customWidth="1"/>
    <col min="10763" max="10763" width="17.5703125" customWidth="1"/>
    <col min="11009" max="11009" width="8.28515625" customWidth="1"/>
    <col min="11010" max="11010" width="55.42578125" bestFit="1" customWidth="1"/>
    <col min="11011" max="11011" width="9.5703125" customWidth="1"/>
    <col min="11013" max="11013" width="12.42578125" customWidth="1"/>
    <col min="11014" max="11014" width="18.5703125" customWidth="1"/>
    <col min="11015" max="11015" width="23.5703125" customWidth="1"/>
    <col min="11016" max="11016" width="17.140625" customWidth="1"/>
    <col min="11017" max="11017" width="21.140625" customWidth="1"/>
    <col min="11018" max="11018" width="19.85546875" customWidth="1"/>
    <col min="11019" max="11019" width="17.5703125" customWidth="1"/>
    <col min="11265" max="11265" width="8.28515625" customWidth="1"/>
    <col min="11266" max="11266" width="55.42578125" bestFit="1" customWidth="1"/>
    <col min="11267" max="11267" width="9.5703125" customWidth="1"/>
    <col min="11269" max="11269" width="12.42578125" customWidth="1"/>
    <col min="11270" max="11270" width="18.5703125" customWidth="1"/>
    <col min="11271" max="11271" width="23.5703125" customWidth="1"/>
    <col min="11272" max="11272" width="17.140625" customWidth="1"/>
    <col min="11273" max="11273" width="21.140625" customWidth="1"/>
    <col min="11274" max="11274" width="19.85546875" customWidth="1"/>
    <col min="11275" max="11275" width="17.5703125" customWidth="1"/>
    <col min="11521" max="11521" width="8.28515625" customWidth="1"/>
    <col min="11522" max="11522" width="55.42578125" bestFit="1" customWidth="1"/>
    <col min="11523" max="11523" width="9.5703125" customWidth="1"/>
    <col min="11525" max="11525" width="12.42578125" customWidth="1"/>
    <col min="11526" max="11526" width="18.5703125" customWidth="1"/>
    <col min="11527" max="11527" width="23.5703125" customWidth="1"/>
    <col min="11528" max="11528" width="17.140625" customWidth="1"/>
    <col min="11529" max="11529" width="21.140625" customWidth="1"/>
    <col min="11530" max="11530" width="19.85546875" customWidth="1"/>
    <col min="11531" max="11531" width="17.5703125" customWidth="1"/>
    <col min="11777" max="11777" width="8.28515625" customWidth="1"/>
    <col min="11778" max="11778" width="55.42578125" bestFit="1" customWidth="1"/>
    <col min="11779" max="11779" width="9.5703125" customWidth="1"/>
    <col min="11781" max="11781" width="12.42578125" customWidth="1"/>
    <col min="11782" max="11782" width="18.5703125" customWidth="1"/>
    <col min="11783" max="11783" width="23.5703125" customWidth="1"/>
    <col min="11784" max="11784" width="17.140625" customWidth="1"/>
    <col min="11785" max="11785" width="21.140625" customWidth="1"/>
    <col min="11786" max="11786" width="19.85546875" customWidth="1"/>
    <col min="11787" max="11787" width="17.5703125" customWidth="1"/>
    <col min="12033" max="12033" width="8.28515625" customWidth="1"/>
    <col min="12034" max="12034" width="55.42578125" bestFit="1" customWidth="1"/>
    <col min="12035" max="12035" width="9.5703125" customWidth="1"/>
    <col min="12037" max="12037" width="12.42578125" customWidth="1"/>
    <col min="12038" max="12038" width="18.5703125" customWidth="1"/>
    <col min="12039" max="12039" width="23.5703125" customWidth="1"/>
    <col min="12040" max="12040" width="17.140625" customWidth="1"/>
    <col min="12041" max="12041" width="21.140625" customWidth="1"/>
    <col min="12042" max="12042" width="19.85546875" customWidth="1"/>
    <col min="12043" max="12043" width="17.5703125" customWidth="1"/>
    <col min="12289" max="12289" width="8.28515625" customWidth="1"/>
    <col min="12290" max="12290" width="55.42578125" bestFit="1" customWidth="1"/>
    <col min="12291" max="12291" width="9.5703125" customWidth="1"/>
    <col min="12293" max="12293" width="12.42578125" customWidth="1"/>
    <col min="12294" max="12294" width="18.5703125" customWidth="1"/>
    <col min="12295" max="12295" width="23.5703125" customWidth="1"/>
    <col min="12296" max="12296" width="17.140625" customWidth="1"/>
    <col min="12297" max="12297" width="21.140625" customWidth="1"/>
    <col min="12298" max="12298" width="19.85546875" customWidth="1"/>
    <col min="12299" max="12299" width="17.5703125" customWidth="1"/>
    <col min="12545" max="12545" width="8.28515625" customWidth="1"/>
    <col min="12546" max="12546" width="55.42578125" bestFit="1" customWidth="1"/>
    <col min="12547" max="12547" width="9.5703125" customWidth="1"/>
    <col min="12549" max="12549" width="12.42578125" customWidth="1"/>
    <col min="12550" max="12550" width="18.5703125" customWidth="1"/>
    <col min="12551" max="12551" width="23.5703125" customWidth="1"/>
    <col min="12552" max="12552" width="17.140625" customWidth="1"/>
    <col min="12553" max="12553" width="21.140625" customWidth="1"/>
    <col min="12554" max="12554" width="19.85546875" customWidth="1"/>
    <col min="12555" max="12555" width="17.5703125" customWidth="1"/>
    <col min="12801" max="12801" width="8.28515625" customWidth="1"/>
    <col min="12802" max="12802" width="55.42578125" bestFit="1" customWidth="1"/>
    <col min="12803" max="12803" width="9.5703125" customWidth="1"/>
    <col min="12805" max="12805" width="12.42578125" customWidth="1"/>
    <col min="12806" max="12806" width="18.5703125" customWidth="1"/>
    <col min="12807" max="12807" width="23.5703125" customWidth="1"/>
    <col min="12808" max="12808" width="17.140625" customWidth="1"/>
    <col min="12809" max="12809" width="21.140625" customWidth="1"/>
    <col min="12810" max="12810" width="19.85546875" customWidth="1"/>
    <col min="12811" max="12811" width="17.5703125" customWidth="1"/>
    <col min="13057" max="13057" width="8.28515625" customWidth="1"/>
    <col min="13058" max="13058" width="55.42578125" bestFit="1" customWidth="1"/>
    <col min="13059" max="13059" width="9.5703125" customWidth="1"/>
    <col min="13061" max="13061" width="12.42578125" customWidth="1"/>
    <col min="13062" max="13062" width="18.5703125" customWidth="1"/>
    <col min="13063" max="13063" width="23.5703125" customWidth="1"/>
    <col min="13064" max="13064" width="17.140625" customWidth="1"/>
    <col min="13065" max="13065" width="21.140625" customWidth="1"/>
    <col min="13066" max="13066" width="19.85546875" customWidth="1"/>
    <col min="13067" max="13067" width="17.5703125" customWidth="1"/>
    <col min="13313" max="13313" width="8.28515625" customWidth="1"/>
    <col min="13314" max="13314" width="55.42578125" bestFit="1" customWidth="1"/>
    <col min="13315" max="13315" width="9.5703125" customWidth="1"/>
    <col min="13317" max="13317" width="12.42578125" customWidth="1"/>
    <col min="13318" max="13318" width="18.5703125" customWidth="1"/>
    <col min="13319" max="13319" width="23.5703125" customWidth="1"/>
    <col min="13320" max="13320" width="17.140625" customWidth="1"/>
    <col min="13321" max="13321" width="21.140625" customWidth="1"/>
    <col min="13322" max="13322" width="19.85546875" customWidth="1"/>
    <col min="13323" max="13323" width="17.5703125" customWidth="1"/>
    <col min="13569" max="13569" width="8.28515625" customWidth="1"/>
    <col min="13570" max="13570" width="55.42578125" bestFit="1" customWidth="1"/>
    <col min="13571" max="13571" width="9.5703125" customWidth="1"/>
    <col min="13573" max="13573" width="12.42578125" customWidth="1"/>
    <col min="13574" max="13574" width="18.5703125" customWidth="1"/>
    <col min="13575" max="13575" width="23.5703125" customWidth="1"/>
    <col min="13576" max="13576" width="17.140625" customWidth="1"/>
    <col min="13577" max="13577" width="21.140625" customWidth="1"/>
    <col min="13578" max="13578" width="19.85546875" customWidth="1"/>
    <col min="13579" max="13579" width="17.5703125" customWidth="1"/>
    <col min="13825" max="13825" width="8.28515625" customWidth="1"/>
    <col min="13826" max="13826" width="55.42578125" bestFit="1" customWidth="1"/>
    <col min="13827" max="13827" width="9.5703125" customWidth="1"/>
    <col min="13829" max="13829" width="12.42578125" customWidth="1"/>
    <col min="13830" max="13830" width="18.5703125" customWidth="1"/>
    <col min="13831" max="13831" width="23.5703125" customWidth="1"/>
    <col min="13832" max="13832" width="17.140625" customWidth="1"/>
    <col min="13833" max="13833" width="21.140625" customWidth="1"/>
    <col min="13834" max="13834" width="19.85546875" customWidth="1"/>
    <col min="13835" max="13835" width="17.5703125" customWidth="1"/>
    <col min="14081" max="14081" width="8.28515625" customWidth="1"/>
    <col min="14082" max="14082" width="55.42578125" bestFit="1" customWidth="1"/>
    <col min="14083" max="14083" width="9.5703125" customWidth="1"/>
    <col min="14085" max="14085" width="12.42578125" customWidth="1"/>
    <col min="14086" max="14086" width="18.5703125" customWidth="1"/>
    <col min="14087" max="14087" width="23.5703125" customWidth="1"/>
    <col min="14088" max="14088" width="17.140625" customWidth="1"/>
    <col min="14089" max="14089" width="21.140625" customWidth="1"/>
    <col min="14090" max="14090" width="19.85546875" customWidth="1"/>
    <col min="14091" max="14091" width="17.5703125" customWidth="1"/>
    <col min="14337" max="14337" width="8.28515625" customWidth="1"/>
    <col min="14338" max="14338" width="55.42578125" bestFit="1" customWidth="1"/>
    <col min="14339" max="14339" width="9.5703125" customWidth="1"/>
    <col min="14341" max="14341" width="12.42578125" customWidth="1"/>
    <col min="14342" max="14342" width="18.5703125" customWidth="1"/>
    <col min="14343" max="14343" width="23.5703125" customWidth="1"/>
    <col min="14344" max="14344" width="17.140625" customWidth="1"/>
    <col min="14345" max="14345" width="21.140625" customWidth="1"/>
    <col min="14346" max="14346" width="19.85546875" customWidth="1"/>
    <col min="14347" max="14347" width="17.5703125" customWidth="1"/>
    <col min="14593" max="14593" width="8.28515625" customWidth="1"/>
    <col min="14594" max="14594" width="55.42578125" bestFit="1" customWidth="1"/>
    <col min="14595" max="14595" width="9.5703125" customWidth="1"/>
    <col min="14597" max="14597" width="12.42578125" customWidth="1"/>
    <col min="14598" max="14598" width="18.5703125" customWidth="1"/>
    <col min="14599" max="14599" width="23.5703125" customWidth="1"/>
    <col min="14600" max="14600" width="17.140625" customWidth="1"/>
    <col min="14601" max="14601" width="21.140625" customWidth="1"/>
    <col min="14602" max="14602" width="19.85546875" customWidth="1"/>
    <col min="14603" max="14603" width="17.5703125" customWidth="1"/>
    <col min="14849" max="14849" width="8.28515625" customWidth="1"/>
    <col min="14850" max="14850" width="55.42578125" bestFit="1" customWidth="1"/>
    <col min="14851" max="14851" width="9.5703125" customWidth="1"/>
    <col min="14853" max="14853" width="12.42578125" customWidth="1"/>
    <col min="14854" max="14854" width="18.5703125" customWidth="1"/>
    <col min="14855" max="14855" width="23.5703125" customWidth="1"/>
    <col min="14856" max="14856" width="17.140625" customWidth="1"/>
    <col min="14857" max="14857" width="21.140625" customWidth="1"/>
    <col min="14858" max="14858" width="19.85546875" customWidth="1"/>
    <col min="14859" max="14859" width="17.5703125" customWidth="1"/>
    <col min="15105" max="15105" width="8.28515625" customWidth="1"/>
    <col min="15106" max="15106" width="55.42578125" bestFit="1" customWidth="1"/>
    <col min="15107" max="15107" width="9.5703125" customWidth="1"/>
    <col min="15109" max="15109" width="12.42578125" customWidth="1"/>
    <col min="15110" max="15110" width="18.5703125" customWidth="1"/>
    <col min="15111" max="15111" width="23.5703125" customWidth="1"/>
    <col min="15112" max="15112" width="17.140625" customWidth="1"/>
    <col min="15113" max="15113" width="21.140625" customWidth="1"/>
    <col min="15114" max="15114" width="19.85546875" customWidth="1"/>
    <col min="15115" max="15115" width="17.5703125" customWidth="1"/>
    <col min="15361" max="15361" width="8.28515625" customWidth="1"/>
    <col min="15362" max="15362" width="55.42578125" bestFit="1" customWidth="1"/>
    <col min="15363" max="15363" width="9.5703125" customWidth="1"/>
    <col min="15365" max="15365" width="12.42578125" customWidth="1"/>
    <col min="15366" max="15366" width="18.5703125" customWidth="1"/>
    <col min="15367" max="15367" width="23.5703125" customWidth="1"/>
    <col min="15368" max="15368" width="17.140625" customWidth="1"/>
    <col min="15369" max="15369" width="21.140625" customWidth="1"/>
    <col min="15370" max="15370" width="19.85546875" customWidth="1"/>
    <col min="15371" max="15371" width="17.5703125" customWidth="1"/>
    <col min="15617" max="15617" width="8.28515625" customWidth="1"/>
    <col min="15618" max="15618" width="55.42578125" bestFit="1" customWidth="1"/>
    <col min="15619" max="15619" width="9.5703125" customWidth="1"/>
    <col min="15621" max="15621" width="12.42578125" customWidth="1"/>
    <col min="15622" max="15622" width="18.5703125" customWidth="1"/>
    <col min="15623" max="15623" width="23.5703125" customWidth="1"/>
    <col min="15624" max="15624" width="17.140625" customWidth="1"/>
    <col min="15625" max="15625" width="21.140625" customWidth="1"/>
    <col min="15626" max="15626" width="19.85546875" customWidth="1"/>
    <col min="15627" max="15627" width="17.5703125" customWidth="1"/>
    <col min="15873" max="15873" width="8.28515625" customWidth="1"/>
    <col min="15874" max="15874" width="55.42578125" bestFit="1" customWidth="1"/>
    <col min="15875" max="15875" width="9.5703125" customWidth="1"/>
    <col min="15877" max="15877" width="12.42578125" customWidth="1"/>
    <col min="15878" max="15878" width="18.5703125" customWidth="1"/>
    <col min="15879" max="15879" width="23.5703125" customWidth="1"/>
    <col min="15880" max="15880" width="17.140625" customWidth="1"/>
    <col min="15881" max="15881" width="21.140625" customWidth="1"/>
    <col min="15882" max="15882" width="19.85546875" customWidth="1"/>
    <col min="15883" max="15883" width="17.5703125" customWidth="1"/>
    <col min="16129" max="16129" width="8.28515625" customWidth="1"/>
    <col min="16130" max="16130" width="55.42578125" bestFit="1" customWidth="1"/>
    <col min="16131" max="16131" width="9.5703125" customWidth="1"/>
    <col min="16133" max="16133" width="12.42578125" customWidth="1"/>
    <col min="16134" max="16134" width="18.5703125" customWidth="1"/>
    <col min="16135" max="16135" width="23.5703125" customWidth="1"/>
    <col min="16136" max="16136" width="17.140625" customWidth="1"/>
    <col min="16137" max="16137" width="21.140625" customWidth="1"/>
    <col min="16138" max="16138" width="19.85546875" customWidth="1"/>
    <col min="16139" max="16139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304</v>
      </c>
      <c r="D5" s="534"/>
      <c r="E5" s="534"/>
      <c r="F5" s="534"/>
      <c r="G5" s="535"/>
    </row>
    <row r="6" spans="1:11" ht="18" customHeight="1">
      <c r="B6" s="5" t="s">
        <v>3</v>
      </c>
      <c r="C6" s="655">
        <v>18</v>
      </c>
      <c r="D6" s="656"/>
      <c r="E6" s="656"/>
      <c r="F6" s="656"/>
      <c r="G6" s="657"/>
    </row>
    <row r="7" spans="1:11" ht="18" customHeight="1">
      <c r="B7" s="5" t="s">
        <v>4</v>
      </c>
      <c r="C7" s="640">
        <v>1350</v>
      </c>
      <c r="D7" s="641"/>
      <c r="E7" s="641"/>
      <c r="F7" s="641"/>
      <c r="G7" s="642"/>
    </row>
    <row r="9" spans="1:11" ht="18" customHeight="1">
      <c r="B9" s="5" t="s">
        <v>1</v>
      </c>
      <c r="C9" s="584" t="s">
        <v>285</v>
      </c>
      <c r="D9" s="534"/>
      <c r="E9" s="534"/>
      <c r="F9" s="534"/>
      <c r="G9" s="535"/>
    </row>
    <row r="10" spans="1:11" ht="18" customHeight="1">
      <c r="B10" s="5" t="s">
        <v>2</v>
      </c>
      <c r="C10" s="586" t="s">
        <v>284</v>
      </c>
      <c r="D10" s="543"/>
      <c r="E10" s="543"/>
      <c r="F10" s="543"/>
      <c r="G10" s="544"/>
    </row>
    <row r="11" spans="1:11" ht="18" customHeight="1">
      <c r="B11" s="5" t="s">
        <v>32</v>
      </c>
      <c r="C11" s="584" t="s">
        <v>283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4293839</v>
      </c>
      <c r="I18" s="55"/>
      <c r="J18" s="15">
        <v>3671770</v>
      </c>
      <c r="K18" s="16">
        <f>(H18+I18)-J18</f>
        <v>622069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4473</v>
      </c>
      <c r="G21" s="54">
        <v>11031</v>
      </c>
      <c r="H21" s="15">
        <v>297006</v>
      </c>
      <c r="I21" s="55">
        <v>185483</v>
      </c>
      <c r="J21" s="15">
        <v>26177</v>
      </c>
      <c r="K21" s="16">
        <f t="shared" ref="K21:K34" si="0">(H21+I21)-J21</f>
        <v>456312</v>
      </c>
    </row>
    <row r="22" spans="1:11" ht="18" customHeight="1">
      <c r="A22" s="5" t="s">
        <v>76</v>
      </c>
      <c r="B22" t="s">
        <v>6</v>
      </c>
      <c r="F22" s="54"/>
      <c r="G22" s="54"/>
      <c r="H22" s="15"/>
      <c r="I22" s="55">
        <v>0</v>
      </c>
      <c r="J22" s="15"/>
      <c r="K22" s="16">
        <f t="shared" si="0"/>
        <v>0</v>
      </c>
    </row>
    <row r="23" spans="1:11" ht="18" customHeight="1">
      <c r="A23" s="5" t="s">
        <v>77</v>
      </c>
      <c r="B23" t="s">
        <v>43</v>
      </c>
      <c r="F23" s="54"/>
      <c r="G23" s="54"/>
      <c r="H23" s="15"/>
      <c r="I23" s="55">
        <v>0</v>
      </c>
      <c r="J23" s="15"/>
      <c r="K23" s="16">
        <f t="shared" si="0"/>
        <v>0</v>
      </c>
    </row>
    <row r="24" spans="1:11" ht="18" customHeight="1">
      <c r="A24" s="5" t="s">
        <v>78</v>
      </c>
      <c r="B24" t="s">
        <v>44</v>
      </c>
      <c r="F24" s="54">
        <v>50</v>
      </c>
      <c r="G24" s="54">
        <v>82</v>
      </c>
      <c r="H24" s="15">
        <v>4752</v>
      </c>
      <c r="I24" s="55">
        <v>3136</v>
      </c>
      <c r="J24" s="15"/>
      <c r="K24" s="16">
        <f t="shared" si="0"/>
        <v>7888</v>
      </c>
    </row>
    <row r="25" spans="1:11" ht="18" customHeight="1">
      <c r="A25" s="5" t="s">
        <v>79</v>
      </c>
      <c r="B25" t="s">
        <v>5</v>
      </c>
      <c r="F25" s="54"/>
      <c r="G25" s="54"/>
      <c r="H25" s="15"/>
      <c r="I25" s="55">
        <v>0</v>
      </c>
      <c r="J25" s="15"/>
      <c r="K25" s="16">
        <f t="shared" si="0"/>
        <v>0</v>
      </c>
    </row>
    <row r="26" spans="1:11" ht="18" customHeight="1">
      <c r="A26" s="5" t="s">
        <v>80</v>
      </c>
      <c r="B26" t="s">
        <v>45</v>
      </c>
      <c r="F26" s="54"/>
      <c r="G26" s="54"/>
      <c r="H26" s="15"/>
      <c r="I26" s="55">
        <v>0</v>
      </c>
      <c r="J26" s="15"/>
      <c r="K26" s="16">
        <f t="shared" si="0"/>
        <v>0</v>
      </c>
    </row>
    <row r="27" spans="1:11" ht="18" customHeight="1">
      <c r="A27" s="5" t="s">
        <v>81</v>
      </c>
      <c r="B27" t="s">
        <v>46</v>
      </c>
      <c r="F27" s="54"/>
      <c r="G27" s="54"/>
      <c r="H27" s="15"/>
      <c r="I27" s="55">
        <v>0</v>
      </c>
      <c r="J27" s="15"/>
      <c r="K27" s="16">
        <f t="shared" si="0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15"/>
      <c r="I28" s="55">
        <v>0</v>
      </c>
      <c r="J28" s="15"/>
      <c r="K28" s="16">
        <f t="shared" si="0"/>
        <v>0</v>
      </c>
    </row>
    <row r="29" spans="1:11" ht="18" customHeight="1">
      <c r="A29" s="5" t="s">
        <v>83</v>
      </c>
      <c r="B29" t="s">
        <v>48</v>
      </c>
      <c r="F29" s="54">
        <v>4231.5</v>
      </c>
      <c r="G29" s="54">
        <v>7195</v>
      </c>
      <c r="H29" s="15">
        <v>1449401</v>
      </c>
      <c r="I29" s="55">
        <v>503131</v>
      </c>
      <c r="J29" s="15">
        <v>2120</v>
      </c>
      <c r="K29" s="16">
        <f t="shared" si="0"/>
        <v>1950412</v>
      </c>
    </row>
    <row r="30" spans="1:11" ht="18" customHeight="1">
      <c r="A30" s="5" t="s">
        <v>84</v>
      </c>
      <c r="B30" s="547"/>
      <c r="C30" s="548"/>
      <c r="D30" s="549"/>
      <c r="F30" s="54"/>
      <c r="G30" s="54"/>
      <c r="H30" s="15"/>
      <c r="I30" s="55">
        <v>0</v>
      </c>
      <c r="J30" s="15"/>
      <c r="K30" s="16">
        <f t="shared" si="0"/>
        <v>0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v>0</v>
      </c>
      <c r="J31" s="15"/>
      <c r="K31" s="16">
        <f t="shared" si="0"/>
        <v>0</v>
      </c>
    </row>
    <row r="32" spans="1:11" ht="18" customHeight="1">
      <c r="A32" s="5" t="s">
        <v>134</v>
      </c>
      <c r="B32" s="68"/>
      <c r="C32" s="69"/>
      <c r="D32" s="70"/>
      <c r="F32" s="54"/>
      <c r="G32" s="52" t="s">
        <v>85</v>
      </c>
      <c r="H32" s="15"/>
      <c r="I32" s="55">
        <v>0</v>
      </c>
      <c r="J32" s="15"/>
      <c r="K32" s="16">
        <f t="shared" si="0"/>
        <v>0</v>
      </c>
    </row>
    <row r="33" spans="1:11" ht="18" customHeight="1">
      <c r="A33" s="5" t="s">
        <v>135</v>
      </c>
      <c r="B33" s="68"/>
      <c r="C33" s="69"/>
      <c r="D33" s="70"/>
      <c r="F33" s="54"/>
      <c r="G33" s="52" t="s">
        <v>85</v>
      </c>
      <c r="H33" s="15"/>
      <c r="I33" s="55">
        <v>0</v>
      </c>
      <c r="J33" s="15"/>
      <c r="K33" s="16">
        <f t="shared" si="0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v>0</v>
      </c>
      <c r="J34" s="15"/>
      <c r="K34" s="16">
        <f t="shared" si="0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1">SUM(F21:F34)</f>
        <v>8754.5</v>
      </c>
      <c r="G36" s="18">
        <f t="shared" si="1"/>
        <v>18308</v>
      </c>
      <c r="H36" s="18">
        <f t="shared" si="1"/>
        <v>1751159</v>
      </c>
      <c r="I36" s="16">
        <f t="shared" si="1"/>
        <v>691750</v>
      </c>
      <c r="J36" s="16">
        <f t="shared" si="1"/>
        <v>28297</v>
      </c>
      <c r="K36" s="16">
        <f t="shared" si="1"/>
        <v>2414612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/>
      <c r="G40" s="54"/>
      <c r="H40" s="15"/>
      <c r="I40" s="55">
        <v>0</v>
      </c>
      <c r="J40" s="15"/>
      <c r="K40" s="16">
        <f t="shared" ref="K40:K47" si="2">(H40+I40)-J40</f>
        <v>0</v>
      </c>
    </row>
    <row r="41" spans="1:11" ht="18" customHeight="1">
      <c r="A41" s="5" t="s">
        <v>88</v>
      </c>
      <c r="B41" s="550" t="s">
        <v>50</v>
      </c>
      <c r="C41" s="551"/>
      <c r="F41" s="54">
        <v>959</v>
      </c>
      <c r="G41" s="54">
        <v>100</v>
      </c>
      <c r="H41" s="15">
        <v>48724</v>
      </c>
      <c r="I41" s="55">
        <v>32157</v>
      </c>
      <c r="J41" s="15"/>
      <c r="K41" s="16">
        <f t="shared" si="2"/>
        <v>80881</v>
      </c>
    </row>
    <row r="42" spans="1:11" ht="18" customHeight="1">
      <c r="A42" s="5" t="s">
        <v>89</v>
      </c>
      <c r="B42" s="1" t="s">
        <v>11</v>
      </c>
      <c r="F42" s="54">
        <v>3476</v>
      </c>
      <c r="G42" s="54">
        <v>5</v>
      </c>
      <c r="H42" s="15">
        <v>142423</v>
      </c>
      <c r="I42" s="55">
        <v>92982</v>
      </c>
      <c r="J42" s="15"/>
      <c r="K42" s="16">
        <f t="shared" si="2"/>
        <v>235405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/>
      <c r="I43" s="55">
        <v>0</v>
      </c>
      <c r="J43" s="15"/>
      <c r="K43" s="16">
        <f t="shared" si="2"/>
        <v>0</v>
      </c>
    </row>
    <row r="44" spans="1:11" ht="18" customHeight="1">
      <c r="A44" s="5" t="s">
        <v>91</v>
      </c>
      <c r="B44" s="547" t="s">
        <v>303</v>
      </c>
      <c r="C44" s="548"/>
      <c r="D44" s="549"/>
      <c r="F44" s="82">
        <v>74</v>
      </c>
      <c r="G44" s="82">
        <v>6</v>
      </c>
      <c r="H44" s="82">
        <v>4232</v>
      </c>
      <c r="I44" s="83">
        <v>2792</v>
      </c>
      <c r="J44" s="82"/>
      <c r="K44" s="81">
        <f t="shared" si="2"/>
        <v>7024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2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2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2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3">SUM(F40:F47)</f>
        <v>4509</v>
      </c>
      <c r="G49" s="23">
        <f t="shared" si="3"/>
        <v>111</v>
      </c>
      <c r="H49" s="16">
        <f t="shared" si="3"/>
        <v>195379</v>
      </c>
      <c r="I49" s="16">
        <f t="shared" si="3"/>
        <v>127931</v>
      </c>
      <c r="J49" s="16">
        <f t="shared" si="3"/>
        <v>0</v>
      </c>
      <c r="K49" s="16">
        <f t="shared" si="3"/>
        <v>323310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 t="s">
        <v>281</v>
      </c>
      <c r="C53" s="559"/>
      <c r="D53" s="532"/>
      <c r="F53" s="54"/>
      <c r="G53" s="54"/>
      <c r="H53" s="15">
        <v>635297</v>
      </c>
      <c r="I53" s="55">
        <v>0</v>
      </c>
      <c r="J53" s="15"/>
      <c r="K53" s="16">
        <f t="shared" ref="K53:K62" si="4">(H53+I53)-J53</f>
        <v>635297</v>
      </c>
    </row>
    <row r="54" spans="1:11" ht="18" customHeight="1">
      <c r="A54" s="5" t="s">
        <v>93</v>
      </c>
      <c r="B54" s="65"/>
      <c r="C54" s="66"/>
      <c r="D54" s="67"/>
      <c r="F54" s="54"/>
      <c r="G54" s="54"/>
      <c r="H54" s="15"/>
      <c r="I54" s="55">
        <v>0</v>
      </c>
      <c r="J54" s="15"/>
      <c r="K54" s="16">
        <f t="shared" si="4"/>
        <v>0</v>
      </c>
    </row>
    <row r="55" spans="1:11" ht="18" customHeight="1">
      <c r="A55" s="5" t="s">
        <v>94</v>
      </c>
      <c r="B55" s="530"/>
      <c r="C55" s="531"/>
      <c r="D55" s="532"/>
      <c r="F55" s="54"/>
      <c r="G55" s="54"/>
      <c r="H55" s="15"/>
      <c r="I55" s="55">
        <v>0</v>
      </c>
      <c r="J55" s="15"/>
      <c r="K55" s="16">
        <f t="shared" si="4"/>
        <v>0</v>
      </c>
    </row>
    <row r="56" spans="1:11" ht="18" customHeight="1">
      <c r="A56" s="5" t="s">
        <v>95</v>
      </c>
      <c r="B56" s="530"/>
      <c r="C56" s="531"/>
      <c r="D56" s="532"/>
      <c r="F56" s="54" t="s">
        <v>740</v>
      </c>
      <c r="G56" s="54"/>
      <c r="H56" s="15"/>
      <c r="I56" s="55">
        <v>0</v>
      </c>
      <c r="J56" s="15"/>
      <c r="K56" s="16">
        <f t="shared" si="4"/>
        <v>0</v>
      </c>
    </row>
    <row r="57" spans="1:11" ht="18" customHeight="1">
      <c r="A57" s="5" t="s">
        <v>96</v>
      </c>
      <c r="B57" s="530"/>
      <c r="C57" s="531"/>
      <c r="D57" s="532"/>
      <c r="F57" s="54"/>
      <c r="G57" s="54"/>
      <c r="H57" s="15"/>
      <c r="I57" s="55">
        <v>0</v>
      </c>
      <c r="J57" s="15"/>
      <c r="K57" s="16">
        <f t="shared" si="4"/>
        <v>0</v>
      </c>
    </row>
    <row r="58" spans="1:11" ht="18" customHeight="1">
      <c r="A58" s="5" t="s">
        <v>97</v>
      </c>
      <c r="B58" s="65"/>
      <c r="C58" s="66"/>
      <c r="D58" s="67"/>
      <c r="F58" s="54"/>
      <c r="G58" s="54"/>
      <c r="H58" s="15"/>
      <c r="I58" s="55">
        <v>0</v>
      </c>
      <c r="J58" s="15"/>
      <c r="K58" s="16">
        <f t="shared" si="4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v>0</v>
      </c>
      <c r="J59" s="15"/>
      <c r="K59" s="16">
        <f t="shared" si="4"/>
        <v>0</v>
      </c>
    </row>
    <row r="60" spans="1:11" ht="18" customHeight="1">
      <c r="A60" s="5" t="s">
        <v>99</v>
      </c>
      <c r="B60" s="65" t="s">
        <v>302</v>
      </c>
      <c r="C60" s="66"/>
      <c r="D60" s="67"/>
      <c r="F60" s="54"/>
      <c r="G60" s="54"/>
      <c r="H60" s="15">
        <v>166991</v>
      </c>
      <c r="I60" s="55">
        <v>0</v>
      </c>
      <c r="J60" s="15"/>
      <c r="K60" s="16">
        <f t="shared" si="4"/>
        <v>166991</v>
      </c>
    </row>
    <row r="61" spans="1:11" ht="18" customHeight="1">
      <c r="A61" s="5" t="s">
        <v>100</v>
      </c>
      <c r="B61" s="65" t="s">
        <v>301</v>
      </c>
      <c r="C61" s="66"/>
      <c r="D61" s="67"/>
      <c r="F61" s="54"/>
      <c r="G61" s="54"/>
      <c r="H61" s="15">
        <v>883978</v>
      </c>
      <c r="I61" s="55">
        <v>0</v>
      </c>
      <c r="J61" s="15"/>
      <c r="K61" s="16">
        <f t="shared" si="4"/>
        <v>883978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4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5">SUM(F53:F62)</f>
        <v>0</v>
      </c>
      <c r="G64" s="18">
        <f t="shared" si="5"/>
        <v>0</v>
      </c>
      <c r="H64" s="16">
        <f t="shared" si="5"/>
        <v>1686266</v>
      </c>
      <c r="I64" s="16">
        <f t="shared" si="5"/>
        <v>0</v>
      </c>
      <c r="J64" s="16">
        <f t="shared" si="5"/>
        <v>0</v>
      </c>
      <c r="K64" s="16">
        <f t="shared" si="5"/>
        <v>1686266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/>
      <c r="G68" s="51"/>
      <c r="H68" s="51"/>
      <c r="I68" s="55">
        <v>0</v>
      </c>
      <c r="J68" s="51"/>
      <c r="K68" s="16">
        <f>(H68+I68)-J68</f>
        <v>0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65"/>
      <c r="C70" s="66"/>
      <c r="D70" s="67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65"/>
      <c r="C71" s="66"/>
      <c r="D71" s="67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71"/>
      <c r="C72" s="72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6">SUM(F68:F72)</f>
        <v>0</v>
      </c>
      <c r="G74" s="21">
        <f t="shared" si="6"/>
        <v>0</v>
      </c>
      <c r="H74" s="21">
        <f t="shared" si="6"/>
        <v>0</v>
      </c>
      <c r="I74" s="53">
        <f t="shared" si="6"/>
        <v>0</v>
      </c>
      <c r="J74" s="21">
        <f t="shared" si="6"/>
        <v>0</v>
      </c>
      <c r="K74" s="56">
        <f t="shared" si="6"/>
        <v>0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>
        <v>37</v>
      </c>
      <c r="G77" s="54">
        <v>1542</v>
      </c>
      <c r="H77" s="15">
        <v>44961</v>
      </c>
      <c r="I77" s="55"/>
      <c r="J77" s="15"/>
      <c r="K77" s="16">
        <f>(H77+I77)-J77</f>
        <v>44961</v>
      </c>
    </row>
    <row r="78" spans="1:11" ht="18" customHeight="1">
      <c r="A78" s="5" t="s">
        <v>108</v>
      </c>
      <c r="B78" s="1" t="s">
        <v>55</v>
      </c>
      <c r="F78" s="54"/>
      <c r="G78" s="54"/>
      <c r="H78" s="15"/>
      <c r="I78" s="55"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>
        <v>229.5</v>
      </c>
      <c r="G79" s="54">
        <v>309</v>
      </c>
      <c r="H79" s="15">
        <v>37395</v>
      </c>
      <c r="I79" s="55">
        <v>12745</v>
      </c>
      <c r="J79" s="15"/>
      <c r="K79" s="16">
        <f>(H79+I79)-J79</f>
        <v>50140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7">SUM(F77:F80)</f>
        <v>266.5</v>
      </c>
      <c r="G82" s="21">
        <f t="shared" si="7"/>
        <v>1851</v>
      </c>
      <c r="H82" s="56">
        <f t="shared" si="7"/>
        <v>82356</v>
      </c>
      <c r="I82" s="56">
        <f t="shared" si="7"/>
        <v>12745</v>
      </c>
      <c r="J82" s="56">
        <f t="shared" si="7"/>
        <v>0</v>
      </c>
      <c r="K82" s="56">
        <f t="shared" si="7"/>
        <v>95101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v>0</v>
      </c>
      <c r="J86" s="15"/>
      <c r="K86" s="16">
        <f t="shared" ref="K86:K96" si="8">(H86+I86)-J86</f>
        <v>0</v>
      </c>
    </row>
    <row r="87" spans="1:11" ht="18" customHeight="1">
      <c r="A87" s="5" t="s">
        <v>114</v>
      </c>
      <c r="B87" s="1" t="s">
        <v>14</v>
      </c>
      <c r="F87" s="54"/>
      <c r="G87" s="54"/>
      <c r="H87" s="15"/>
      <c r="I87" s="55">
        <v>0</v>
      </c>
      <c r="J87" s="15"/>
      <c r="K87" s="16">
        <f t="shared" si="8"/>
        <v>0</v>
      </c>
    </row>
    <row r="88" spans="1:11" ht="18" customHeight="1">
      <c r="A88" s="5" t="s">
        <v>115</v>
      </c>
      <c r="B88" s="1" t="s">
        <v>116</v>
      </c>
      <c r="F88" s="54">
        <v>1051</v>
      </c>
      <c r="G88" s="54"/>
      <c r="H88" s="15">
        <v>46122</v>
      </c>
      <c r="I88" s="55">
        <v>29396</v>
      </c>
      <c r="J88" s="15"/>
      <c r="K88" s="16">
        <f t="shared" si="8"/>
        <v>75518</v>
      </c>
    </row>
    <row r="89" spans="1:11" ht="18" customHeight="1">
      <c r="A89" s="5" t="s">
        <v>117</v>
      </c>
      <c r="B89" s="1" t="s">
        <v>58</v>
      </c>
      <c r="F89" s="54">
        <v>7878</v>
      </c>
      <c r="G89" s="54">
        <v>2000</v>
      </c>
      <c r="H89" s="15">
        <v>250387</v>
      </c>
      <c r="I89" s="55">
        <v>137983</v>
      </c>
      <c r="J89" s="15"/>
      <c r="K89" s="16">
        <f t="shared" si="8"/>
        <v>388370</v>
      </c>
    </row>
    <row r="90" spans="1:11" ht="18" customHeight="1">
      <c r="A90" s="5" t="s">
        <v>118</v>
      </c>
      <c r="B90" s="550" t="s">
        <v>59</v>
      </c>
      <c r="C90" s="551"/>
      <c r="F90" s="54"/>
      <c r="G90" s="54"/>
      <c r="H90" s="15"/>
      <c r="I90" s="55">
        <v>0</v>
      </c>
      <c r="J90" s="15"/>
      <c r="K90" s="16">
        <f t="shared" si="8"/>
        <v>0</v>
      </c>
    </row>
    <row r="91" spans="1:11" ht="18" customHeight="1">
      <c r="A91" s="5" t="s">
        <v>119</v>
      </c>
      <c r="B91" s="1" t="s">
        <v>60</v>
      </c>
      <c r="F91" s="54">
        <v>103</v>
      </c>
      <c r="G91" s="54">
        <v>97</v>
      </c>
      <c r="H91" s="15">
        <v>4477</v>
      </c>
      <c r="I91" s="55">
        <v>0</v>
      </c>
      <c r="J91" s="15"/>
      <c r="K91" s="16">
        <f t="shared" si="8"/>
        <v>4477</v>
      </c>
    </row>
    <row r="92" spans="1:11" ht="18" customHeight="1">
      <c r="A92" s="5" t="s">
        <v>120</v>
      </c>
      <c r="B92" s="1" t="s">
        <v>121</v>
      </c>
      <c r="F92" s="38">
        <v>8</v>
      </c>
      <c r="G92" s="38"/>
      <c r="H92" s="39">
        <v>29652</v>
      </c>
      <c r="I92" s="55">
        <v>0</v>
      </c>
      <c r="J92" s="39"/>
      <c r="K92" s="16">
        <f t="shared" si="8"/>
        <v>29652</v>
      </c>
    </row>
    <row r="93" spans="1:11" ht="18" customHeight="1">
      <c r="A93" s="5" t="s">
        <v>122</v>
      </c>
      <c r="B93" s="1" t="s">
        <v>123</v>
      </c>
      <c r="F93" s="54"/>
      <c r="G93" s="54"/>
      <c r="H93" s="15"/>
      <c r="I93" s="55">
        <v>0</v>
      </c>
      <c r="J93" s="15"/>
      <c r="K93" s="16">
        <f t="shared" si="8"/>
        <v>0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v>0</v>
      </c>
      <c r="J94" s="15"/>
      <c r="K94" s="16">
        <f t="shared" si="8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v>0</v>
      </c>
      <c r="J95" s="15"/>
      <c r="K95" s="16">
        <f t="shared" si="8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v>0</v>
      </c>
      <c r="J96" s="15"/>
      <c r="K96" s="16">
        <f t="shared" si="8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9">SUM(F86:F96)</f>
        <v>9040</v>
      </c>
      <c r="G98" s="18">
        <f t="shared" si="9"/>
        <v>2097</v>
      </c>
      <c r="H98" s="18">
        <f t="shared" si="9"/>
        <v>330638</v>
      </c>
      <c r="I98" s="18">
        <f t="shared" si="9"/>
        <v>167379</v>
      </c>
      <c r="J98" s="18">
        <f t="shared" si="9"/>
        <v>0</v>
      </c>
      <c r="K98" s="18">
        <f t="shared" si="9"/>
        <v>498017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/>
      <c r="G102" s="54"/>
      <c r="H102" s="15">
        <v>62422</v>
      </c>
      <c r="I102" s="55">
        <v>0</v>
      </c>
      <c r="J102" s="15"/>
      <c r="K102" s="16">
        <f>(H102+I102)-J102</f>
        <v>62422</v>
      </c>
    </row>
    <row r="103" spans="1:11" ht="18" customHeight="1">
      <c r="A103" s="5" t="s">
        <v>132</v>
      </c>
      <c r="B103" s="550" t="s">
        <v>62</v>
      </c>
      <c r="C103" s="550"/>
      <c r="F103" s="54">
        <v>524</v>
      </c>
      <c r="G103" s="54"/>
      <c r="H103" s="15">
        <v>24686</v>
      </c>
      <c r="I103" s="55">
        <v>5602</v>
      </c>
      <c r="J103" s="15"/>
      <c r="K103" s="16">
        <f>(H103+I103)-J103</f>
        <v>30288</v>
      </c>
    </row>
    <row r="104" spans="1:11" ht="18" customHeight="1">
      <c r="A104" s="5" t="s">
        <v>128</v>
      </c>
      <c r="B104" s="530" t="s">
        <v>300</v>
      </c>
      <c r="C104" s="531"/>
      <c r="D104" s="532"/>
      <c r="F104" s="54"/>
      <c r="G104" s="54"/>
      <c r="H104" s="15">
        <v>38111</v>
      </c>
      <c r="I104" s="55">
        <v>0</v>
      </c>
      <c r="J104" s="15"/>
      <c r="K104" s="16">
        <f>(H104+I104)-J104</f>
        <v>38111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0">SUM(F102:F106)</f>
        <v>524</v>
      </c>
      <c r="G108" s="18">
        <f t="shared" si="10"/>
        <v>0</v>
      </c>
      <c r="H108" s="16">
        <f t="shared" si="10"/>
        <v>125219</v>
      </c>
      <c r="I108" s="16">
        <f t="shared" si="10"/>
        <v>5602</v>
      </c>
      <c r="J108" s="16">
        <f t="shared" si="10"/>
        <v>0</v>
      </c>
      <c r="K108" s="16">
        <f t="shared" si="10"/>
        <v>130821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5899800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0.66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142918959</v>
      </c>
    </row>
    <row r="118" spans="1:6" ht="18" customHeight="1">
      <c r="A118" s="5" t="s">
        <v>173</v>
      </c>
      <c r="B118" t="s">
        <v>18</v>
      </c>
      <c r="F118" s="15">
        <v>3575416</v>
      </c>
    </row>
    <row r="119" spans="1:6" ht="18" customHeight="1">
      <c r="A119" s="5" t="s">
        <v>174</v>
      </c>
      <c r="B119" s="2" t="s">
        <v>19</v>
      </c>
      <c r="F119" s="56">
        <f>SUM(F117:F118)</f>
        <v>146494375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137669098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f>+F119-F121</f>
        <v>8825277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179353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f>+F123+F125</f>
        <v>9004630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1">SUM(F131:F135)</f>
        <v>0</v>
      </c>
      <c r="G137" s="18">
        <f t="shared" si="11"/>
        <v>0</v>
      </c>
      <c r="H137" s="16">
        <f t="shared" si="11"/>
        <v>0</v>
      </c>
      <c r="I137" s="16">
        <f t="shared" si="11"/>
        <v>0</v>
      </c>
      <c r="J137" s="16">
        <f t="shared" si="11"/>
        <v>0</v>
      </c>
      <c r="K137" s="16">
        <f t="shared" si="11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2">F36</f>
        <v>8754.5</v>
      </c>
      <c r="G141" s="41">
        <f t="shared" si="12"/>
        <v>18308</v>
      </c>
      <c r="H141" s="41">
        <f t="shared" si="12"/>
        <v>1751159</v>
      </c>
      <c r="I141" s="41">
        <f t="shared" si="12"/>
        <v>691750</v>
      </c>
      <c r="J141" s="41">
        <f t="shared" si="12"/>
        <v>28297</v>
      </c>
      <c r="K141" s="41">
        <f t="shared" si="12"/>
        <v>2414612</v>
      </c>
    </row>
    <row r="142" spans="1:11" ht="18" customHeight="1">
      <c r="A142" s="5" t="s">
        <v>142</v>
      </c>
      <c r="B142" s="2" t="s">
        <v>65</v>
      </c>
      <c r="F142" s="41">
        <f t="shared" ref="F142:K142" si="13">F49</f>
        <v>4509</v>
      </c>
      <c r="G142" s="41">
        <f t="shared" si="13"/>
        <v>111</v>
      </c>
      <c r="H142" s="41">
        <f t="shared" si="13"/>
        <v>195379</v>
      </c>
      <c r="I142" s="41">
        <f t="shared" si="13"/>
        <v>127931</v>
      </c>
      <c r="J142" s="41">
        <f t="shared" si="13"/>
        <v>0</v>
      </c>
      <c r="K142" s="41">
        <f t="shared" si="13"/>
        <v>323310</v>
      </c>
    </row>
    <row r="143" spans="1:11" ht="18" customHeight="1">
      <c r="A143" s="5" t="s">
        <v>144</v>
      </c>
      <c r="B143" s="2" t="s">
        <v>66</v>
      </c>
      <c r="F143" s="41">
        <f t="shared" ref="F143:K143" si="14">F64</f>
        <v>0</v>
      </c>
      <c r="G143" s="41">
        <f t="shared" si="14"/>
        <v>0</v>
      </c>
      <c r="H143" s="41">
        <f t="shared" si="14"/>
        <v>1686266</v>
      </c>
      <c r="I143" s="41">
        <f t="shared" si="14"/>
        <v>0</v>
      </c>
      <c r="J143" s="41">
        <f t="shared" si="14"/>
        <v>0</v>
      </c>
      <c r="K143" s="41">
        <f t="shared" si="14"/>
        <v>1686266</v>
      </c>
    </row>
    <row r="144" spans="1:11" ht="18" customHeight="1">
      <c r="A144" s="5" t="s">
        <v>146</v>
      </c>
      <c r="B144" s="2" t="s">
        <v>67</v>
      </c>
      <c r="F144" s="41">
        <f t="shared" ref="F144:K144" si="15">F74</f>
        <v>0</v>
      </c>
      <c r="G144" s="41">
        <f t="shared" si="15"/>
        <v>0</v>
      </c>
      <c r="H144" s="41">
        <f t="shared" si="15"/>
        <v>0</v>
      </c>
      <c r="I144" s="41">
        <f t="shared" si="15"/>
        <v>0</v>
      </c>
      <c r="J144" s="41">
        <f t="shared" si="15"/>
        <v>0</v>
      </c>
      <c r="K144" s="41">
        <f t="shared" si="15"/>
        <v>0</v>
      </c>
    </row>
    <row r="145" spans="1:11" ht="18" customHeight="1">
      <c r="A145" s="5" t="s">
        <v>148</v>
      </c>
      <c r="B145" s="2" t="s">
        <v>68</v>
      </c>
      <c r="F145" s="41">
        <f t="shared" ref="F145:K145" si="16">F82</f>
        <v>266.5</v>
      </c>
      <c r="G145" s="41">
        <f t="shared" si="16"/>
        <v>1851</v>
      </c>
      <c r="H145" s="41">
        <f t="shared" si="16"/>
        <v>82356</v>
      </c>
      <c r="I145" s="41">
        <f t="shared" si="16"/>
        <v>12745</v>
      </c>
      <c r="J145" s="41">
        <f t="shared" si="16"/>
        <v>0</v>
      </c>
      <c r="K145" s="41">
        <f t="shared" si="16"/>
        <v>95101</v>
      </c>
    </row>
    <row r="146" spans="1:11" ht="18" customHeight="1">
      <c r="A146" s="5" t="s">
        <v>150</v>
      </c>
      <c r="B146" s="2" t="s">
        <v>69</v>
      </c>
      <c r="F146" s="41">
        <f t="shared" ref="F146:K146" si="17">F98</f>
        <v>9040</v>
      </c>
      <c r="G146" s="41">
        <f t="shared" si="17"/>
        <v>2097</v>
      </c>
      <c r="H146" s="41">
        <f t="shared" si="17"/>
        <v>330638</v>
      </c>
      <c r="I146" s="41">
        <f t="shared" si="17"/>
        <v>167379</v>
      </c>
      <c r="J146" s="41">
        <f t="shared" si="17"/>
        <v>0</v>
      </c>
      <c r="K146" s="41">
        <f t="shared" si="17"/>
        <v>498017</v>
      </c>
    </row>
    <row r="147" spans="1:11" ht="18" customHeight="1">
      <c r="A147" s="5" t="s">
        <v>153</v>
      </c>
      <c r="B147" s="2" t="s">
        <v>61</v>
      </c>
      <c r="F147" s="18">
        <f t="shared" ref="F147:K147" si="18">F108</f>
        <v>524</v>
      </c>
      <c r="G147" s="18">
        <f t="shared" si="18"/>
        <v>0</v>
      </c>
      <c r="H147" s="18">
        <f t="shared" si="18"/>
        <v>125219</v>
      </c>
      <c r="I147" s="18">
        <f t="shared" si="18"/>
        <v>5602</v>
      </c>
      <c r="J147" s="18">
        <f t="shared" si="18"/>
        <v>0</v>
      </c>
      <c r="K147" s="18">
        <f t="shared" si="18"/>
        <v>130821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5899800</v>
      </c>
    </row>
    <row r="149" spans="1:11" ht="18" customHeight="1">
      <c r="A149" s="5" t="s">
        <v>163</v>
      </c>
      <c r="B149" s="2" t="s">
        <v>71</v>
      </c>
      <c r="F149" s="18">
        <f t="shared" ref="F149:K149" si="19">F137</f>
        <v>0</v>
      </c>
      <c r="G149" s="18">
        <f t="shared" si="19"/>
        <v>0</v>
      </c>
      <c r="H149" s="18">
        <f t="shared" si="19"/>
        <v>0</v>
      </c>
      <c r="I149" s="18">
        <f t="shared" si="19"/>
        <v>0</v>
      </c>
      <c r="J149" s="18">
        <f t="shared" si="19"/>
        <v>0</v>
      </c>
      <c r="K149" s="18">
        <f t="shared" si="19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4293839</v>
      </c>
      <c r="I150" s="18">
        <f>I18</f>
        <v>0</v>
      </c>
      <c r="J150" s="18">
        <f>J18</f>
        <v>3671770</v>
      </c>
      <c r="K150" s="18">
        <f>K18</f>
        <v>622069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0">SUM(F141:F150)</f>
        <v>23094</v>
      </c>
      <c r="G152" s="49">
        <f t="shared" si="20"/>
        <v>22367</v>
      </c>
      <c r="H152" s="49">
        <f t="shared" si="20"/>
        <v>8464856</v>
      </c>
      <c r="I152" s="49">
        <f t="shared" si="20"/>
        <v>1005407</v>
      </c>
      <c r="J152" s="49">
        <f t="shared" si="20"/>
        <v>3700067</v>
      </c>
      <c r="K152" s="49">
        <f t="shared" si="20"/>
        <v>11669996</v>
      </c>
    </row>
    <row r="154" spans="1:11" ht="18" customHeight="1">
      <c r="A154" s="6" t="s">
        <v>168</v>
      </c>
      <c r="B154" s="2" t="s">
        <v>28</v>
      </c>
      <c r="F154" s="89">
        <f>K152/F121</f>
        <v>8.4768449634209125E-2</v>
      </c>
    </row>
    <row r="155" spans="1:11" ht="18" customHeight="1">
      <c r="A155" s="6" t="s">
        <v>169</v>
      </c>
      <c r="B155" s="2" t="s">
        <v>72</v>
      </c>
      <c r="F155" s="89">
        <f>K152/F127</f>
        <v>1.2959995024781696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62:D62"/>
    <mergeCell ref="B59:D59"/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80" zoomScaleNormal="50" zoomScaleSheetLayoutView="80" workbookViewId="0"/>
  </sheetViews>
  <sheetFormatPr defaultRowHeight="18" customHeight="1"/>
  <cols>
    <col min="1" max="1" width="8.28515625" style="96" customWidth="1"/>
    <col min="2" max="2" width="55.42578125" style="95" bestFit="1" customWidth="1"/>
    <col min="3" max="3" width="9.5703125" style="95" customWidth="1"/>
    <col min="4" max="4" width="8.85546875" style="95"/>
    <col min="5" max="5" width="12.42578125" style="95" customWidth="1"/>
    <col min="6" max="6" width="18.5703125" style="95" customWidth="1"/>
    <col min="7" max="7" width="23.5703125" style="95" customWidth="1"/>
    <col min="8" max="8" width="17.140625" style="95" customWidth="1"/>
    <col min="9" max="9" width="21.140625" style="95" customWidth="1"/>
    <col min="10" max="10" width="19.85546875" style="95" customWidth="1"/>
    <col min="11" max="11" width="17.5703125" style="95" customWidth="1"/>
    <col min="12" max="256" width="8.85546875" style="95"/>
    <col min="257" max="257" width="8.28515625" style="95" customWidth="1"/>
    <col min="258" max="258" width="55.42578125" style="95" bestFit="1" customWidth="1"/>
    <col min="259" max="259" width="9.5703125" style="95" customWidth="1"/>
    <col min="260" max="260" width="8.85546875" style="95"/>
    <col min="261" max="261" width="12.42578125" style="95" customWidth="1"/>
    <col min="262" max="262" width="18.5703125" style="95" customWidth="1"/>
    <col min="263" max="263" width="23.5703125" style="95" customWidth="1"/>
    <col min="264" max="264" width="17.140625" style="95" customWidth="1"/>
    <col min="265" max="265" width="21.140625" style="95" customWidth="1"/>
    <col min="266" max="266" width="19.85546875" style="95" customWidth="1"/>
    <col min="267" max="267" width="17.5703125" style="95" customWidth="1"/>
    <col min="268" max="512" width="8.85546875" style="95"/>
    <col min="513" max="513" width="8.28515625" style="95" customWidth="1"/>
    <col min="514" max="514" width="55.42578125" style="95" bestFit="1" customWidth="1"/>
    <col min="515" max="515" width="9.5703125" style="95" customWidth="1"/>
    <col min="516" max="516" width="8.85546875" style="95"/>
    <col min="517" max="517" width="12.42578125" style="95" customWidth="1"/>
    <col min="518" max="518" width="18.5703125" style="95" customWidth="1"/>
    <col min="519" max="519" width="23.5703125" style="95" customWidth="1"/>
    <col min="520" max="520" width="17.140625" style="95" customWidth="1"/>
    <col min="521" max="521" width="21.140625" style="95" customWidth="1"/>
    <col min="522" max="522" width="19.85546875" style="95" customWidth="1"/>
    <col min="523" max="523" width="17.5703125" style="95" customWidth="1"/>
    <col min="524" max="768" width="8.85546875" style="95"/>
    <col min="769" max="769" width="8.28515625" style="95" customWidth="1"/>
    <col min="770" max="770" width="55.42578125" style="95" bestFit="1" customWidth="1"/>
    <col min="771" max="771" width="9.5703125" style="95" customWidth="1"/>
    <col min="772" max="772" width="8.85546875" style="95"/>
    <col min="773" max="773" width="12.42578125" style="95" customWidth="1"/>
    <col min="774" max="774" width="18.5703125" style="95" customWidth="1"/>
    <col min="775" max="775" width="23.5703125" style="95" customWidth="1"/>
    <col min="776" max="776" width="17.140625" style="95" customWidth="1"/>
    <col min="777" max="777" width="21.140625" style="95" customWidth="1"/>
    <col min="778" max="778" width="19.85546875" style="95" customWidth="1"/>
    <col min="779" max="779" width="17.5703125" style="95" customWidth="1"/>
    <col min="780" max="1024" width="8.85546875" style="95"/>
    <col min="1025" max="1025" width="8.28515625" style="95" customWidth="1"/>
    <col min="1026" max="1026" width="55.42578125" style="95" bestFit="1" customWidth="1"/>
    <col min="1027" max="1027" width="9.5703125" style="95" customWidth="1"/>
    <col min="1028" max="1028" width="8.85546875" style="95"/>
    <col min="1029" max="1029" width="12.42578125" style="95" customWidth="1"/>
    <col min="1030" max="1030" width="18.5703125" style="95" customWidth="1"/>
    <col min="1031" max="1031" width="23.5703125" style="95" customWidth="1"/>
    <col min="1032" max="1032" width="17.140625" style="95" customWidth="1"/>
    <col min="1033" max="1033" width="21.140625" style="95" customWidth="1"/>
    <col min="1034" max="1034" width="19.85546875" style="95" customWidth="1"/>
    <col min="1035" max="1035" width="17.5703125" style="95" customWidth="1"/>
    <col min="1036" max="1280" width="8.85546875" style="95"/>
    <col min="1281" max="1281" width="8.28515625" style="95" customWidth="1"/>
    <col min="1282" max="1282" width="55.42578125" style="95" bestFit="1" customWidth="1"/>
    <col min="1283" max="1283" width="9.5703125" style="95" customWidth="1"/>
    <col min="1284" max="1284" width="8.85546875" style="95"/>
    <col min="1285" max="1285" width="12.42578125" style="95" customWidth="1"/>
    <col min="1286" max="1286" width="18.5703125" style="95" customWidth="1"/>
    <col min="1287" max="1287" width="23.5703125" style="95" customWidth="1"/>
    <col min="1288" max="1288" width="17.140625" style="95" customWidth="1"/>
    <col min="1289" max="1289" width="21.140625" style="95" customWidth="1"/>
    <col min="1290" max="1290" width="19.85546875" style="95" customWidth="1"/>
    <col min="1291" max="1291" width="17.5703125" style="95" customWidth="1"/>
    <col min="1292" max="1536" width="8.85546875" style="95"/>
    <col min="1537" max="1537" width="8.28515625" style="95" customWidth="1"/>
    <col min="1538" max="1538" width="55.42578125" style="95" bestFit="1" customWidth="1"/>
    <col min="1539" max="1539" width="9.5703125" style="95" customWidth="1"/>
    <col min="1540" max="1540" width="8.85546875" style="95"/>
    <col min="1541" max="1541" width="12.42578125" style="95" customWidth="1"/>
    <col min="1542" max="1542" width="18.5703125" style="95" customWidth="1"/>
    <col min="1543" max="1543" width="23.5703125" style="95" customWidth="1"/>
    <col min="1544" max="1544" width="17.140625" style="95" customWidth="1"/>
    <col min="1545" max="1545" width="21.140625" style="95" customWidth="1"/>
    <col min="1546" max="1546" width="19.85546875" style="95" customWidth="1"/>
    <col min="1547" max="1547" width="17.5703125" style="95" customWidth="1"/>
    <col min="1548" max="1792" width="8.85546875" style="95"/>
    <col min="1793" max="1793" width="8.28515625" style="95" customWidth="1"/>
    <col min="1794" max="1794" width="55.42578125" style="95" bestFit="1" customWidth="1"/>
    <col min="1795" max="1795" width="9.5703125" style="95" customWidth="1"/>
    <col min="1796" max="1796" width="8.85546875" style="95"/>
    <col min="1797" max="1797" width="12.42578125" style="95" customWidth="1"/>
    <col min="1798" max="1798" width="18.5703125" style="95" customWidth="1"/>
    <col min="1799" max="1799" width="23.5703125" style="95" customWidth="1"/>
    <col min="1800" max="1800" width="17.140625" style="95" customWidth="1"/>
    <col min="1801" max="1801" width="21.140625" style="95" customWidth="1"/>
    <col min="1802" max="1802" width="19.85546875" style="95" customWidth="1"/>
    <col min="1803" max="1803" width="17.5703125" style="95" customWidth="1"/>
    <col min="1804" max="2048" width="8.85546875" style="95"/>
    <col min="2049" max="2049" width="8.28515625" style="95" customWidth="1"/>
    <col min="2050" max="2050" width="55.42578125" style="95" bestFit="1" customWidth="1"/>
    <col min="2051" max="2051" width="9.5703125" style="95" customWidth="1"/>
    <col min="2052" max="2052" width="8.85546875" style="95"/>
    <col min="2053" max="2053" width="12.42578125" style="95" customWidth="1"/>
    <col min="2054" max="2054" width="18.5703125" style="95" customWidth="1"/>
    <col min="2055" max="2055" width="23.5703125" style="95" customWidth="1"/>
    <col min="2056" max="2056" width="17.140625" style="95" customWidth="1"/>
    <col min="2057" max="2057" width="21.140625" style="95" customWidth="1"/>
    <col min="2058" max="2058" width="19.85546875" style="95" customWidth="1"/>
    <col min="2059" max="2059" width="17.5703125" style="95" customWidth="1"/>
    <col min="2060" max="2304" width="8.85546875" style="95"/>
    <col min="2305" max="2305" width="8.28515625" style="95" customWidth="1"/>
    <col min="2306" max="2306" width="55.42578125" style="95" bestFit="1" customWidth="1"/>
    <col min="2307" max="2307" width="9.5703125" style="95" customWidth="1"/>
    <col min="2308" max="2308" width="8.85546875" style="95"/>
    <col min="2309" max="2309" width="12.42578125" style="95" customWidth="1"/>
    <col min="2310" max="2310" width="18.5703125" style="95" customWidth="1"/>
    <col min="2311" max="2311" width="23.5703125" style="95" customWidth="1"/>
    <col min="2312" max="2312" width="17.140625" style="95" customWidth="1"/>
    <col min="2313" max="2313" width="21.140625" style="95" customWidth="1"/>
    <col min="2314" max="2314" width="19.85546875" style="95" customWidth="1"/>
    <col min="2315" max="2315" width="17.5703125" style="95" customWidth="1"/>
    <col min="2316" max="2560" width="8.85546875" style="95"/>
    <col min="2561" max="2561" width="8.28515625" style="95" customWidth="1"/>
    <col min="2562" max="2562" width="55.42578125" style="95" bestFit="1" customWidth="1"/>
    <col min="2563" max="2563" width="9.5703125" style="95" customWidth="1"/>
    <col min="2564" max="2564" width="8.85546875" style="95"/>
    <col min="2565" max="2565" width="12.42578125" style="95" customWidth="1"/>
    <col min="2566" max="2566" width="18.5703125" style="95" customWidth="1"/>
    <col min="2567" max="2567" width="23.5703125" style="95" customWidth="1"/>
    <col min="2568" max="2568" width="17.140625" style="95" customWidth="1"/>
    <col min="2569" max="2569" width="21.140625" style="95" customWidth="1"/>
    <col min="2570" max="2570" width="19.85546875" style="95" customWidth="1"/>
    <col min="2571" max="2571" width="17.5703125" style="95" customWidth="1"/>
    <col min="2572" max="2816" width="8.85546875" style="95"/>
    <col min="2817" max="2817" width="8.28515625" style="95" customWidth="1"/>
    <col min="2818" max="2818" width="55.42578125" style="95" bestFit="1" customWidth="1"/>
    <col min="2819" max="2819" width="9.5703125" style="95" customWidth="1"/>
    <col min="2820" max="2820" width="8.85546875" style="95"/>
    <col min="2821" max="2821" width="12.42578125" style="95" customWidth="1"/>
    <col min="2822" max="2822" width="18.5703125" style="95" customWidth="1"/>
    <col min="2823" max="2823" width="23.5703125" style="95" customWidth="1"/>
    <col min="2824" max="2824" width="17.140625" style="95" customWidth="1"/>
    <col min="2825" max="2825" width="21.140625" style="95" customWidth="1"/>
    <col min="2826" max="2826" width="19.85546875" style="95" customWidth="1"/>
    <col min="2827" max="2827" width="17.5703125" style="95" customWidth="1"/>
    <col min="2828" max="3072" width="8.85546875" style="95"/>
    <col min="3073" max="3073" width="8.28515625" style="95" customWidth="1"/>
    <col min="3074" max="3074" width="55.42578125" style="95" bestFit="1" customWidth="1"/>
    <col min="3075" max="3075" width="9.5703125" style="95" customWidth="1"/>
    <col min="3076" max="3076" width="8.85546875" style="95"/>
    <col min="3077" max="3077" width="12.42578125" style="95" customWidth="1"/>
    <col min="3078" max="3078" width="18.5703125" style="95" customWidth="1"/>
    <col min="3079" max="3079" width="23.5703125" style="95" customWidth="1"/>
    <col min="3080" max="3080" width="17.140625" style="95" customWidth="1"/>
    <col min="3081" max="3081" width="21.140625" style="95" customWidth="1"/>
    <col min="3082" max="3082" width="19.85546875" style="95" customWidth="1"/>
    <col min="3083" max="3083" width="17.5703125" style="95" customWidth="1"/>
    <col min="3084" max="3328" width="8.85546875" style="95"/>
    <col min="3329" max="3329" width="8.28515625" style="95" customWidth="1"/>
    <col min="3330" max="3330" width="55.42578125" style="95" bestFit="1" customWidth="1"/>
    <col min="3331" max="3331" width="9.5703125" style="95" customWidth="1"/>
    <col min="3332" max="3332" width="8.85546875" style="95"/>
    <col min="3333" max="3333" width="12.42578125" style="95" customWidth="1"/>
    <col min="3334" max="3334" width="18.5703125" style="95" customWidth="1"/>
    <col min="3335" max="3335" width="23.5703125" style="95" customWidth="1"/>
    <col min="3336" max="3336" width="17.140625" style="95" customWidth="1"/>
    <col min="3337" max="3337" width="21.140625" style="95" customWidth="1"/>
    <col min="3338" max="3338" width="19.85546875" style="95" customWidth="1"/>
    <col min="3339" max="3339" width="17.5703125" style="95" customWidth="1"/>
    <col min="3340" max="3584" width="8.85546875" style="95"/>
    <col min="3585" max="3585" width="8.28515625" style="95" customWidth="1"/>
    <col min="3586" max="3586" width="55.42578125" style="95" bestFit="1" customWidth="1"/>
    <col min="3587" max="3587" width="9.5703125" style="95" customWidth="1"/>
    <col min="3588" max="3588" width="8.85546875" style="95"/>
    <col min="3589" max="3589" width="12.42578125" style="95" customWidth="1"/>
    <col min="3590" max="3590" width="18.5703125" style="95" customWidth="1"/>
    <col min="3591" max="3591" width="23.5703125" style="95" customWidth="1"/>
    <col min="3592" max="3592" width="17.140625" style="95" customWidth="1"/>
    <col min="3593" max="3593" width="21.140625" style="95" customWidth="1"/>
    <col min="3594" max="3594" width="19.85546875" style="95" customWidth="1"/>
    <col min="3595" max="3595" width="17.5703125" style="95" customWidth="1"/>
    <col min="3596" max="3840" width="8.85546875" style="95"/>
    <col min="3841" max="3841" width="8.28515625" style="95" customWidth="1"/>
    <col min="3842" max="3842" width="55.42578125" style="95" bestFit="1" customWidth="1"/>
    <col min="3843" max="3843" width="9.5703125" style="95" customWidth="1"/>
    <col min="3844" max="3844" width="8.85546875" style="95"/>
    <col min="3845" max="3845" width="12.42578125" style="95" customWidth="1"/>
    <col min="3846" max="3846" width="18.5703125" style="95" customWidth="1"/>
    <col min="3847" max="3847" width="23.5703125" style="95" customWidth="1"/>
    <col min="3848" max="3848" width="17.140625" style="95" customWidth="1"/>
    <col min="3849" max="3849" width="21.140625" style="95" customWidth="1"/>
    <col min="3850" max="3850" width="19.85546875" style="95" customWidth="1"/>
    <col min="3851" max="3851" width="17.5703125" style="95" customWidth="1"/>
    <col min="3852" max="4096" width="8.85546875" style="95"/>
    <col min="4097" max="4097" width="8.28515625" style="95" customWidth="1"/>
    <col min="4098" max="4098" width="55.42578125" style="95" bestFit="1" customWidth="1"/>
    <col min="4099" max="4099" width="9.5703125" style="95" customWidth="1"/>
    <col min="4100" max="4100" width="8.85546875" style="95"/>
    <col min="4101" max="4101" width="12.42578125" style="95" customWidth="1"/>
    <col min="4102" max="4102" width="18.5703125" style="95" customWidth="1"/>
    <col min="4103" max="4103" width="23.5703125" style="95" customWidth="1"/>
    <col min="4104" max="4104" width="17.140625" style="95" customWidth="1"/>
    <col min="4105" max="4105" width="21.140625" style="95" customWidth="1"/>
    <col min="4106" max="4106" width="19.85546875" style="95" customWidth="1"/>
    <col min="4107" max="4107" width="17.5703125" style="95" customWidth="1"/>
    <col min="4108" max="4352" width="8.85546875" style="95"/>
    <col min="4353" max="4353" width="8.28515625" style="95" customWidth="1"/>
    <col min="4354" max="4354" width="55.42578125" style="95" bestFit="1" customWidth="1"/>
    <col min="4355" max="4355" width="9.5703125" style="95" customWidth="1"/>
    <col min="4356" max="4356" width="8.85546875" style="95"/>
    <col min="4357" max="4357" width="12.42578125" style="95" customWidth="1"/>
    <col min="4358" max="4358" width="18.5703125" style="95" customWidth="1"/>
    <col min="4359" max="4359" width="23.5703125" style="95" customWidth="1"/>
    <col min="4360" max="4360" width="17.140625" style="95" customWidth="1"/>
    <col min="4361" max="4361" width="21.140625" style="95" customWidth="1"/>
    <col min="4362" max="4362" width="19.85546875" style="95" customWidth="1"/>
    <col min="4363" max="4363" width="17.5703125" style="95" customWidth="1"/>
    <col min="4364" max="4608" width="8.85546875" style="95"/>
    <col min="4609" max="4609" width="8.28515625" style="95" customWidth="1"/>
    <col min="4610" max="4610" width="55.42578125" style="95" bestFit="1" customWidth="1"/>
    <col min="4611" max="4611" width="9.5703125" style="95" customWidth="1"/>
    <col min="4612" max="4612" width="8.85546875" style="95"/>
    <col min="4613" max="4613" width="12.42578125" style="95" customWidth="1"/>
    <col min="4614" max="4614" width="18.5703125" style="95" customWidth="1"/>
    <col min="4615" max="4615" width="23.5703125" style="95" customWidth="1"/>
    <col min="4616" max="4616" width="17.140625" style="95" customWidth="1"/>
    <col min="4617" max="4617" width="21.140625" style="95" customWidth="1"/>
    <col min="4618" max="4618" width="19.85546875" style="95" customWidth="1"/>
    <col min="4619" max="4619" width="17.5703125" style="95" customWidth="1"/>
    <col min="4620" max="4864" width="8.85546875" style="95"/>
    <col min="4865" max="4865" width="8.28515625" style="95" customWidth="1"/>
    <col min="4866" max="4866" width="55.42578125" style="95" bestFit="1" customWidth="1"/>
    <col min="4867" max="4867" width="9.5703125" style="95" customWidth="1"/>
    <col min="4868" max="4868" width="8.85546875" style="95"/>
    <col min="4869" max="4869" width="12.42578125" style="95" customWidth="1"/>
    <col min="4870" max="4870" width="18.5703125" style="95" customWidth="1"/>
    <col min="4871" max="4871" width="23.5703125" style="95" customWidth="1"/>
    <col min="4872" max="4872" width="17.140625" style="95" customWidth="1"/>
    <col min="4873" max="4873" width="21.140625" style="95" customWidth="1"/>
    <col min="4874" max="4874" width="19.85546875" style="95" customWidth="1"/>
    <col min="4875" max="4875" width="17.5703125" style="95" customWidth="1"/>
    <col min="4876" max="5120" width="8.85546875" style="95"/>
    <col min="5121" max="5121" width="8.28515625" style="95" customWidth="1"/>
    <col min="5122" max="5122" width="55.42578125" style="95" bestFit="1" customWidth="1"/>
    <col min="5123" max="5123" width="9.5703125" style="95" customWidth="1"/>
    <col min="5124" max="5124" width="8.85546875" style="95"/>
    <col min="5125" max="5125" width="12.42578125" style="95" customWidth="1"/>
    <col min="5126" max="5126" width="18.5703125" style="95" customWidth="1"/>
    <col min="5127" max="5127" width="23.5703125" style="95" customWidth="1"/>
    <col min="5128" max="5128" width="17.140625" style="95" customWidth="1"/>
    <col min="5129" max="5129" width="21.140625" style="95" customWidth="1"/>
    <col min="5130" max="5130" width="19.85546875" style="95" customWidth="1"/>
    <col min="5131" max="5131" width="17.5703125" style="95" customWidth="1"/>
    <col min="5132" max="5376" width="8.85546875" style="95"/>
    <col min="5377" max="5377" width="8.28515625" style="95" customWidth="1"/>
    <col min="5378" max="5378" width="55.42578125" style="95" bestFit="1" customWidth="1"/>
    <col min="5379" max="5379" width="9.5703125" style="95" customWidth="1"/>
    <col min="5380" max="5380" width="8.85546875" style="95"/>
    <col min="5381" max="5381" width="12.42578125" style="95" customWidth="1"/>
    <col min="5382" max="5382" width="18.5703125" style="95" customWidth="1"/>
    <col min="5383" max="5383" width="23.5703125" style="95" customWidth="1"/>
    <col min="5384" max="5384" width="17.140625" style="95" customWidth="1"/>
    <col min="5385" max="5385" width="21.140625" style="95" customWidth="1"/>
    <col min="5386" max="5386" width="19.85546875" style="95" customWidth="1"/>
    <col min="5387" max="5387" width="17.5703125" style="95" customWidth="1"/>
    <col min="5388" max="5632" width="8.85546875" style="95"/>
    <col min="5633" max="5633" width="8.28515625" style="95" customWidth="1"/>
    <col min="5634" max="5634" width="55.42578125" style="95" bestFit="1" customWidth="1"/>
    <col min="5635" max="5635" width="9.5703125" style="95" customWidth="1"/>
    <col min="5636" max="5636" width="8.85546875" style="95"/>
    <col min="5637" max="5637" width="12.42578125" style="95" customWidth="1"/>
    <col min="5638" max="5638" width="18.5703125" style="95" customWidth="1"/>
    <col min="5639" max="5639" width="23.5703125" style="95" customWidth="1"/>
    <col min="5640" max="5640" width="17.140625" style="95" customWidth="1"/>
    <col min="5641" max="5641" width="21.140625" style="95" customWidth="1"/>
    <col min="5642" max="5642" width="19.85546875" style="95" customWidth="1"/>
    <col min="5643" max="5643" width="17.5703125" style="95" customWidth="1"/>
    <col min="5644" max="5888" width="8.85546875" style="95"/>
    <col min="5889" max="5889" width="8.28515625" style="95" customWidth="1"/>
    <col min="5890" max="5890" width="55.42578125" style="95" bestFit="1" customWidth="1"/>
    <col min="5891" max="5891" width="9.5703125" style="95" customWidth="1"/>
    <col min="5892" max="5892" width="8.85546875" style="95"/>
    <col min="5893" max="5893" width="12.42578125" style="95" customWidth="1"/>
    <col min="5894" max="5894" width="18.5703125" style="95" customWidth="1"/>
    <col min="5895" max="5895" width="23.5703125" style="95" customWidth="1"/>
    <col min="5896" max="5896" width="17.140625" style="95" customWidth="1"/>
    <col min="5897" max="5897" width="21.140625" style="95" customWidth="1"/>
    <col min="5898" max="5898" width="19.85546875" style="95" customWidth="1"/>
    <col min="5899" max="5899" width="17.5703125" style="95" customWidth="1"/>
    <col min="5900" max="6144" width="8.85546875" style="95"/>
    <col min="6145" max="6145" width="8.28515625" style="95" customWidth="1"/>
    <col min="6146" max="6146" width="55.42578125" style="95" bestFit="1" customWidth="1"/>
    <col min="6147" max="6147" width="9.5703125" style="95" customWidth="1"/>
    <col min="6148" max="6148" width="8.85546875" style="95"/>
    <col min="6149" max="6149" width="12.42578125" style="95" customWidth="1"/>
    <col min="6150" max="6150" width="18.5703125" style="95" customWidth="1"/>
    <col min="6151" max="6151" width="23.5703125" style="95" customWidth="1"/>
    <col min="6152" max="6152" width="17.140625" style="95" customWidth="1"/>
    <col min="6153" max="6153" width="21.140625" style="95" customWidth="1"/>
    <col min="6154" max="6154" width="19.85546875" style="95" customWidth="1"/>
    <col min="6155" max="6155" width="17.5703125" style="95" customWidth="1"/>
    <col min="6156" max="6400" width="8.85546875" style="95"/>
    <col min="6401" max="6401" width="8.28515625" style="95" customWidth="1"/>
    <col min="6402" max="6402" width="55.42578125" style="95" bestFit="1" customWidth="1"/>
    <col min="6403" max="6403" width="9.5703125" style="95" customWidth="1"/>
    <col min="6404" max="6404" width="8.85546875" style="95"/>
    <col min="6405" max="6405" width="12.42578125" style="95" customWidth="1"/>
    <col min="6406" max="6406" width="18.5703125" style="95" customWidth="1"/>
    <col min="6407" max="6407" width="23.5703125" style="95" customWidth="1"/>
    <col min="6408" max="6408" width="17.140625" style="95" customWidth="1"/>
    <col min="6409" max="6409" width="21.140625" style="95" customWidth="1"/>
    <col min="6410" max="6410" width="19.85546875" style="95" customWidth="1"/>
    <col min="6411" max="6411" width="17.5703125" style="95" customWidth="1"/>
    <col min="6412" max="6656" width="8.85546875" style="95"/>
    <col min="6657" max="6657" width="8.28515625" style="95" customWidth="1"/>
    <col min="6658" max="6658" width="55.42578125" style="95" bestFit="1" customWidth="1"/>
    <col min="6659" max="6659" width="9.5703125" style="95" customWidth="1"/>
    <col min="6660" max="6660" width="8.85546875" style="95"/>
    <col min="6661" max="6661" width="12.42578125" style="95" customWidth="1"/>
    <col min="6662" max="6662" width="18.5703125" style="95" customWidth="1"/>
    <col min="6663" max="6663" width="23.5703125" style="95" customWidth="1"/>
    <col min="6664" max="6664" width="17.140625" style="95" customWidth="1"/>
    <col min="6665" max="6665" width="21.140625" style="95" customWidth="1"/>
    <col min="6666" max="6666" width="19.85546875" style="95" customWidth="1"/>
    <col min="6667" max="6667" width="17.5703125" style="95" customWidth="1"/>
    <col min="6668" max="6912" width="8.85546875" style="95"/>
    <col min="6913" max="6913" width="8.28515625" style="95" customWidth="1"/>
    <col min="6914" max="6914" width="55.42578125" style="95" bestFit="1" customWidth="1"/>
    <col min="6915" max="6915" width="9.5703125" style="95" customWidth="1"/>
    <col min="6916" max="6916" width="8.85546875" style="95"/>
    <col min="6917" max="6917" width="12.42578125" style="95" customWidth="1"/>
    <col min="6918" max="6918" width="18.5703125" style="95" customWidth="1"/>
    <col min="6919" max="6919" width="23.5703125" style="95" customWidth="1"/>
    <col min="6920" max="6920" width="17.140625" style="95" customWidth="1"/>
    <col min="6921" max="6921" width="21.140625" style="95" customWidth="1"/>
    <col min="6922" max="6922" width="19.85546875" style="95" customWidth="1"/>
    <col min="6923" max="6923" width="17.5703125" style="95" customWidth="1"/>
    <col min="6924" max="7168" width="8.85546875" style="95"/>
    <col min="7169" max="7169" width="8.28515625" style="95" customWidth="1"/>
    <col min="7170" max="7170" width="55.42578125" style="95" bestFit="1" customWidth="1"/>
    <col min="7171" max="7171" width="9.5703125" style="95" customWidth="1"/>
    <col min="7172" max="7172" width="8.85546875" style="95"/>
    <col min="7173" max="7173" width="12.42578125" style="95" customWidth="1"/>
    <col min="7174" max="7174" width="18.5703125" style="95" customWidth="1"/>
    <col min="7175" max="7175" width="23.5703125" style="95" customWidth="1"/>
    <col min="7176" max="7176" width="17.140625" style="95" customWidth="1"/>
    <col min="7177" max="7177" width="21.140625" style="95" customWidth="1"/>
    <col min="7178" max="7178" width="19.85546875" style="95" customWidth="1"/>
    <col min="7179" max="7179" width="17.5703125" style="95" customWidth="1"/>
    <col min="7180" max="7424" width="8.85546875" style="95"/>
    <col min="7425" max="7425" width="8.28515625" style="95" customWidth="1"/>
    <col min="7426" max="7426" width="55.42578125" style="95" bestFit="1" customWidth="1"/>
    <col min="7427" max="7427" width="9.5703125" style="95" customWidth="1"/>
    <col min="7428" max="7428" width="8.85546875" style="95"/>
    <col min="7429" max="7429" width="12.42578125" style="95" customWidth="1"/>
    <col min="7430" max="7430" width="18.5703125" style="95" customWidth="1"/>
    <col min="7431" max="7431" width="23.5703125" style="95" customWidth="1"/>
    <col min="7432" max="7432" width="17.140625" style="95" customWidth="1"/>
    <col min="7433" max="7433" width="21.140625" style="95" customWidth="1"/>
    <col min="7434" max="7434" width="19.85546875" style="95" customWidth="1"/>
    <col min="7435" max="7435" width="17.5703125" style="95" customWidth="1"/>
    <col min="7436" max="7680" width="8.85546875" style="95"/>
    <col min="7681" max="7681" width="8.28515625" style="95" customWidth="1"/>
    <col min="7682" max="7682" width="55.42578125" style="95" bestFit="1" customWidth="1"/>
    <col min="7683" max="7683" width="9.5703125" style="95" customWidth="1"/>
    <col min="7684" max="7684" width="8.85546875" style="95"/>
    <col min="7685" max="7685" width="12.42578125" style="95" customWidth="1"/>
    <col min="7686" max="7686" width="18.5703125" style="95" customWidth="1"/>
    <col min="7687" max="7687" width="23.5703125" style="95" customWidth="1"/>
    <col min="7688" max="7688" width="17.140625" style="95" customWidth="1"/>
    <col min="7689" max="7689" width="21.140625" style="95" customWidth="1"/>
    <col min="7690" max="7690" width="19.85546875" style="95" customWidth="1"/>
    <col min="7691" max="7691" width="17.5703125" style="95" customWidth="1"/>
    <col min="7692" max="7936" width="8.85546875" style="95"/>
    <col min="7937" max="7937" width="8.28515625" style="95" customWidth="1"/>
    <col min="7938" max="7938" width="55.42578125" style="95" bestFit="1" customWidth="1"/>
    <col min="7939" max="7939" width="9.5703125" style="95" customWidth="1"/>
    <col min="7940" max="7940" width="8.85546875" style="95"/>
    <col min="7941" max="7941" width="12.42578125" style="95" customWidth="1"/>
    <col min="7942" max="7942" width="18.5703125" style="95" customWidth="1"/>
    <col min="7943" max="7943" width="23.5703125" style="95" customWidth="1"/>
    <col min="7944" max="7944" width="17.140625" style="95" customWidth="1"/>
    <col min="7945" max="7945" width="21.140625" style="95" customWidth="1"/>
    <col min="7946" max="7946" width="19.85546875" style="95" customWidth="1"/>
    <col min="7947" max="7947" width="17.5703125" style="95" customWidth="1"/>
    <col min="7948" max="8192" width="8.85546875" style="95"/>
    <col min="8193" max="8193" width="8.28515625" style="95" customWidth="1"/>
    <col min="8194" max="8194" width="55.42578125" style="95" bestFit="1" customWidth="1"/>
    <col min="8195" max="8195" width="9.5703125" style="95" customWidth="1"/>
    <col min="8196" max="8196" width="8.85546875" style="95"/>
    <col min="8197" max="8197" width="12.42578125" style="95" customWidth="1"/>
    <col min="8198" max="8198" width="18.5703125" style="95" customWidth="1"/>
    <col min="8199" max="8199" width="23.5703125" style="95" customWidth="1"/>
    <col min="8200" max="8200" width="17.140625" style="95" customWidth="1"/>
    <col min="8201" max="8201" width="21.140625" style="95" customWidth="1"/>
    <col min="8202" max="8202" width="19.85546875" style="95" customWidth="1"/>
    <col min="8203" max="8203" width="17.5703125" style="95" customWidth="1"/>
    <col min="8204" max="8448" width="8.85546875" style="95"/>
    <col min="8449" max="8449" width="8.28515625" style="95" customWidth="1"/>
    <col min="8450" max="8450" width="55.42578125" style="95" bestFit="1" customWidth="1"/>
    <col min="8451" max="8451" width="9.5703125" style="95" customWidth="1"/>
    <col min="8452" max="8452" width="8.85546875" style="95"/>
    <col min="8453" max="8453" width="12.42578125" style="95" customWidth="1"/>
    <col min="8454" max="8454" width="18.5703125" style="95" customWidth="1"/>
    <col min="8455" max="8455" width="23.5703125" style="95" customWidth="1"/>
    <col min="8456" max="8456" width="17.140625" style="95" customWidth="1"/>
    <col min="8457" max="8457" width="21.140625" style="95" customWidth="1"/>
    <col min="8458" max="8458" width="19.85546875" style="95" customWidth="1"/>
    <col min="8459" max="8459" width="17.5703125" style="95" customWidth="1"/>
    <col min="8460" max="8704" width="8.85546875" style="95"/>
    <col min="8705" max="8705" width="8.28515625" style="95" customWidth="1"/>
    <col min="8706" max="8706" width="55.42578125" style="95" bestFit="1" customWidth="1"/>
    <col min="8707" max="8707" width="9.5703125" style="95" customWidth="1"/>
    <col min="8708" max="8708" width="8.85546875" style="95"/>
    <col min="8709" max="8709" width="12.42578125" style="95" customWidth="1"/>
    <col min="8710" max="8710" width="18.5703125" style="95" customWidth="1"/>
    <col min="8711" max="8711" width="23.5703125" style="95" customWidth="1"/>
    <col min="8712" max="8712" width="17.140625" style="95" customWidth="1"/>
    <col min="8713" max="8713" width="21.140625" style="95" customWidth="1"/>
    <col min="8714" max="8714" width="19.85546875" style="95" customWidth="1"/>
    <col min="8715" max="8715" width="17.5703125" style="95" customWidth="1"/>
    <col min="8716" max="8960" width="8.85546875" style="95"/>
    <col min="8961" max="8961" width="8.28515625" style="95" customWidth="1"/>
    <col min="8962" max="8962" width="55.42578125" style="95" bestFit="1" customWidth="1"/>
    <col min="8963" max="8963" width="9.5703125" style="95" customWidth="1"/>
    <col min="8964" max="8964" width="8.85546875" style="95"/>
    <col min="8965" max="8965" width="12.42578125" style="95" customWidth="1"/>
    <col min="8966" max="8966" width="18.5703125" style="95" customWidth="1"/>
    <col min="8967" max="8967" width="23.5703125" style="95" customWidth="1"/>
    <col min="8968" max="8968" width="17.140625" style="95" customWidth="1"/>
    <col min="8969" max="8969" width="21.140625" style="95" customWidth="1"/>
    <col min="8970" max="8970" width="19.85546875" style="95" customWidth="1"/>
    <col min="8971" max="8971" width="17.5703125" style="95" customWidth="1"/>
    <col min="8972" max="9216" width="8.85546875" style="95"/>
    <col min="9217" max="9217" width="8.28515625" style="95" customWidth="1"/>
    <col min="9218" max="9218" width="55.42578125" style="95" bestFit="1" customWidth="1"/>
    <col min="9219" max="9219" width="9.5703125" style="95" customWidth="1"/>
    <col min="9220" max="9220" width="8.85546875" style="95"/>
    <col min="9221" max="9221" width="12.42578125" style="95" customWidth="1"/>
    <col min="9222" max="9222" width="18.5703125" style="95" customWidth="1"/>
    <col min="9223" max="9223" width="23.5703125" style="95" customWidth="1"/>
    <col min="9224" max="9224" width="17.140625" style="95" customWidth="1"/>
    <col min="9225" max="9225" width="21.140625" style="95" customWidth="1"/>
    <col min="9226" max="9226" width="19.85546875" style="95" customWidth="1"/>
    <col min="9227" max="9227" width="17.5703125" style="95" customWidth="1"/>
    <col min="9228" max="9472" width="8.85546875" style="95"/>
    <col min="9473" max="9473" width="8.28515625" style="95" customWidth="1"/>
    <col min="9474" max="9474" width="55.42578125" style="95" bestFit="1" customWidth="1"/>
    <col min="9475" max="9475" width="9.5703125" style="95" customWidth="1"/>
    <col min="9476" max="9476" width="8.85546875" style="95"/>
    <col min="9477" max="9477" width="12.42578125" style="95" customWidth="1"/>
    <col min="9478" max="9478" width="18.5703125" style="95" customWidth="1"/>
    <col min="9479" max="9479" width="23.5703125" style="95" customWidth="1"/>
    <col min="9480" max="9480" width="17.140625" style="95" customWidth="1"/>
    <col min="9481" max="9481" width="21.140625" style="95" customWidth="1"/>
    <col min="9482" max="9482" width="19.85546875" style="95" customWidth="1"/>
    <col min="9483" max="9483" width="17.5703125" style="95" customWidth="1"/>
    <col min="9484" max="9728" width="8.85546875" style="95"/>
    <col min="9729" max="9729" width="8.28515625" style="95" customWidth="1"/>
    <col min="9730" max="9730" width="55.42578125" style="95" bestFit="1" customWidth="1"/>
    <col min="9731" max="9731" width="9.5703125" style="95" customWidth="1"/>
    <col min="9732" max="9732" width="8.85546875" style="95"/>
    <col min="9733" max="9733" width="12.42578125" style="95" customWidth="1"/>
    <col min="9734" max="9734" width="18.5703125" style="95" customWidth="1"/>
    <col min="9735" max="9735" width="23.5703125" style="95" customWidth="1"/>
    <col min="9736" max="9736" width="17.140625" style="95" customWidth="1"/>
    <col min="9737" max="9737" width="21.140625" style="95" customWidth="1"/>
    <col min="9738" max="9738" width="19.85546875" style="95" customWidth="1"/>
    <col min="9739" max="9739" width="17.5703125" style="95" customWidth="1"/>
    <col min="9740" max="9984" width="8.85546875" style="95"/>
    <col min="9985" max="9985" width="8.28515625" style="95" customWidth="1"/>
    <col min="9986" max="9986" width="55.42578125" style="95" bestFit="1" customWidth="1"/>
    <col min="9987" max="9987" width="9.5703125" style="95" customWidth="1"/>
    <col min="9988" max="9988" width="8.85546875" style="95"/>
    <col min="9989" max="9989" width="12.42578125" style="95" customWidth="1"/>
    <col min="9990" max="9990" width="18.5703125" style="95" customWidth="1"/>
    <col min="9991" max="9991" width="23.5703125" style="95" customWidth="1"/>
    <col min="9992" max="9992" width="17.140625" style="95" customWidth="1"/>
    <col min="9993" max="9993" width="21.140625" style="95" customWidth="1"/>
    <col min="9994" max="9994" width="19.85546875" style="95" customWidth="1"/>
    <col min="9995" max="9995" width="17.5703125" style="95" customWidth="1"/>
    <col min="9996" max="10240" width="8.85546875" style="95"/>
    <col min="10241" max="10241" width="8.28515625" style="95" customWidth="1"/>
    <col min="10242" max="10242" width="55.42578125" style="95" bestFit="1" customWidth="1"/>
    <col min="10243" max="10243" width="9.5703125" style="95" customWidth="1"/>
    <col min="10244" max="10244" width="8.85546875" style="95"/>
    <col min="10245" max="10245" width="12.42578125" style="95" customWidth="1"/>
    <col min="10246" max="10246" width="18.5703125" style="95" customWidth="1"/>
    <col min="10247" max="10247" width="23.5703125" style="95" customWidth="1"/>
    <col min="10248" max="10248" width="17.140625" style="95" customWidth="1"/>
    <col min="10249" max="10249" width="21.140625" style="95" customWidth="1"/>
    <col min="10250" max="10250" width="19.85546875" style="95" customWidth="1"/>
    <col min="10251" max="10251" width="17.5703125" style="95" customWidth="1"/>
    <col min="10252" max="10496" width="8.85546875" style="95"/>
    <col min="10497" max="10497" width="8.28515625" style="95" customWidth="1"/>
    <col min="10498" max="10498" width="55.42578125" style="95" bestFit="1" customWidth="1"/>
    <col min="10499" max="10499" width="9.5703125" style="95" customWidth="1"/>
    <col min="10500" max="10500" width="8.85546875" style="95"/>
    <col min="10501" max="10501" width="12.42578125" style="95" customWidth="1"/>
    <col min="10502" max="10502" width="18.5703125" style="95" customWidth="1"/>
    <col min="10503" max="10503" width="23.5703125" style="95" customWidth="1"/>
    <col min="10504" max="10504" width="17.140625" style="95" customWidth="1"/>
    <col min="10505" max="10505" width="21.140625" style="95" customWidth="1"/>
    <col min="10506" max="10506" width="19.85546875" style="95" customWidth="1"/>
    <col min="10507" max="10507" width="17.5703125" style="95" customWidth="1"/>
    <col min="10508" max="10752" width="8.85546875" style="95"/>
    <col min="10753" max="10753" width="8.28515625" style="95" customWidth="1"/>
    <col min="10754" max="10754" width="55.42578125" style="95" bestFit="1" customWidth="1"/>
    <col min="10755" max="10755" width="9.5703125" style="95" customWidth="1"/>
    <col min="10756" max="10756" width="8.85546875" style="95"/>
    <col min="10757" max="10757" width="12.42578125" style="95" customWidth="1"/>
    <col min="10758" max="10758" width="18.5703125" style="95" customWidth="1"/>
    <col min="10759" max="10759" width="23.5703125" style="95" customWidth="1"/>
    <col min="10760" max="10760" width="17.140625" style="95" customWidth="1"/>
    <col min="10761" max="10761" width="21.140625" style="95" customWidth="1"/>
    <col min="10762" max="10762" width="19.85546875" style="95" customWidth="1"/>
    <col min="10763" max="10763" width="17.5703125" style="95" customWidth="1"/>
    <col min="10764" max="11008" width="8.85546875" style="95"/>
    <col min="11009" max="11009" width="8.28515625" style="95" customWidth="1"/>
    <col min="11010" max="11010" width="55.42578125" style="95" bestFit="1" customWidth="1"/>
    <col min="11011" max="11011" width="9.5703125" style="95" customWidth="1"/>
    <col min="11012" max="11012" width="8.85546875" style="95"/>
    <col min="11013" max="11013" width="12.42578125" style="95" customWidth="1"/>
    <col min="11014" max="11014" width="18.5703125" style="95" customWidth="1"/>
    <col min="11015" max="11015" width="23.5703125" style="95" customWidth="1"/>
    <col min="11016" max="11016" width="17.140625" style="95" customWidth="1"/>
    <col min="11017" max="11017" width="21.140625" style="95" customWidth="1"/>
    <col min="11018" max="11018" width="19.85546875" style="95" customWidth="1"/>
    <col min="11019" max="11019" width="17.5703125" style="95" customWidth="1"/>
    <col min="11020" max="11264" width="8.85546875" style="95"/>
    <col min="11265" max="11265" width="8.28515625" style="95" customWidth="1"/>
    <col min="11266" max="11266" width="55.42578125" style="95" bestFit="1" customWidth="1"/>
    <col min="11267" max="11267" width="9.5703125" style="95" customWidth="1"/>
    <col min="11268" max="11268" width="8.85546875" style="95"/>
    <col min="11269" max="11269" width="12.42578125" style="95" customWidth="1"/>
    <col min="11270" max="11270" width="18.5703125" style="95" customWidth="1"/>
    <col min="11271" max="11271" width="23.5703125" style="95" customWidth="1"/>
    <col min="11272" max="11272" width="17.140625" style="95" customWidth="1"/>
    <col min="11273" max="11273" width="21.140625" style="95" customWidth="1"/>
    <col min="11274" max="11274" width="19.85546875" style="95" customWidth="1"/>
    <col min="11275" max="11275" width="17.5703125" style="95" customWidth="1"/>
    <col min="11276" max="11520" width="8.85546875" style="95"/>
    <col min="11521" max="11521" width="8.28515625" style="95" customWidth="1"/>
    <col min="11522" max="11522" width="55.42578125" style="95" bestFit="1" customWidth="1"/>
    <col min="11523" max="11523" width="9.5703125" style="95" customWidth="1"/>
    <col min="11524" max="11524" width="8.85546875" style="95"/>
    <col min="11525" max="11525" width="12.42578125" style="95" customWidth="1"/>
    <col min="11526" max="11526" width="18.5703125" style="95" customWidth="1"/>
    <col min="11527" max="11527" width="23.5703125" style="95" customWidth="1"/>
    <col min="11528" max="11528" width="17.140625" style="95" customWidth="1"/>
    <col min="11529" max="11529" width="21.140625" style="95" customWidth="1"/>
    <col min="11530" max="11530" width="19.85546875" style="95" customWidth="1"/>
    <col min="11531" max="11531" width="17.5703125" style="95" customWidth="1"/>
    <col min="11532" max="11776" width="8.85546875" style="95"/>
    <col min="11777" max="11777" width="8.28515625" style="95" customWidth="1"/>
    <col min="11778" max="11778" width="55.42578125" style="95" bestFit="1" customWidth="1"/>
    <col min="11779" max="11779" width="9.5703125" style="95" customWidth="1"/>
    <col min="11780" max="11780" width="8.85546875" style="95"/>
    <col min="11781" max="11781" width="12.42578125" style="95" customWidth="1"/>
    <col min="11782" max="11782" width="18.5703125" style="95" customWidth="1"/>
    <col min="11783" max="11783" width="23.5703125" style="95" customWidth="1"/>
    <col min="11784" max="11784" width="17.140625" style="95" customWidth="1"/>
    <col min="11785" max="11785" width="21.140625" style="95" customWidth="1"/>
    <col min="11786" max="11786" width="19.85546875" style="95" customWidth="1"/>
    <col min="11787" max="11787" width="17.5703125" style="95" customWidth="1"/>
    <col min="11788" max="12032" width="8.85546875" style="95"/>
    <col min="12033" max="12033" width="8.28515625" style="95" customWidth="1"/>
    <col min="12034" max="12034" width="55.42578125" style="95" bestFit="1" customWidth="1"/>
    <col min="12035" max="12035" width="9.5703125" style="95" customWidth="1"/>
    <col min="12036" max="12036" width="8.85546875" style="95"/>
    <col min="12037" max="12037" width="12.42578125" style="95" customWidth="1"/>
    <col min="12038" max="12038" width="18.5703125" style="95" customWidth="1"/>
    <col min="12039" max="12039" width="23.5703125" style="95" customWidth="1"/>
    <col min="12040" max="12040" width="17.140625" style="95" customWidth="1"/>
    <col min="12041" max="12041" width="21.140625" style="95" customWidth="1"/>
    <col min="12042" max="12042" width="19.85546875" style="95" customWidth="1"/>
    <col min="12043" max="12043" width="17.5703125" style="95" customWidth="1"/>
    <col min="12044" max="12288" width="8.85546875" style="95"/>
    <col min="12289" max="12289" width="8.28515625" style="95" customWidth="1"/>
    <col min="12290" max="12290" width="55.42578125" style="95" bestFit="1" customWidth="1"/>
    <col min="12291" max="12291" width="9.5703125" style="95" customWidth="1"/>
    <col min="12292" max="12292" width="8.85546875" style="95"/>
    <col min="12293" max="12293" width="12.42578125" style="95" customWidth="1"/>
    <col min="12294" max="12294" width="18.5703125" style="95" customWidth="1"/>
    <col min="12295" max="12295" width="23.5703125" style="95" customWidth="1"/>
    <col min="12296" max="12296" width="17.140625" style="95" customWidth="1"/>
    <col min="12297" max="12297" width="21.140625" style="95" customWidth="1"/>
    <col min="12298" max="12298" width="19.85546875" style="95" customWidth="1"/>
    <col min="12299" max="12299" width="17.5703125" style="95" customWidth="1"/>
    <col min="12300" max="12544" width="8.85546875" style="95"/>
    <col min="12545" max="12545" width="8.28515625" style="95" customWidth="1"/>
    <col min="12546" max="12546" width="55.42578125" style="95" bestFit="1" customWidth="1"/>
    <col min="12547" max="12547" width="9.5703125" style="95" customWidth="1"/>
    <col min="12548" max="12548" width="8.85546875" style="95"/>
    <col min="12549" max="12549" width="12.42578125" style="95" customWidth="1"/>
    <col min="12550" max="12550" width="18.5703125" style="95" customWidth="1"/>
    <col min="12551" max="12551" width="23.5703125" style="95" customWidth="1"/>
    <col min="12552" max="12552" width="17.140625" style="95" customWidth="1"/>
    <col min="12553" max="12553" width="21.140625" style="95" customWidth="1"/>
    <col min="12554" max="12554" width="19.85546875" style="95" customWidth="1"/>
    <col min="12555" max="12555" width="17.5703125" style="95" customWidth="1"/>
    <col min="12556" max="12800" width="8.85546875" style="95"/>
    <col min="12801" max="12801" width="8.28515625" style="95" customWidth="1"/>
    <col min="12802" max="12802" width="55.42578125" style="95" bestFit="1" customWidth="1"/>
    <col min="12803" max="12803" width="9.5703125" style="95" customWidth="1"/>
    <col min="12804" max="12804" width="8.85546875" style="95"/>
    <col min="12805" max="12805" width="12.42578125" style="95" customWidth="1"/>
    <col min="12806" max="12806" width="18.5703125" style="95" customWidth="1"/>
    <col min="12807" max="12807" width="23.5703125" style="95" customWidth="1"/>
    <col min="12808" max="12808" width="17.140625" style="95" customWidth="1"/>
    <col min="12809" max="12809" width="21.140625" style="95" customWidth="1"/>
    <col min="12810" max="12810" width="19.85546875" style="95" customWidth="1"/>
    <col min="12811" max="12811" width="17.5703125" style="95" customWidth="1"/>
    <col min="12812" max="13056" width="8.85546875" style="95"/>
    <col min="13057" max="13057" width="8.28515625" style="95" customWidth="1"/>
    <col min="13058" max="13058" width="55.42578125" style="95" bestFit="1" customWidth="1"/>
    <col min="13059" max="13059" width="9.5703125" style="95" customWidth="1"/>
    <col min="13060" max="13060" width="8.85546875" style="95"/>
    <col min="13061" max="13061" width="12.42578125" style="95" customWidth="1"/>
    <col min="13062" max="13062" width="18.5703125" style="95" customWidth="1"/>
    <col min="13063" max="13063" width="23.5703125" style="95" customWidth="1"/>
    <col min="13064" max="13064" width="17.140625" style="95" customWidth="1"/>
    <col min="13065" max="13065" width="21.140625" style="95" customWidth="1"/>
    <col min="13066" max="13066" width="19.85546875" style="95" customWidth="1"/>
    <col min="13067" max="13067" width="17.5703125" style="95" customWidth="1"/>
    <col min="13068" max="13312" width="8.85546875" style="95"/>
    <col min="13313" max="13313" width="8.28515625" style="95" customWidth="1"/>
    <col min="13314" max="13314" width="55.42578125" style="95" bestFit="1" customWidth="1"/>
    <col min="13315" max="13315" width="9.5703125" style="95" customWidth="1"/>
    <col min="13316" max="13316" width="8.85546875" style="95"/>
    <col min="13317" max="13317" width="12.42578125" style="95" customWidth="1"/>
    <col min="13318" max="13318" width="18.5703125" style="95" customWidth="1"/>
    <col min="13319" max="13319" width="23.5703125" style="95" customWidth="1"/>
    <col min="13320" max="13320" width="17.140625" style="95" customWidth="1"/>
    <col min="13321" max="13321" width="21.140625" style="95" customWidth="1"/>
    <col min="13322" max="13322" width="19.85546875" style="95" customWidth="1"/>
    <col min="13323" max="13323" width="17.5703125" style="95" customWidth="1"/>
    <col min="13324" max="13568" width="8.85546875" style="95"/>
    <col min="13569" max="13569" width="8.28515625" style="95" customWidth="1"/>
    <col min="13570" max="13570" width="55.42578125" style="95" bestFit="1" customWidth="1"/>
    <col min="13571" max="13571" width="9.5703125" style="95" customWidth="1"/>
    <col min="13572" max="13572" width="8.85546875" style="95"/>
    <col min="13573" max="13573" width="12.42578125" style="95" customWidth="1"/>
    <col min="13574" max="13574" width="18.5703125" style="95" customWidth="1"/>
    <col min="13575" max="13575" width="23.5703125" style="95" customWidth="1"/>
    <col min="13576" max="13576" width="17.140625" style="95" customWidth="1"/>
    <col min="13577" max="13577" width="21.140625" style="95" customWidth="1"/>
    <col min="13578" max="13578" width="19.85546875" style="95" customWidth="1"/>
    <col min="13579" max="13579" width="17.5703125" style="95" customWidth="1"/>
    <col min="13580" max="13824" width="8.85546875" style="95"/>
    <col min="13825" max="13825" width="8.28515625" style="95" customWidth="1"/>
    <col min="13826" max="13826" width="55.42578125" style="95" bestFit="1" customWidth="1"/>
    <col min="13827" max="13827" width="9.5703125" style="95" customWidth="1"/>
    <col min="13828" max="13828" width="8.85546875" style="95"/>
    <col min="13829" max="13829" width="12.42578125" style="95" customWidth="1"/>
    <col min="13830" max="13830" width="18.5703125" style="95" customWidth="1"/>
    <col min="13831" max="13831" width="23.5703125" style="95" customWidth="1"/>
    <col min="13832" max="13832" width="17.140625" style="95" customWidth="1"/>
    <col min="13833" max="13833" width="21.140625" style="95" customWidth="1"/>
    <col min="13834" max="13834" width="19.85546875" style="95" customWidth="1"/>
    <col min="13835" max="13835" width="17.5703125" style="95" customWidth="1"/>
    <col min="13836" max="14080" width="8.85546875" style="95"/>
    <col min="14081" max="14081" width="8.28515625" style="95" customWidth="1"/>
    <col min="14082" max="14082" width="55.42578125" style="95" bestFit="1" customWidth="1"/>
    <col min="14083" max="14083" width="9.5703125" style="95" customWidth="1"/>
    <col min="14084" max="14084" width="8.85546875" style="95"/>
    <col min="14085" max="14085" width="12.42578125" style="95" customWidth="1"/>
    <col min="14086" max="14086" width="18.5703125" style="95" customWidth="1"/>
    <col min="14087" max="14087" width="23.5703125" style="95" customWidth="1"/>
    <col min="14088" max="14088" width="17.140625" style="95" customWidth="1"/>
    <col min="14089" max="14089" width="21.140625" style="95" customWidth="1"/>
    <col min="14090" max="14090" width="19.85546875" style="95" customWidth="1"/>
    <col min="14091" max="14091" width="17.5703125" style="95" customWidth="1"/>
    <col min="14092" max="14336" width="8.85546875" style="95"/>
    <col min="14337" max="14337" width="8.28515625" style="95" customWidth="1"/>
    <col min="14338" max="14338" width="55.42578125" style="95" bestFit="1" customWidth="1"/>
    <col min="14339" max="14339" width="9.5703125" style="95" customWidth="1"/>
    <col min="14340" max="14340" width="8.85546875" style="95"/>
    <col min="14341" max="14341" width="12.42578125" style="95" customWidth="1"/>
    <col min="14342" max="14342" width="18.5703125" style="95" customWidth="1"/>
    <col min="14343" max="14343" width="23.5703125" style="95" customWidth="1"/>
    <col min="14344" max="14344" width="17.140625" style="95" customWidth="1"/>
    <col min="14345" max="14345" width="21.140625" style="95" customWidth="1"/>
    <col min="14346" max="14346" width="19.85546875" style="95" customWidth="1"/>
    <col min="14347" max="14347" width="17.5703125" style="95" customWidth="1"/>
    <col min="14348" max="14592" width="8.85546875" style="95"/>
    <col min="14593" max="14593" width="8.28515625" style="95" customWidth="1"/>
    <col min="14594" max="14594" width="55.42578125" style="95" bestFit="1" customWidth="1"/>
    <col min="14595" max="14595" width="9.5703125" style="95" customWidth="1"/>
    <col min="14596" max="14596" width="8.85546875" style="95"/>
    <col min="14597" max="14597" width="12.42578125" style="95" customWidth="1"/>
    <col min="14598" max="14598" width="18.5703125" style="95" customWidth="1"/>
    <col min="14599" max="14599" width="23.5703125" style="95" customWidth="1"/>
    <col min="14600" max="14600" width="17.140625" style="95" customWidth="1"/>
    <col min="14601" max="14601" width="21.140625" style="95" customWidth="1"/>
    <col min="14602" max="14602" width="19.85546875" style="95" customWidth="1"/>
    <col min="14603" max="14603" width="17.5703125" style="95" customWidth="1"/>
    <col min="14604" max="14848" width="8.85546875" style="95"/>
    <col min="14849" max="14849" width="8.28515625" style="95" customWidth="1"/>
    <col min="14850" max="14850" width="55.42578125" style="95" bestFit="1" customWidth="1"/>
    <col min="14851" max="14851" width="9.5703125" style="95" customWidth="1"/>
    <col min="14852" max="14852" width="8.85546875" style="95"/>
    <col min="14853" max="14853" width="12.42578125" style="95" customWidth="1"/>
    <col min="14854" max="14854" width="18.5703125" style="95" customWidth="1"/>
    <col min="14855" max="14855" width="23.5703125" style="95" customWidth="1"/>
    <col min="14856" max="14856" width="17.140625" style="95" customWidth="1"/>
    <col min="14857" max="14857" width="21.140625" style="95" customWidth="1"/>
    <col min="14858" max="14858" width="19.85546875" style="95" customWidth="1"/>
    <col min="14859" max="14859" width="17.5703125" style="95" customWidth="1"/>
    <col min="14860" max="15104" width="8.85546875" style="95"/>
    <col min="15105" max="15105" width="8.28515625" style="95" customWidth="1"/>
    <col min="15106" max="15106" width="55.42578125" style="95" bestFit="1" customWidth="1"/>
    <col min="15107" max="15107" width="9.5703125" style="95" customWidth="1"/>
    <col min="15108" max="15108" width="8.85546875" style="95"/>
    <col min="15109" max="15109" width="12.42578125" style="95" customWidth="1"/>
    <col min="15110" max="15110" width="18.5703125" style="95" customWidth="1"/>
    <col min="15111" max="15111" width="23.5703125" style="95" customWidth="1"/>
    <col min="15112" max="15112" width="17.140625" style="95" customWidth="1"/>
    <col min="15113" max="15113" width="21.140625" style="95" customWidth="1"/>
    <col min="15114" max="15114" width="19.85546875" style="95" customWidth="1"/>
    <col min="15115" max="15115" width="17.5703125" style="95" customWidth="1"/>
    <col min="15116" max="15360" width="8.85546875" style="95"/>
    <col min="15361" max="15361" width="8.28515625" style="95" customWidth="1"/>
    <col min="15362" max="15362" width="55.42578125" style="95" bestFit="1" customWidth="1"/>
    <col min="15363" max="15363" width="9.5703125" style="95" customWidth="1"/>
    <col min="15364" max="15364" width="8.85546875" style="95"/>
    <col min="15365" max="15365" width="12.42578125" style="95" customWidth="1"/>
    <col min="15366" max="15366" width="18.5703125" style="95" customWidth="1"/>
    <col min="15367" max="15367" width="23.5703125" style="95" customWidth="1"/>
    <col min="15368" max="15368" width="17.140625" style="95" customWidth="1"/>
    <col min="15369" max="15369" width="21.140625" style="95" customWidth="1"/>
    <col min="15370" max="15370" width="19.85546875" style="95" customWidth="1"/>
    <col min="15371" max="15371" width="17.5703125" style="95" customWidth="1"/>
    <col min="15372" max="15616" width="8.85546875" style="95"/>
    <col min="15617" max="15617" width="8.28515625" style="95" customWidth="1"/>
    <col min="15618" max="15618" width="55.42578125" style="95" bestFit="1" customWidth="1"/>
    <col min="15619" max="15619" width="9.5703125" style="95" customWidth="1"/>
    <col min="15620" max="15620" width="8.85546875" style="95"/>
    <col min="15621" max="15621" width="12.42578125" style="95" customWidth="1"/>
    <col min="15622" max="15622" width="18.5703125" style="95" customWidth="1"/>
    <col min="15623" max="15623" width="23.5703125" style="95" customWidth="1"/>
    <col min="15624" max="15624" width="17.140625" style="95" customWidth="1"/>
    <col min="15625" max="15625" width="21.140625" style="95" customWidth="1"/>
    <col min="15626" max="15626" width="19.85546875" style="95" customWidth="1"/>
    <col min="15627" max="15627" width="17.5703125" style="95" customWidth="1"/>
    <col min="15628" max="15872" width="8.85546875" style="95"/>
    <col min="15873" max="15873" width="8.28515625" style="95" customWidth="1"/>
    <col min="15874" max="15874" width="55.42578125" style="95" bestFit="1" customWidth="1"/>
    <col min="15875" max="15875" width="9.5703125" style="95" customWidth="1"/>
    <col min="15876" max="15876" width="8.85546875" style="95"/>
    <col min="15877" max="15877" width="12.42578125" style="95" customWidth="1"/>
    <col min="15878" max="15878" width="18.5703125" style="95" customWidth="1"/>
    <col min="15879" max="15879" width="23.5703125" style="95" customWidth="1"/>
    <col min="15880" max="15880" width="17.140625" style="95" customWidth="1"/>
    <col min="15881" max="15881" width="21.140625" style="95" customWidth="1"/>
    <col min="15882" max="15882" width="19.85546875" style="95" customWidth="1"/>
    <col min="15883" max="15883" width="17.5703125" style="95" customWidth="1"/>
    <col min="15884" max="16128" width="8.85546875" style="95"/>
    <col min="16129" max="16129" width="8.28515625" style="95" customWidth="1"/>
    <col min="16130" max="16130" width="55.42578125" style="95" bestFit="1" customWidth="1"/>
    <col min="16131" max="16131" width="9.5703125" style="95" customWidth="1"/>
    <col min="16132" max="16132" width="8.85546875" style="95"/>
    <col min="16133" max="16133" width="12.42578125" style="95" customWidth="1"/>
    <col min="16134" max="16134" width="18.5703125" style="95" customWidth="1"/>
    <col min="16135" max="16135" width="23.5703125" style="95" customWidth="1"/>
    <col min="16136" max="16136" width="17.140625" style="95" customWidth="1"/>
    <col min="16137" max="16137" width="21.140625" style="95" customWidth="1"/>
    <col min="16138" max="16138" width="19.85546875" style="95" customWidth="1"/>
    <col min="16139" max="16139" width="17.5703125" style="95" customWidth="1"/>
    <col min="16140" max="16384" width="8.85546875" style="95"/>
  </cols>
  <sheetData>
    <row r="1" spans="1:11" ht="18" customHeight="1">
      <c r="C1" s="158"/>
      <c r="D1" s="159"/>
      <c r="E1" s="158"/>
      <c r="F1" s="158"/>
      <c r="G1" s="158"/>
      <c r="H1" s="158"/>
      <c r="I1" s="158"/>
      <c r="J1" s="158"/>
      <c r="K1" s="158"/>
    </row>
    <row r="2" spans="1:11" ht="18" customHeight="1">
      <c r="D2" s="600" t="s">
        <v>187</v>
      </c>
      <c r="E2" s="601"/>
      <c r="F2" s="601"/>
      <c r="G2" s="601"/>
      <c r="H2" s="601"/>
    </row>
    <row r="3" spans="1:11" ht="18" customHeight="1">
      <c r="B3" s="97" t="s">
        <v>0</v>
      </c>
    </row>
    <row r="5" spans="1:11" ht="18" customHeight="1">
      <c r="B5" s="104" t="s">
        <v>40</v>
      </c>
      <c r="C5" s="602" t="s">
        <v>308</v>
      </c>
      <c r="D5" s="603"/>
      <c r="E5" s="603"/>
      <c r="F5" s="603"/>
      <c r="G5" s="604"/>
    </row>
    <row r="6" spans="1:11" ht="18" customHeight="1">
      <c r="B6" s="104" t="s">
        <v>3</v>
      </c>
      <c r="C6" s="661">
        <v>28</v>
      </c>
      <c r="D6" s="662"/>
      <c r="E6" s="662"/>
      <c r="F6" s="662"/>
      <c r="G6" s="663"/>
    </row>
    <row r="7" spans="1:11" ht="18" customHeight="1">
      <c r="B7" s="104" t="s">
        <v>4</v>
      </c>
      <c r="C7" s="633">
        <v>1105</v>
      </c>
      <c r="D7" s="659"/>
      <c r="E7" s="659"/>
      <c r="F7" s="659"/>
      <c r="G7" s="660"/>
    </row>
    <row r="9" spans="1:11" ht="18" customHeight="1">
      <c r="B9" s="104" t="s">
        <v>1</v>
      </c>
      <c r="C9" s="602" t="s">
        <v>285</v>
      </c>
      <c r="D9" s="603"/>
      <c r="E9" s="603"/>
      <c r="F9" s="603"/>
      <c r="G9" s="604"/>
    </row>
    <row r="10" spans="1:11" ht="18" customHeight="1">
      <c r="B10" s="104" t="s">
        <v>2</v>
      </c>
      <c r="C10" s="611" t="s">
        <v>284</v>
      </c>
      <c r="D10" s="612"/>
      <c r="E10" s="612"/>
      <c r="F10" s="612"/>
      <c r="G10" s="613"/>
    </row>
    <row r="11" spans="1:11" ht="18" customHeight="1">
      <c r="B11" s="104" t="s">
        <v>32</v>
      </c>
      <c r="C11" s="602" t="s">
        <v>283</v>
      </c>
      <c r="D11" s="614"/>
      <c r="E11" s="614"/>
      <c r="F11" s="614"/>
      <c r="G11" s="614"/>
    </row>
    <row r="12" spans="1:11" ht="18" customHeight="1">
      <c r="B12" s="104"/>
      <c r="C12" s="104"/>
      <c r="D12" s="104"/>
      <c r="E12" s="104"/>
      <c r="F12" s="104"/>
      <c r="G12" s="104"/>
    </row>
    <row r="13" spans="1:11" ht="24.6" customHeight="1">
      <c r="B13" s="615"/>
      <c r="C13" s="616"/>
      <c r="D13" s="616"/>
      <c r="E13" s="616"/>
      <c r="F13" s="616"/>
      <c r="G13" s="616"/>
      <c r="H13" s="617"/>
      <c r="I13" s="158"/>
    </row>
    <row r="14" spans="1:11" ht="18" customHeight="1">
      <c r="B14" s="160"/>
    </row>
    <row r="15" spans="1:11" ht="18" customHeight="1">
      <c r="B15" s="160"/>
    </row>
    <row r="16" spans="1:11" ht="45" customHeight="1">
      <c r="A16" s="159" t="s">
        <v>181</v>
      </c>
      <c r="B16" s="158"/>
      <c r="C16" s="158"/>
      <c r="D16" s="158"/>
      <c r="E16" s="158"/>
      <c r="F16" s="108" t="s">
        <v>9</v>
      </c>
      <c r="G16" s="108" t="s">
        <v>37</v>
      </c>
      <c r="H16" s="108" t="s">
        <v>29</v>
      </c>
      <c r="I16" s="108" t="s">
        <v>30</v>
      </c>
      <c r="J16" s="108" t="s">
        <v>33</v>
      </c>
      <c r="K16" s="108" t="s">
        <v>34</v>
      </c>
    </row>
    <row r="17" spans="1:11" ht="18" customHeight="1">
      <c r="A17" s="99" t="s">
        <v>184</v>
      </c>
      <c r="B17" s="97" t="s">
        <v>182</v>
      </c>
    </row>
    <row r="18" spans="1:11" ht="18" customHeight="1">
      <c r="A18" s="104" t="s">
        <v>185</v>
      </c>
      <c r="B18" s="114" t="s">
        <v>183</v>
      </c>
      <c r="F18" s="112" t="s">
        <v>73</v>
      </c>
      <c r="G18" s="112" t="s">
        <v>73</v>
      </c>
      <c r="H18" s="110">
        <v>3680101</v>
      </c>
      <c r="I18" s="111"/>
      <c r="J18" s="110">
        <v>3146947</v>
      </c>
      <c r="K18" s="109">
        <f>(H18+I18)-J18</f>
        <v>533154</v>
      </c>
    </row>
    <row r="19" spans="1:11" ht="45" customHeight="1">
      <c r="A19" s="159" t="s">
        <v>8</v>
      </c>
      <c r="B19" s="158"/>
      <c r="C19" s="158"/>
      <c r="D19" s="158"/>
      <c r="E19" s="158"/>
      <c r="F19" s="108" t="s">
        <v>9</v>
      </c>
      <c r="G19" s="108" t="s">
        <v>37</v>
      </c>
      <c r="H19" s="108" t="s">
        <v>29</v>
      </c>
      <c r="I19" s="108" t="s">
        <v>30</v>
      </c>
      <c r="J19" s="108" t="s">
        <v>33</v>
      </c>
      <c r="K19" s="108" t="s">
        <v>34</v>
      </c>
    </row>
    <row r="20" spans="1:11" ht="18" customHeight="1">
      <c r="A20" s="99" t="s">
        <v>74</v>
      </c>
      <c r="B20" s="97" t="s">
        <v>41</v>
      </c>
    </row>
    <row r="21" spans="1:11" ht="18" customHeight="1">
      <c r="A21" s="104" t="s">
        <v>75</v>
      </c>
      <c r="B21" s="114" t="s">
        <v>42</v>
      </c>
      <c r="F21" s="112">
        <v>5822.5</v>
      </c>
      <c r="G21" s="112">
        <v>16636</v>
      </c>
      <c r="H21" s="110">
        <v>240421</v>
      </c>
      <c r="I21" s="111">
        <v>113076</v>
      </c>
      <c r="J21" s="110">
        <v>31862</v>
      </c>
      <c r="K21" s="109">
        <f t="shared" ref="K21:K34" si="0">(H21+I21)-J21</f>
        <v>321635</v>
      </c>
    </row>
    <row r="22" spans="1:11" ht="18" customHeight="1">
      <c r="A22" s="104" t="s">
        <v>76</v>
      </c>
      <c r="B22" s="95" t="s">
        <v>6</v>
      </c>
      <c r="F22" s="112"/>
      <c r="G22" s="112"/>
      <c r="H22" s="110"/>
      <c r="I22" s="111"/>
      <c r="J22" s="110"/>
      <c r="K22" s="109">
        <f t="shared" si="0"/>
        <v>0</v>
      </c>
    </row>
    <row r="23" spans="1:11" ht="18" customHeight="1">
      <c r="A23" s="104" t="s">
        <v>77</v>
      </c>
      <c r="B23" s="95" t="s">
        <v>43</v>
      </c>
      <c r="F23" s="112"/>
      <c r="G23" s="112"/>
      <c r="H23" s="110"/>
      <c r="I23" s="111">
        <f>H23*F$114</f>
        <v>0</v>
      </c>
      <c r="J23" s="110"/>
      <c r="K23" s="109">
        <f t="shared" si="0"/>
        <v>0</v>
      </c>
    </row>
    <row r="24" spans="1:11" ht="18" customHeight="1">
      <c r="A24" s="104" t="s">
        <v>78</v>
      </c>
      <c r="B24" s="95" t="s">
        <v>44</v>
      </c>
      <c r="F24" s="112">
        <v>2034</v>
      </c>
      <c r="G24" s="112">
        <v>1961</v>
      </c>
      <c r="H24" s="110">
        <v>85872</v>
      </c>
      <c r="I24" s="111">
        <v>16719</v>
      </c>
      <c r="J24" s="110">
        <v>20982</v>
      </c>
      <c r="K24" s="109">
        <f t="shared" si="0"/>
        <v>81609</v>
      </c>
    </row>
    <row r="25" spans="1:11" ht="18" customHeight="1">
      <c r="A25" s="104" t="s">
        <v>79</v>
      </c>
      <c r="B25" s="95" t="s">
        <v>5</v>
      </c>
      <c r="F25" s="112"/>
      <c r="G25" s="112"/>
      <c r="H25" s="110"/>
      <c r="I25" s="111">
        <f>H25*F$114</f>
        <v>0</v>
      </c>
      <c r="J25" s="110"/>
      <c r="K25" s="109">
        <f t="shared" si="0"/>
        <v>0</v>
      </c>
    </row>
    <row r="26" spans="1:11" ht="18" customHeight="1">
      <c r="A26" s="104" t="s">
        <v>80</v>
      </c>
      <c r="B26" s="95" t="s">
        <v>45</v>
      </c>
      <c r="F26" s="112"/>
      <c r="G26" s="112"/>
      <c r="H26" s="110"/>
      <c r="I26" s="111">
        <f>H26*F$114</f>
        <v>0</v>
      </c>
      <c r="J26" s="110"/>
      <c r="K26" s="109">
        <f t="shared" si="0"/>
        <v>0</v>
      </c>
    </row>
    <row r="27" spans="1:11" ht="18" customHeight="1">
      <c r="A27" s="104" t="s">
        <v>81</v>
      </c>
      <c r="B27" s="95" t="s">
        <v>46</v>
      </c>
      <c r="F27" s="112"/>
      <c r="G27" s="112"/>
      <c r="H27" s="110"/>
      <c r="I27" s="111">
        <f>H27*F$114</f>
        <v>0</v>
      </c>
      <c r="J27" s="110"/>
      <c r="K27" s="109">
        <f t="shared" si="0"/>
        <v>0</v>
      </c>
    </row>
    <row r="28" spans="1:11" ht="18" customHeight="1">
      <c r="A28" s="104" t="s">
        <v>82</v>
      </c>
      <c r="B28" s="95" t="s">
        <v>47</v>
      </c>
      <c r="F28" s="112"/>
      <c r="G28" s="112"/>
      <c r="H28" s="110"/>
      <c r="I28" s="111">
        <f>H28*F$114</f>
        <v>0</v>
      </c>
      <c r="J28" s="110"/>
      <c r="K28" s="109">
        <f t="shared" si="0"/>
        <v>0</v>
      </c>
    </row>
    <row r="29" spans="1:11" ht="18" customHeight="1">
      <c r="A29" s="104" t="s">
        <v>83</v>
      </c>
      <c r="B29" s="95" t="s">
        <v>48</v>
      </c>
      <c r="F29" s="112">
        <v>2108</v>
      </c>
      <c r="G29" s="112">
        <v>200</v>
      </c>
      <c r="H29" s="110">
        <v>46913</v>
      </c>
      <c r="I29" s="111">
        <v>28284</v>
      </c>
      <c r="J29" s="110"/>
      <c r="K29" s="109">
        <f t="shared" si="0"/>
        <v>75197</v>
      </c>
    </row>
    <row r="30" spans="1:11" ht="18" customHeight="1">
      <c r="A30" s="104" t="s">
        <v>84</v>
      </c>
      <c r="B30" s="618"/>
      <c r="C30" s="619"/>
      <c r="D30" s="620"/>
      <c r="F30" s="112"/>
      <c r="G30" s="112"/>
      <c r="H30" s="110"/>
      <c r="I30" s="111">
        <f>H30*F$114</f>
        <v>0</v>
      </c>
      <c r="J30" s="110"/>
      <c r="K30" s="109">
        <f t="shared" si="0"/>
        <v>0</v>
      </c>
    </row>
    <row r="31" spans="1:11" ht="18" customHeight="1">
      <c r="A31" s="104" t="s">
        <v>133</v>
      </c>
      <c r="B31" s="618"/>
      <c r="C31" s="619"/>
      <c r="D31" s="620"/>
      <c r="F31" s="112"/>
      <c r="G31" s="112"/>
      <c r="H31" s="110"/>
      <c r="I31" s="111">
        <f>H31*F$114</f>
        <v>0</v>
      </c>
      <c r="J31" s="110"/>
      <c r="K31" s="109">
        <f t="shared" si="0"/>
        <v>0</v>
      </c>
    </row>
    <row r="32" spans="1:11" ht="18" customHeight="1">
      <c r="A32" s="104" t="s">
        <v>134</v>
      </c>
      <c r="B32" s="157"/>
      <c r="C32" s="145"/>
      <c r="D32" s="144"/>
      <c r="F32" s="112"/>
      <c r="G32" s="156" t="s">
        <v>85</v>
      </c>
      <c r="H32" s="110"/>
      <c r="I32" s="111">
        <f>H32*F$114</f>
        <v>0</v>
      </c>
      <c r="J32" s="110"/>
      <c r="K32" s="109">
        <f t="shared" si="0"/>
        <v>0</v>
      </c>
    </row>
    <row r="33" spans="1:11" ht="18" customHeight="1">
      <c r="A33" s="104" t="s">
        <v>135</v>
      </c>
      <c r="B33" s="157"/>
      <c r="C33" s="145"/>
      <c r="D33" s="144"/>
      <c r="F33" s="112"/>
      <c r="G33" s="156" t="s">
        <v>85</v>
      </c>
      <c r="H33" s="110"/>
      <c r="I33" s="111">
        <f>H33*F$114</f>
        <v>0</v>
      </c>
      <c r="J33" s="110"/>
      <c r="K33" s="109">
        <f t="shared" si="0"/>
        <v>0</v>
      </c>
    </row>
    <row r="34" spans="1:11" ht="18" customHeight="1">
      <c r="A34" s="104" t="s">
        <v>136</v>
      </c>
      <c r="B34" s="618"/>
      <c r="C34" s="619"/>
      <c r="D34" s="620"/>
      <c r="F34" s="112"/>
      <c r="G34" s="156" t="s">
        <v>85</v>
      </c>
      <c r="H34" s="110"/>
      <c r="I34" s="111">
        <f>H34*F$114</f>
        <v>0</v>
      </c>
      <c r="J34" s="110"/>
      <c r="K34" s="109">
        <f t="shared" si="0"/>
        <v>0</v>
      </c>
    </row>
    <row r="35" spans="1:11" ht="18" customHeight="1">
      <c r="K35" s="155"/>
    </row>
    <row r="36" spans="1:11" ht="18" customHeight="1">
      <c r="A36" s="99" t="s">
        <v>137</v>
      </c>
      <c r="B36" s="97" t="s">
        <v>138</v>
      </c>
      <c r="E36" s="97" t="s">
        <v>7</v>
      </c>
      <c r="F36" s="102">
        <f t="shared" ref="F36:K36" si="1">SUM(F21:F34)</f>
        <v>9964.5</v>
      </c>
      <c r="G36" s="102">
        <f t="shared" si="1"/>
        <v>18797</v>
      </c>
      <c r="H36" s="102">
        <f t="shared" si="1"/>
        <v>373206</v>
      </c>
      <c r="I36" s="109">
        <f t="shared" si="1"/>
        <v>158079</v>
      </c>
      <c r="J36" s="109">
        <f t="shared" si="1"/>
        <v>52844</v>
      </c>
      <c r="K36" s="109">
        <f t="shared" si="1"/>
        <v>478441</v>
      </c>
    </row>
    <row r="37" spans="1:11" ht="18" customHeight="1" thickBot="1">
      <c r="B37" s="97"/>
      <c r="F37" s="154"/>
      <c r="G37" s="154"/>
      <c r="H37" s="153"/>
      <c r="I37" s="153"/>
      <c r="J37" s="153"/>
      <c r="K37" s="152"/>
    </row>
    <row r="38" spans="1:11" ht="42.75" customHeight="1">
      <c r="F38" s="108" t="s">
        <v>9</v>
      </c>
      <c r="G38" s="108" t="s">
        <v>37</v>
      </c>
      <c r="H38" s="108" t="s">
        <v>29</v>
      </c>
      <c r="I38" s="108" t="s">
        <v>30</v>
      </c>
      <c r="J38" s="108" t="s">
        <v>33</v>
      </c>
      <c r="K38" s="108" t="s">
        <v>34</v>
      </c>
    </row>
    <row r="39" spans="1:11" ht="18.75" customHeight="1">
      <c r="A39" s="99" t="s">
        <v>86</v>
      </c>
      <c r="B39" s="97" t="s">
        <v>49</v>
      </c>
    </row>
    <row r="40" spans="1:11" ht="18" customHeight="1">
      <c r="A40" s="104" t="s">
        <v>87</v>
      </c>
      <c r="B40" s="95" t="s">
        <v>31</v>
      </c>
      <c r="F40" s="112"/>
      <c r="G40" s="112"/>
      <c r="H40" s="110">
        <v>33750</v>
      </c>
      <c r="I40" s="111">
        <v>0</v>
      </c>
      <c r="J40" s="110"/>
      <c r="K40" s="109">
        <f t="shared" ref="K40:K47" si="2">(H40+I40)-J40</f>
        <v>33750</v>
      </c>
    </row>
    <row r="41" spans="1:11" ht="18" customHeight="1">
      <c r="A41" s="104" t="s">
        <v>88</v>
      </c>
      <c r="B41" s="598" t="s">
        <v>50</v>
      </c>
      <c r="C41" s="599"/>
      <c r="F41" s="112">
        <v>15.1</v>
      </c>
      <c r="G41" s="112">
        <v>6</v>
      </c>
      <c r="H41" s="110">
        <v>128291</v>
      </c>
      <c r="I41" s="111">
        <v>820</v>
      </c>
      <c r="J41" s="110">
        <v>792</v>
      </c>
      <c r="K41" s="109">
        <f t="shared" si="2"/>
        <v>128319</v>
      </c>
    </row>
    <row r="42" spans="1:11" ht="18" customHeight="1">
      <c r="A42" s="104" t="s">
        <v>89</v>
      </c>
      <c r="B42" s="114" t="s">
        <v>11</v>
      </c>
      <c r="F42" s="112">
        <v>676.4</v>
      </c>
      <c r="G42" s="112">
        <v>735</v>
      </c>
      <c r="H42" s="110">
        <v>44397</v>
      </c>
      <c r="I42" s="111">
        <v>27920</v>
      </c>
      <c r="J42" s="110">
        <v>5568</v>
      </c>
      <c r="K42" s="109">
        <f t="shared" si="2"/>
        <v>66749</v>
      </c>
    </row>
    <row r="43" spans="1:11" ht="18" customHeight="1">
      <c r="A43" s="104" t="s">
        <v>90</v>
      </c>
      <c r="B43" s="151" t="s">
        <v>10</v>
      </c>
      <c r="C43" s="117"/>
      <c r="D43" s="117"/>
      <c r="F43" s="112"/>
      <c r="G43" s="112"/>
      <c r="H43" s="110"/>
      <c r="I43" s="111">
        <v>0</v>
      </c>
      <c r="J43" s="110"/>
      <c r="K43" s="109">
        <f t="shared" si="2"/>
        <v>0</v>
      </c>
    </row>
    <row r="44" spans="1:11" ht="18" customHeight="1">
      <c r="A44" s="104" t="s">
        <v>91</v>
      </c>
      <c r="B44" s="618"/>
      <c r="C44" s="619"/>
      <c r="D44" s="620"/>
      <c r="F44" s="149"/>
      <c r="G44" s="149"/>
      <c r="H44" s="149"/>
      <c r="I44" s="150">
        <v>0</v>
      </c>
      <c r="J44" s="149"/>
      <c r="K44" s="148">
        <f t="shared" si="2"/>
        <v>0</v>
      </c>
    </row>
    <row r="45" spans="1:11" ht="18" customHeight="1">
      <c r="A45" s="104" t="s">
        <v>139</v>
      </c>
      <c r="B45" s="618"/>
      <c r="C45" s="619"/>
      <c r="D45" s="620"/>
      <c r="F45" s="112"/>
      <c r="G45" s="112"/>
      <c r="H45" s="110"/>
      <c r="I45" s="111">
        <v>0</v>
      </c>
      <c r="J45" s="110"/>
      <c r="K45" s="109">
        <f t="shared" si="2"/>
        <v>0</v>
      </c>
    </row>
    <row r="46" spans="1:11" ht="18" customHeight="1">
      <c r="A46" s="104" t="s">
        <v>140</v>
      </c>
      <c r="B46" s="618"/>
      <c r="C46" s="619"/>
      <c r="D46" s="620"/>
      <c r="F46" s="112"/>
      <c r="G46" s="112"/>
      <c r="H46" s="110"/>
      <c r="I46" s="111">
        <v>0</v>
      </c>
      <c r="J46" s="110"/>
      <c r="K46" s="109">
        <f t="shared" si="2"/>
        <v>0</v>
      </c>
    </row>
    <row r="47" spans="1:11" ht="18" customHeight="1">
      <c r="A47" s="104" t="s">
        <v>141</v>
      </c>
      <c r="B47" s="618"/>
      <c r="C47" s="619"/>
      <c r="D47" s="620"/>
      <c r="F47" s="112"/>
      <c r="G47" s="112"/>
      <c r="H47" s="110"/>
      <c r="I47" s="111">
        <v>0</v>
      </c>
      <c r="J47" s="110"/>
      <c r="K47" s="109">
        <f t="shared" si="2"/>
        <v>0</v>
      </c>
    </row>
    <row r="49" spans="1:11" ht="18" customHeight="1">
      <c r="A49" s="99" t="s">
        <v>142</v>
      </c>
      <c r="B49" s="97" t="s">
        <v>143</v>
      </c>
      <c r="E49" s="97" t="s">
        <v>7</v>
      </c>
      <c r="F49" s="147">
        <f t="shared" ref="F49:K49" si="3">SUM(F40:F47)</f>
        <v>691.5</v>
      </c>
      <c r="G49" s="147">
        <f t="shared" si="3"/>
        <v>741</v>
      </c>
      <c r="H49" s="109">
        <f t="shared" si="3"/>
        <v>206438</v>
      </c>
      <c r="I49" s="109">
        <f t="shared" si="3"/>
        <v>28740</v>
      </c>
      <c r="J49" s="109">
        <f t="shared" si="3"/>
        <v>6360</v>
      </c>
      <c r="K49" s="109">
        <f t="shared" si="3"/>
        <v>228818</v>
      </c>
    </row>
    <row r="50" spans="1:11" ht="18" customHeight="1" thickBot="1">
      <c r="G50" s="118"/>
      <c r="H50" s="118"/>
      <c r="I50" s="118"/>
      <c r="J50" s="118"/>
      <c r="K50" s="118"/>
    </row>
    <row r="51" spans="1:11" ht="42.75" customHeight="1">
      <c r="F51" s="108" t="s">
        <v>9</v>
      </c>
      <c r="G51" s="108" t="s">
        <v>37</v>
      </c>
      <c r="H51" s="108" t="s">
        <v>29</v>
      </c>
      <c r="I51" s="108" t="s">
        <v>30</v>
      </c>
      <c r="J51" s="108" t="s">
        <v>33</v>
      </c>
      <c r="K51" s="108" t="s">
        <v>34</v>
      </c>
    </row>
    <row r="52" spans="1:11" ht="18" customHeight="1">
      <c r="A52" s="99" t="s">
        <v>92</v>
      </c>
      <c r="B52" s="621" t="s">
        <v>38</v>
      </c>
      <c r="C52" s="622"/>
    </row>
    <row r="53" spans="1:11" ht="18" customHeight="1">
      <c r="A53" s="104" t="s">
        <v>51</v>
      </c>
      <c r="B53" s="623" t="s">
        <v>307</v>
      </c>
      <c r="C53" s="624"/>
      <c r="D53" s="625"/>
      <c r="F53" s="112"/>
      <c r="G53" s="112"/>
      <c r="H53" s="110">
        <v>2054247</v>
      </c>
      <c r="I53" s="111">
        <v>0</v>
      </c>
      <c r="J53" s="110"/>
      <c r="K53" s="109">
        <f t="shared" ref="K53:K62" si="4">(H53+I53)-J53</f>
        <v>2054247</v>
      </c>
    </row>
    <row r="54" spans="1:11" ht="18" customHeight="1">
      <c r="A54" s="104" t="s">
        <v>93</v>
      </c>
      <c r="B54" s="139" t="s">
        <v>306</v>
      </c>
      <c r="C54" s="138"/>
      <c r="D54" s="137"/>
      <c r="F54" s="112">
        <v>2269</v>
      </c>
      <c r="G54" s="112"/>
      <c r="H54" s="110">
        <v>4811963</v>
      </c>
      <c r="I54" s="111">
        <v>0</v>
      </c>
      <c r="J54" s="110">
        <v>3617174</v>
      </c>
      <c r="K54" s="109">
        <f t="shared" si="4"/>
        <v>1194789</v>
      </c>
    </row>
    <row r="55" spans="1:11" ht="18" customHeight="1">
      <c r="A55" s="104" t="s">
        <v>94</v>
      </c>
      <c r="B55" s="626"/>
      <c r="C55" s="627"/>
      <c r="D55" s="625"/>
      <c r="F55" s="112"/>
      <c r="G55" s="112"/>
      <c r="H55" s="110"/>
      <c r="I55" s="111">
        <v>0</v>
      </c>
      <c r="J55" s="110"/>
      <c r="K55" s="109">
        <f t="shared" si="4"/>
        <v>0</v>
      </c>
    </row>
    <row r="56" spans="1:11" ht="18" customHeight="1">
      <c r="A56" s="104" t="s">
        <v>95</v>
      </c>
      <c r="B56" s="626"/>
      <c r="C56" s="627"/>
      <c r="D56" s="625"/>
      <c r="F56" s="112" t="s">
        <v>740</v>
      </c>
      <c r="G56" s="112"/>
      <c r="H56" s="110"/>
      <c r="I56" s="111">
        <v>0</v>
      </c>
      <c r="J56" s="110"/>
      <c r="K56" s="109">
        <f t="shared" si="4"/>
        <v>0</v>
      </c>
    </row>
    <row r="57" spans="1:11" ht="18" customHeight="1">
      <c r="A57" s="104" t="s">
        <v>96</v>
      </c>
      <c r="B57" s="626"/>
      <c r="C57" s="627"/>
      <c r="D57" s="625"/>
      <c r="F57" s="112"/>
      <c r="G57" s="112"/>
      <c r="H57" s="110"/>
      <c r="I57" s="111">
        <v>0</v>
      </c>
      <c r="J57" s="110"/>
      <c r="K57" s="109">
        <f t="shared" si="4"/>
        <v>0</v>
      </c>
    </row>
    <row r="58" spans="1:11" ht="18" customHeight="1">
      <c r="A58" s="104" t="s">
        <v>97</v>
      </c>
      <c r="B58" s="139"/>
      <c r="C58" s="138"/>
      <c r="D58" s="137"/>
      <c r="F58" s="112"/>
      <c r="G58" s="112"/>
      <c r="H58" s="110"/>
      <c r="I58" s="111">
        <v>0</v>
      </c>
      <c r="J58" s="110"/>
      <c r="K58" s="109">
        <f t="shared" si="4"/>
        <v>0</v>
      </c>
    </row>
    <row r="59" spans="1:11" ht="18" customHeight="1">
      <c r="A59" s="104" t="s">
        <v>98</v>
      </c>
      <c r="B59" s="626"/>
      <c r="C59" s="627"/>
      <c r="D59" s="625"/>
      <c r="F59" s="112"/>
      <c r="G59" s="112"/>
      <c r="H59" s="110"/>
      <c r="I59" s="111">
        <v>0</v>
      </c>
      <c r="J59" s="110"/>
      <c r="K59" s="109">
        <f t="shared" si="4"/>
        <v>0</v>
      </c>
    </row>
    <row r="60" spans="1:11" ht="18" customHeight="1">
      <c r="A60" s="104" t="s">
        <v>99</v>
      </c>
      <c r="B60" s="139"/>
      <c r="C60" s="138"/>
      <c r="D60" s="137"/>
      <c r="F60" s="112"/>
      <c r="G60" s="112"/>
      <c r="H60" s="110"/>
      <c r="I60" s="111">
        <v>0</v>
      </c>
      <c r="J60" s="110"/>
      <c r="K60" s="109">
        <f t="shared" si="4"/>
        <v>0</v>
      </c>
    </row>
    <row r="61" spans="1:11" ht="18" customHeight="1">
      <c r="A61" s="104" t="s">
        <v>100</v>
      </c>
      <c r="B61" s="139"/>
      <c r="C61" s="138"/>
      <c r="D61" s="137"/>
      <c r="F61" s="112"/>
      <c r="G61" s="112"/>
      <c r="H61" s="110"/>
      <c r="I61" s="111">
        <v>0</v>
      </c>
      <c r="J61" s="110"/>
      <c r="K61" s="109">
        <f t="shared" si="4"/>
        <v>0</v>
      </c>
    </row>
    <row r="62" spans="1:11" ht="18" customHeight="1">
      <c r="A62" s="104" t="s">
        <v>101</v>
      </c>
      <c r="B62" s="626"/>
      <c r="C62" s="627"/>
      <c r="D62" s="625"/>
      <c r="F62" s="112"/>
      <c r="G62" s="112"/>
      <c r="H62" s="110"/>
      <c r="I62" s="111">
        <v>0</v>
      </c>
      <c r="J62" s="110"/>
      <c r="K62" s="109">
        <f t="shared" si="4"/>
        <v>0</v>
      </c>
    </row>
    <row r="63" spans="1:11" ht="18" customHeight="1">
      <c r="A63" s="104"/>
      <c r="I63" s="143"/>
    </row>
    <row r="64" spans="1:11" ht="18" customHeight="1">
      <c r="A64" s="104" t="s">
        <v>144</v>
      </c>
      <c r="B64" s="97" t="s">
        <v>145</v>
      </c>
      <c r="E64" s="97" t="s">
        <v>7</v>
      </c>
      <c r="F64" s="102">
        <f t="shared" ref="F64:K64" si="5">SUM(F53:F62)</f>
        <v>2269</v>
      </c>
      <c r="G64" s="102">
        <f t="shared" si="5"/>
        <v>0</v>
      </c>
      <c r="H64" s="109">
        <f t="shared" si="5"/>
        <v>6866210</v>
      </c>
      <c r="I64" s="109">
        <f t="shared" si="5"/>
        <v>0</v>
      </c>
      <c r="J64" s="109">
        <f t="shared" si="5"/>
        <v>3617174</v>
      </c>
      <c r="K64" s="109">
        <f t="shared" si="5"/>
        <v>3249036</v>
      </c>
    </row>
    <row r="65" spans="1:11" ht="18" customHeight="1">
      <c r="F65" s="101"/>
      <c r="G65" s="101"/>
      <c r="H65" s="101"/>
      <c r="I65" s="101"/>
      <c r="J65" s="101"/>
      <c r="K65" s="101"/>
    </row>
    <row r="66" spans="1:11" ht="42.75" customHeight="1">
      <c r="F66" s="142" t="s">
        <v>9</v>
      </c>
      <c r="G66" s="142" t="s">
        <v>37</v>
      </c>
      <c r="H66" s="142" t="s">
        <v>29</v>
      </c>
      <c r="I66" s="142" t="s">
        <v>30</v>
      </c>
      <c r="J66" s="142" t="s">
        <v>33</v>
      </c>
      <c r="K66" s="142" t="s">
        <v>34</v>
      </c>
    </row>
    <row r="67" spans="1:11" ht="18" customHeight="1">
      <c r="A67" s="99" t="s">
        <v>102</v>
      </c>
      <c r="B67" s="97" t="s">
        <v>12</v>
      </c>
      <c r="F67" s="141"/>
      <c r="G67" s="141"/>
      <c r="H67" s="141"/>
      <c r="I67" s="130"/>
      <c r="J67" s="141"/>
      <c r="K67" s="128"/>
    </row>
    <row r="68" spans="1:11" ht="18" customHeight="1">
      <c r="A68" s="104" t="s">
        <v>103</v>
      </c>
      <c r="B68" s="95" t="s">
        <v>52</v>
      </c>
      <c r="F68" s="140"/>
      <c r="G68" s="140"/>
      <c r="H68" s="140"/>
      <c r="I68" s="111">
        <v>0</v>
      </c>
      <c r="J68" s="140"/>
      <c r="K68" s="109">
        <f>(H68+I68)-J68</f>
        <v>0</v>
      </c>
    </row>
    <row r="69" spans="1:11" ht="18" customHeight="1">
      <c r="A69" s="104" t="s">
        <v>104</v>
      </c>
      <c r="B69" s="114" t="s">
        <v>53</v>
      </c>
      <c r="F69" s="140"/>
      <c r="G69" s="140"/>
      <c r="H69" s="140"/>
      <c r="I69" s="111">
        <v>0</v>
      </c>
      <c r="J69" s="140"/>
      <c r="K69" s="109">
        <f>(H69+I69)-J69</f>
        <v>0</v>
      </c>
    </row>
    <row r="70" spans="1:11" ht="18" customHeight="1">
      <c r="A70" s="104" t="s">
        <v>178</v>
      </c>
      <c r="B70" s="139"/>
      <c r="C70" s="138"/>
      <c r="D70" s="137"/>
      <c r="E70" s="97"/>
      <c r="F70" s="136"/>
      <c r="G70" s="136"/>
      <c r="H70" s="135"/>
      <c r="I70" s="111">
        <v>0</v>
      </c>
      <c r="J70" s="135"/>
      <c r="K70" s="109">
        <f>(H70+I70)-J70</f>
        <v>0</v>
      </c>
    </row>
    <row r="71" spans="1:11" ht="18" customHeight="1">
      <c r="A71" s="104" t="s">
        <v>179</v>
      </c>
      <c r="B71" s="139"/>
      <c r="C71" s="138"/>
      <c r="D71" s="137"/>
      <c r="E71" s="97"/>
      <c r="F71" s="136"/>
      <c r="G71" s="136"/>
      <c r="H71" s="135"/>
      <c r="I71" s="111">
        <v>0</v>
      </c>
      <c r="J71" s="135"/>
      <c r="K71" s="109">
        <f>(H71+I71)-J71</f>
        <v>0</v>
      </c>
    </row>
    <row r="72" spans="1:11" ht="18" customHeight="1">
      <c r="A72" s="104" t="s">
        <v>180</v>
      </c>
      <c r="B72" s="134"/>
      <c r="C72" s="133"/>
      <c r="D72" s="132"/>
      <c r="E72" s="97"/>
      <c r="F72" s="112"/>
      <c r="G72" s="112"/>
      <c r="H72" s="110"/>
      <c r="I72" s="111">
        <v>0</v>
      </c>
      <c r="J72" s="110"/>
      <c r="K72" s="109">
        <f>(H72+I72)-J72</f>
        <v>0</v>
      </c>
    </row>
    <row r="73" spans="1:11" ht="18" customHeight="1">
      <c r="A73" s="104"/>
      <c r="B73" s="114"/>
      <c r="E73" s="97"/>
      <c r="F73" s="131"/>
      <c r="G73" s="131"/>
      <c r="H73" s="129"/>
      <c r="I73" s="130"/>
      <c r="J73" s="129"/>
      <c r="K73" s="128"/>
    </row>
    <row r="74" spans="1:11" ht="18" customHeight="1">
      <c r="A74" s="99" t="s">
        <v>146</v>
      </c>
      <c r="B74" s="97" t="s">
        <v>147</v>
      </c>
      <c r="E74" s="97" t="s">
        <v>7</v>
      </c>
      <c r="F74" s="125">
        <f t="shared" ref="F74:K74" si="6">SUM(F68:F72)</f>
        <v>0</v>
      </c>
      <c r="G74" s="125">
        <f t="shared" si="6"/>
        <v>0</v>
      </c>
      <c r="H74" s="125">
        <f t="shared" si="6"/>
        <v>0</v>
      </c>
      <c r="I74" s="127">
        <f t="shared" si="6"/>
        <v>0</v>
      </c>
      <c r="J74" s="125">
        <f t="shared" si="6"/>
        <v>0</v>
      </c>
      <c r="K74" s="113">
        <f t="shared" si="6"/>
        <v>0</v>
      </c>
    </row>
    <row r="75" spans="1:11" ht="42.75" customHeight="1">
      <c r="F75" s="108" t="s">
        <v>9</v>
      </c>
      <c r="G75" s="108" t="s">
        <v>37</v>
      </c>
      <c r="H75" s="108" t="s">
        <v>29</v>
      </c>
      <c r="I75" s="108" t="s">
        <v>30</v>
      </c>
      <c r="J75" s="108" t="s">
        <v>33</v>
      </c>
      <c r="K75" s="108" t="s">
        <v>34</v>
      </c>
    </row>
    <row r="76" spans="1:11" ht="18" customHeight="1">
      <c r="A76" s="99" t="s">
        <v>105</v>
      </c>
      <c r="B76" s="97" t="s">
        <v>106</v>
      </c>
    </row>
    <row r="77" spans="1:11" ht="18" customHeight="1">
      <c r="A77" s="104" t="s">
        <v>107</v>
      </c>
      <c r="B77" s="114" t="s">
        <v>54</v>
      </c>
      <c r="F77" s="112"/>
      <c r="G77" s="112"/>
      <c r="H77" s="110">
        <v>40917</v>
      </c>
      <c r="I77" s="111">
        <v>0</v>
      </c>
      <c r="J77" s="110"/>
      <c r="K77" s="109">
        <f>(H77+I77)-J77</f>
        <v>40917</v>
      </c>
    </row>
    <row r="78" spans="1:11" ht="18" customHeight="1">
      <c r="A78" s="104" t="s">
        <v>108</v>
      </c>
      <c r="B78" s="114" t="s">
        <v>55</v>
      </c>
      <c r="F78" s="112"/>
      <c r="G78" s="112"/>
      <c r="H78" s="110"/>
      <c r="I78" s="111">
        <v>0</v>
      </c>
      <c r="J78" s="110"/>
      <c r="K78" s="109">
        <f>(H78+I78)-J78</f>
        <v>0</v>
      </c>
    </row>
    <row r="79" spans="1:11" ht="18" customHeight="1">
      <c r="A79" s="104" t="s">
        <v>109</v>
      </c>
      <c r="B79" s="114" t="s">
        <v>13</v>
      </c>
      <c r="F79" s="112">
        <v>1073.9000000000001</v>
      </c>
      <c r="G79" s="112">
        <v>340</v>
      </c>
      <c r="H79" s="110">
        <v>153635</v>
      </c>
      <c r="I79" s="111">
        <v>771</v>
      </c>
      <c r="J79" s="110"/>
      <c r="K79" s="109">
        <f>(H79+I79)-J79</f>
        <v>154406</v>
      </c>
    </row>
    <row r="80" spans="1:11" ht="18" customHeight="1">
      <c r="A80" s="104" t="s">
        <v>110</v>
      </c>
      <c r="B80" s="114" t="s">
        <v>56</v>
      </c>
      <c r="F80" s="112"/>
      <c r="G80" s="112"/>
      <c r="H80" s="110"/>
      <c r="I80" s="111">
        <v>0</v>
      </c>
      <c r="J80" s="110"/>
      <c r="K80" s="109">
        <f>(H80+I80)-J80</f>
        <v>0</v>
      </c>
    </row>
    <row r="81" spans="1:11" ht="18" customHeight="1">
      <c r="A81" s="104"/>
      <c r="K81" s="126"/>
    </row>
    <row r="82" spans="1:11" ht="18" customHeight="1">
      <c r="A82" s="104" t="s">
        <v>148</v>
      </c>
      <c r="B82" s="97" t="s">
        <v>149</v>
      </c>
      <c r="E82" s="97" t="s">
        <v>7</v>
      </c>
      <c r="F82" s="125">
        <f t="shared" ref="F82:K82" si="7">SUM(F77:F80)</f>
        <v>1073.9000000000001</v>
      </c>
      <c r="G82" s="125">
        <f t="shared" si="7"/>
        <v>340</v>
      </c>
      <c r="H82" s="113">
        <f t="shared" si="7"/>
        <v>194552</v>
      </c>
      <c r="I82" s="113">
        <f t="shared" si="7"/>
        <v>771</v>
      </c>
      <c r="J82" s="113">
        <f t="shared" si="7"/>
        <v>0</v>
      </c>
      <c r="K82" s="113">
        <f t="shared" si="7"/>
        <v>195323</v>
      </c>
    </row>
    <row r="83" spans="1:11" ht="18" customHeight="1" thickBot="1">
      <c r="A83" s="104"/>
      <c r="F83" s="118"/>
      <c r="G83" s="118"/>
      <c r="H83" s="118"/>
      <c r="I83" s="118"/>
      <c r="J83" s="118"/>
      <c r="K83" s="118"/>
    </row>
    <row r="84" spans="1:11" ht="42.75" customHeight="1">
      <c r="F84" s="108" t="s">
        <v>9</v>
      </c>
      <c r="G84" s="108" t="s">
        <v>37</v>
      </c>
      <c r="H84" s="108" t="s">
        <v>29</v>
      </c>
      <c r="I84" s="108" t="s">
        <v>30</v>
      </c>
      <c r="J84" s="108" t="s">
        <v>33</v>
      </c>
      <c r="K84" s="108" t="s">
        <v>34</v>
      </c>
    </row>
    <row r="85" spans="1:11" ht="18" customHeight="1">
      <c r="A85" s="99" t="s">
        <v>111</v>
      </c>
      <c r="B85" s="97" t="s">
        <v>57</v>
      </c>
    </row>
    <row r="86" spans="1:11" ht="18" customHeight="1">
      <c r="A86" s="104" t="s">
        <v>112</v>
      </c>
      <c r="B86" s="114" t="s">
        <v>113</v>
      </c>
      <c r="F86" s="112">
        <v>3</v>
      </c>
      <c r="G86" s="112"/>
      <c r="H86" s="110">
        <v>312</v>
      </c>
      <c r="I86" s="111">
        <v>198</v>
      </c>
      <c r="J86" s="110"/>
      <c r="K86" s="109">
        <f t="shared" ref="K86:K96" si="8">(H86+I86)-J86</f>
        <v>510</v>
      </c>
    </row>
    <row r="87" spans="1:11" ht="18" customHeight="1">
      <c r="A87" s="104" t="s">
        <v>114</v>
      </c>
      <c r="B87" s="114" t="s">
        <v>14</v>
      </c>
      <c r="F87" s="112"/>
      <c r="G87" s="112"/>
      <c r="H87" s="110"/>
      <c r="I87" s="111">
        <f>H87*F$114</f>
        <v>0</v>
      </c>
      <c r="J87" s="110"/>
      <c r="K87" s="109">
        <f t="shared" si="8"/>
        <v>0</v>
      </c>
    </row>
    <row r="88" spans="1:11" ht="18" customHeight="1">
      <c r="A88" s="104" t="s">
        <v>115</v>
      </c>
      <c r="B88" s="114" t="s">
        <v>116</v>
      </c>
      <c r="F88" s="112">
        <v>8</v>
      </c>
      <c r="G88" s="112"/>
      <c r="H88" s="110">
        <v>240</v>
      </c>
      <c r="I88" s="111">
        <v>152</v>
      </c>
      <c r="J88" s="110"/>
      <c r="K88" s="109">
        <f t="shared" si="8"/>
        <v>392</v>
      </c>
    </row>
    <row r="89" spans="1:11" ht="18" customHeight="1">
      <c r="A89" s="104" t="s">
        <v>117</v>
      </c>
      <c r="B89" s="114" t="s">
        <v>58</v>
      </c>
      <c r="F89" s="112"/>
      <c r="G89" s="112"/>
      <c r="H89" s="110"/>
      <c r="I89" s="111">
        <f>H89*F$114</f>
        <v>0</v>
      </c>
      <c r="J89" s="110"/>
      <c r="K89" s="109">
        <f t="shared" si="8"/>
        <v>0</v>
      </c>
    </row>
    <row r="90" spans="1:11" ht="18" customHeight="1">
      <c r="A90" s="104" t="s">
        <v>118</v>
      </c>
      <c r="B90" s="598" t="s">
        <v>59</v>
      </c>
      <c r="C90" s="599"/>
      <c r="F90" s="112">
        <v>15.5</v>
      </c>
      <c r="G90" s="112"/>
      <c r="H90" s="110">
        <v>1537</v>
      </c>
      <c r="I90" s="111">
        <v>968</v>
      </c>
      <c r="J90" s="110"/>
      <c r="K90" s="109">
        <f t="shared" si="8"/>
        <v>2505</v>
      </c>
    </row>
    <row r="91" spans="1:11" ht="18" customHeight="1">
      <c r="A91" s="104" t="s">
        <v>119</v>
      </c>
      <c r="B91" s="114" t="s">
        <v>60</v>
      </c>
      <c r="F91" s="112">
        <v>171</v>
      </c>
      <c r="G91" s="112">
        <v>9</v>
      </c>
      <c r="H91" s="110">
        <v>17531</v>
      </c>
      <c r="I91" s="111">
        <v>11043</v>
      </c>
      <c r="J91" s="110"/>
      <c r="K91" s="109">
        <f t="shared" si="8"/>
        <v>28574</v>
      </c>
    </row>
    <row r="92" spans="1:11" ht="18" customHeight="1">
      <c r="A92" s="104" t="s">
        <v>120</v>
      </c>
      <c r="B92" s="114" t="s">
        <v>121</v>
      </c>
      <c r="F92" s="124">
        <v>380</v>
      </c>
      <c r="G92" s="124"/>
      <c r="H92" s="123">
        <v>41805</v>
      </c>
      <c r="I92" s="111">
        <v>4568</v>
      </c>
      <c r="J92" s="123"/>
      <c r="K92" s="109">
        <f t="shared" si="8"/>
        <v>46373</v>
      </c>
    </row>
    <row r="93" spans="1:11" ht="18" customHeight="1">
      <c r="A93" s="104" t="s">
        <v>122</v>
      </c>
      <c r="B93" s="114" t="s">
        <v>123</v>
      </c>
      <c r="F93" s="112">
        <v>2414.3000000000002</v>
      </c>
      <c r="G93" s="112">
        <v>611</v>
      </c>
      <c r="H93" s="110">
        <v>617325</v>
      </c>
      <c r="I93" s="111">
        <v>388004</v>
      </c>
      <c r="J93" s="110"/>
      <c r="K93" s="109">
        <f t="shared" si="8"/>
        <v>1005329</v>
      </c>
    </row>
    <row r="94" spans="1:11" ht="18" customHeight="1">
      <c r="A94" s="104" t="s">
        <v>124</v>
      </c>
      <c r="B94" s="626"/>
      <c r="C94" s="627"/>
      <c r="D94" s="625"/>
      <c r="F94" s="112"/>
      <c r="G94" s="112"/>
      <c r="H94" s="110"/>
      <c r="I94" s="111">
        <f>H94*F$114</f>
        <v>0</v>
      </c>
      <c r="J94" s="110"/>
      <c r="K94" s="109">
        <f t="shared" si="8"/>
        <v>0</v>
      </c>
    </row>
    <row r="95" spans="1:11" ht="18" customHeight="1">
      <c r="A95" s="104" t="s">
        <v>125</v>
      </c>
      <c r="B95" s="626"/>
      <c r="C95" s="627"/>
      <c r="D95" s="625"/>
      <c r="F95" s="112"/>
      <c r="G95" s="112"/>
      <c r="H95" s="110"/>
      <c r="I95" s="111">
        <f>H95*F$114</f>
        <v>0</v>
      </c>
      <c r="J95" s="110"/>
      <c r="K95" s="109">
        <f t="shared" si="8"/>
        <v>0</v>
      </c>
    </row>
    <row r="96" spans="1:11" ht="18" customHeight="1">
      <c r="A96" s="104" t="s">
        <v>126</v>
      </c>
      <c r="B96" s="626"/>
      <c r="C96" s="627"/>
      <c r="D96" s="625"/>
      <c r="F96" s="112"/>
      <c r="G96" s="112"/>
      <c r="H96" s="110"/>
      <c r="I96" s="111">
        <f>H96*F$114</f>
        <v>0</v>
      </c>
      <c r="J96" s="110"/>
      <c r="K96" s="109">
        <f t="shared" si="8"/>
        <v>0</v>
      </c>
    </row>
    <row r="97" spans="1:11" ht="18" customHeight="1">
      <c r="A97" s="104"/>
      <c r="B97" s="114"/>
    </row>
    <row r="98" spans="1:11" ht="18" customHeight="1">
      <c r="A98" s="99" t="s">
        <v>150</v>
      </c>
      <c r="B98" s="97" t="s">
        <v>151</v>
      </c>
      <c r="E98" s="97" t="s">
        <v>7</v>
      </c>
      <c r="F98" s="102">
        <f t="shared" ref="F98:K98" si="9">SUM(F86:F96)</f>
        <v>2991.8</v>
      </c>
      <c r="G98" s="102">
        <f t="shared" si="9"/>
        <v>620</v>
      </c>
      <c r="H98" s="102">
        <f t="shared" si="9"/>
        <v>678750</v>
      </c>
      <c r="I98" s="102">
        <f t="shared" si="9"/>
        <v>404933</v>
      </c>
      <c r="J98" s="102">
        <f t="shared" si="9"/>
        <v>0</v>
      </c>
      <c r="K98" s="102">
        <f t="shared" si="9"/>
        <v>1083683</v>
      </c>
    </row>
    <row r="99" spans="1:11" ht="18" customHeight="1" thickBot="1">
      <c r="B99" s="97"/>
      <c r="F99" s="118"/>
      <c r="G99" s="118"/>
      <c r="H99" s="118"/>
      <c r="I99" s="118"/>
      <c r="J99" s="118"/>
      <c r="K99" s="118"/>
    </row>
    <row r="100" spans="1:11" ht="42.75" customHeight="1">
      <c r="F100" s="108" t="s">
        <v>9</v>
      </c>
      <c r="G100" s="108" t="s">
        <v>37</v>
      </c>
      <c r="H100" s="108" t="s">
        <v>29</v>
      </c>
      <c r="I100" s="108" t="s">
        <v>30</v>
      </c>
      <c r="J100" s="108" t="s">
        <v>33</v>
      </c>
      <c r="K100" s="108" t="s">
        <v>34</v>
      </c>
    </row>
    <row r="101" spans="1:11" ht="18" customHeight="1">
      <c r="A101" s="99" t="s">
        <v>130</v>
      </c>
      <c r="B101" s="97" t="s">
        <v>63</v>
      </c>
    </row>
    <row r="102" spans="1:11" ht="18" customHeight="1">
      <c r="A102" s="104" t="s">
        <v>131</v>
      </c>
      <c r="B102" s="114" t="s">
        <v>152</v>
      </c>
      <c r="F102" s="112"/>
      <c r="G102" s="112"/>
      <c r="H102" s="110">
        <v>136005</v>
      </c>
      <c r="I102" s="111">
        <v>39326</v>
      </c>
      <c r="J102" s="110"/>
      <c r="K102" s="109">
        <f>(H102+I102)-J102</f>
        <v>175331</v>
      </c>
    </row>
    <row r="103" spans="1:11" ht="18" customHeight="1">
      <c r="A103" s="104" t="s">
        <v>132</v>
      </c>
      <c r="B103" s="598" t="s">
        <v>62</v>
      </c>
      <c r="C103" s="598"/>
      <c r="F103" s="112">
        <v>2160</v>
      </c>
      <c r="G103" s="112"/>
      <c r="H103" s="110">
        <v>89117</v>
      </c>
      <c r="I103" s="111">
        <v>56144</v>
      </c>
      <c r="J103" s="110"/>
      <c r="K103" s="109">
        <f>(H103+I103)-J103</f>
        <v>145261</v>
      </c>
    </row>
    <row r="104" spans="1:11" ht="18" customHeight="1">
      <c r="A104" s="104" t="s">
        <v>128</v>
      </c>
      <c r="B104" s="626" t="s">
        <v>305</v>
      </c>
      <c r="C104" s="627"/>
      <c r="D104" s="625"/>
      <c r="F104" s="112"/>
      <c r="G104" s="112"/>
      <c r="H104" s="110">
        <v>45825</v>
      </c>
      <c r="I104" s="111">
        <v>567</v>
      </c>
      <c r="J104" s="110"/>
      <c r="K104" s="109">
        <f>(H104+I104)-J104</f>
        <v>46392</v>
      </c>
    </row>
    <row r="105" spans="1:11" ht="18" customHeight="1">
      <c r="A105" s="104" t="s">
        <v>127</v>
      </c>
      <c r="B105" s="626"/>
      <c r="C105" s="627"/>
      <c r="D105" s="625"/>
      <c r="F105" s="112"/>
      <c r="G105" s="112"/>
      <c r="H105" s="110"/>
      <c r="I105" s="111">
        <f>H105*F$114</f>
        <v>0</v>
      </c>
      <c r="J105" s="110"/>
      <c r="K105" s="109">
        <f>(H105+I105)-J105</f>
        <v>0</v>
      </c>
    </row>
    <row r="106" spans="1:11" ht="18" customHeight="1">
      <c r="A106" s="104" t="s">
        <v>129</v>
      </c>
      <c r="B106" s="626"/>
      <c r="C106" s="627"/>
      <c r="D106" s="625"/>
      <c r="F106" s="112"/>
      <c r="G106" s="112"/>
      <c r="H106" s="110"/>
      <c r="I106" s="111">
        <f>H106*F$114</f>
        <v>0</v>
      </c>
      <c r="J106" s="110"/>
      <c r="K106" s="109">
        <f>(H106+I106)-J106</f>
        <v>0</v>
      </c>
    </row>
    <row r="107" spans="1:11" ht="18" customHeight="1">
      <c r="B107" s="97"/>
    </row>
    <row r="108" spans="1:11" s="117" customFormat="1" ht="18" customHeight="1">
      <c r="A108" s="99" t="s">
        <v>153</v>
      </c>
      <c r="B108" s="122" t="s">
        <v>154</v>
      </c>
      <c r="C108" s="95"/>
      <c r="D108" s="95"/>
      <c r="E108" s="97" t="s">
        <v>7</v>
      </c>
      <c r="F108" s="102">
        <f t="shared" ref="F108:K108" si="10">SUM(F102:F106)</f>
        <v>2160</v>
      </c>
      <c r="G108" s="102">
        <f t="shared" si="10"/>
        <v>0</v>
      </c>
      <c r="H108" s="109">
        <f t="shared" si="10"/>
        <v>270947</v>
      </c>
      <c r="I108" s="109">
        <f t="shared" si="10"/>
        <v>96037</v>
      </c>
      <c r="J108" s="109">
        <f t="shared" si="10"/>
        <v>0</v>
      </c>
      <c r="K108" s="109">
        <f t="shared" si="10"/>
        <v>366984</v>
      </c>
    </row>
    <row r="109" spans="1:11" s="117" customFormat="1" ht="18" customHeight="1" thickBot="1">
      <c r="A109" s="121"/>
      <c r="B109" s="120"/>
      <c r="C109" s="119"/>
      <c r="D109" s="119"/>
      <c r="E109" s="119"/>
      <c r="F109" s="118"/>
      <c r="G109" s="118"/>
      <c r="H109" s="118"/>
      <c r="I109" s="118"/>
      <c r="J109" s="118"/>
      <c r="K109" s="118"/>
    </row>
    <row r="110" spans="1:11" s="117" customFormat="1" ht="18" customHeight="1">
      <c r="A110" s="99" t="s">
        <v>156</v>
      </c>
      <c r="B110" s="97" t="s">
        <v>39</v>
      </c>
      <c r="C110" s="95"/>
      <c r="D110" s="95"/>
      <c r="E110" s="95"/>
      <c r="F110" s="95"/>
      <c r="G110" s="95"/>
      <c r="H110" s="95"/>
      <c r="I110" s="95"/>
      <c r="J110" s="95"/>
      <c r="K110" s="95"/>
    </row>
    <row r="111" spans="1:11" ht="18" customHeight="1">
      <c r="A111" s="99" t="s">
        <v>155</v>
      </c>
      <c r="B111" s="97" t="s">
        <v>164</v>
      </c>
      <c r="E111" s="97" t="s">
        <v>7</v>
      </c>
      <c r="F111" s="110">
        <v>4836119</v>
      </c>
    </row>
    <row r="112" spans="1:11" ht="18" customHeight="1">
      <c r="B112" s="97"/>
      <c r="E112" s="97"/>
      <c r="F112" s="116"/>
    </row>
    <row r="113" spans="1:6" ht="18" customHeight="1">
      <c r="A113" s="99"/>
      <c r="B113" s="97" t="s">
        <v>15</v>
      </c>
    </row>
    <row r="114" spans="1:6" ht="18" customHeight="1">
      <c r="A114" s="104" t="s">
        <v>171</v>
      </c>
      <c r="B114" s="114" t="s">
        <v>35</v>
      </c>
      <c r="F114" s="115">
        <v>0.63</v>
      </c>
    </row>
    <row r="115" spans="1:6" ht="18" customHeight="1">
      <c r="A115" s="104"/>
      <c r="B115" s="97"/>
    </row>
    <row r="116" spans="1:6" ht="18" customHeight="1">
      <c r="A116" s="104" t="s">
        <v>170</v>
      </c>
      <c r="B116" s="97" t="s">
        <v>16</v>
      </c>
    </row>
    <row r="117" spans="1:6" ht="18" customHeight="1">
      <c r="A117" s="104" t="s">
        <v>172</v>
      </c>
      <c r="B117" s="114" t="s">
        <v>17</v>
      </c>
      <c r="F117" s="110">
        <v>125323478</v>
      </c>
    </row>
    <row r="118" spans="1:6" ht="18" customHeight="1">
      <c r="A118" s="104" t="s">
        <v>173</v>
      </c>
      <c r="B118" s="95" t="s">
        <v>18</v>
      </c>
      <c r="F118" s="110">
        <v>5958967</v>
      </c>
    </row>
    <row r="119" spans="1:6" ht="18" customHeight="1">
      <c r="A119" s="104" t="s">
        <v>174</v>
      </c>
      <c r="B119" s="97" t="s">
        <v>19</v>
      </c>
      <c r="F119" s="113">
        <f>SUM(F117:F118)</f>
        <v>131282445</v>
      </c>
    </row>
    <row r="120" spans="1:6" ht="18" customHeight="1">
      <c r="A120" s="104"/>
      <c r="B120" s="97"/>
    </row>
    <row r="121" spans="1:6" ht="18" customHeight="1">
      <c r="A121" s="104" t="s">
        <v>167</v>
      </c>
      <c r="B121" s="97" t="s">
        <v>36</v>
      </c>
      <c r="F121" s="110">
        <v>121640602</v>
      </c>
    </row>
    <row r="122" spans="1:6" ht="18" customHeight="1">
      <c r="A122" s="104"/>
    </row>
    <row r="123" spans="1:6" ht="18" customHeight="1">
      <c r="A123" s="104" t="s">
        <v>175</v>
      </c>
      <c r="B123" s="97" t="s">
        <v>20</v>
      </c>
      <c r="F123" s="110">
        <v>9641843</v>
      </c>
    </row>
    <row r="124" spans="1:6" ht="18" customHeight="1">
      <c r="A124" s="104"/>
    </row>
    <row r="125" spans="1:6" ht="18" customHeight="1">
      <c r="A125" s="104" t="s">
        <v>176</v>
      </c>
      <c r="B125" s="97" t="s">
        <v>21</v>
      </c>
      <c r="F125" s="110">
        <v>-1535</v>
      </c>
    </row>
    <row r="126" spans="1:6" ht="18" customHeight="1">
      <c r="A126" s="104"/>
    </row>
    <row r="127" spans="1:6" ht="18" customHeight="1">
      <c r="A127" s="104" t="s">
        <v>177</v>
      </c>
      <c r="B127" s="97" t="s">
        <v>22</v>
      </c>
      <c r="F127" s="110">
        <v>9640308</v>
      </c>
    </row>
    <row r="128" spans="1:6" ht="18" customHeight="1">
      <c r="A128" s="104"/>
    </row>
    <row r="129" spans="1:11" ht="42.75" customHeight="1">
      <c r="F129" s="108" t="s">
        <v>9</v>
      </c>
      <c r="G129" s="108" t="s">
        <v>37</v>
      </c>
      <c r="H129" s="108" t="s">
        <v>29</v>
      </c>
      <c r="I129" s="108" t="s">
        <v>30</v>
      </c>
      <c r="J129" s="108" t="s">
        <v>33</v>
      </c>
      <c r="K129" s="108" t="s">
        <v>34</v>
      </c>
    </row>
    <row r="130" spans="1:11" ht="18" customHeight="1">
      <c r="A130" s="99" t="s">
        <v>157</v>
      </c>
      <c r="B130" s="97" t="s">
        <v>23</v>
      </c>
    </row>
    <row r="131" spans="1:11" ht="18" customHeight="1">
      <c r="A131" s="104" t="s">
        <v>158</v>
      </c>
      <c r="B131" s="95" t="s">
        <v>24</v>
      </c>
      <c r="F131" s="112"/>
      <c r="G131" s="112"/>
      <c r="H131" s="110"/>
      <c r="I131" s="111">
        <v>0</v>
      </c>
      <c r="J131" s="110"/>
      <c r="K131" s="109">
        <f>(H131+I131)-J131</f>
        <v>0</v>
      </c>
    </row>
    <row r="132" spans="1:11" ht="18" customHeight="1">
      <c r="A132" s="104" t="s">
        <v>159</v>
      </c>
      <c r="B132" s="95" t="s">
        <v>25</v>
      </c>
      <c r="F132" s="112"/>
      <c r="G132" s="112"/>
      <c r="H132" s="110"/>
      <c r="I132" s="111">
        <v>0</v>
      </c>
      <c r="J132" s="110"/>
      <c r="K132" s="109">
        <f>(H132+I132)-J132</f>
        <v>0</v>
      </c>
    </row>
    <row r="133" spans="1:11" ht="18" customHeight="1">
      <c r="A133" s="104" t="s">
        <v>160</v>
      </c>
      <c r="B133" s="618"/>
      <c r="C133" s="619"/>
      <c r="D133" s="620"/>
      <c r="F133" s="112"/>
      <c r="G133" s="112"/>
      <c r="H133" s="110"/>
      <c r="I133" s="111">
        <v>0</v>
      </c>
      <c r="J133" s="110"/>
      <c r="K133" s="109">
        <f>(H133+I133)-J133</f>
        <v>0</v>
      </c>
    </row>
    <row r="134" spans="1:11" ht="18" customHeight="1">
      <c r="A134" s="104" t="s">
        <v>161</v>
      </c>
      <c r="B134" s="618"/>
      <c r="C134" s="619"/>
      <c r="D134" s="620"/>
      <c r="F134" s="112"/>
      <c r="G134" s="112"/>
      <c r="H134" s="110"/>
      <c r="I134" s="111">
        <v>0</v>
      </c>
      <c r="J134" s="110"/>
      <c r="K134" s="109">
        <f>(H134+I134)-J134</f>
        <v>0</v>
      </c>
    </row>
    <row r="135" spans="1:11" ht="18" customHeight="1">
      <c r="A135" s="104" t="s">
        <v>162</v>
      </c>
      <c r="B135" s="618"/>
      <c r="C135" s="619"/>
      <c r="D135" s="620"/>
      <c r="F135" s="112"/>
      <c r="G135" s="112"/>
      <c r="H135" s="110"/>
      <c r="I135" s="111">
        <v>0</v>
      </c>
      <c r="J135" s="110"/>
      <c r="K135" s="109">
        <f>(H135+I135)-J135</f>
        <v>0</v>
      </c>
    </row>
    <row r="136" spans="1:11" ht="18" customHeight="1">
      <c r="A136" s="99"/>
    </row>
    <row r="137" spans="1:11" ht="18" customHeight="1">
      <c r="A137" s="99" t="s">
        <v>163</v>
      </c>
      <c r="B137" s="97" t="s">
        <v>27</v>
      </c>
      <c r="F137" s="102">
        <f t="shared" ref="F137:K137" si="11">SUM(F131:F135)</f>
        <v>0</v>
      </c>
      <c r="G137" s="102">
        <f t="shared" si="11"/>
        <v>0</v>
      </c>
      <c r="H137" s="109">
        <f t="shared" si="11"/>
        <v>0</v>
      </c>
      <c r="I137" s="109">
        <f t="shared" si="11"/>
        <v>0</v>
      </c>
      <c r="J137" s="109">
        <f t="shared" si="11"/>
        <v>0</v>
      </c>
      <c r="K137" s="109">
        <f t="shared" si="11"/>
        <v>0</v>
      </c>
    </row>
    <row r="138" spans="1:11" ht="18" customHeight="1">
      <c r="A138" s="95"/>
    </row>
    <row r="139" spans="1:11" ht="42.75" customHeight="1">
      <c r="F139" s="108" t="s">
        <v>9</v>
      </c>
      <c r="G139" s="108" t="s">
        <v>37</v>
      </c>
      <c r="H139" s="108" t="s">
        <v>29</v>
      </c>
      <c r="I139" s="108" t="s">
        <v>30</v>
      </c>
      <c r="J139" s="108" t="s">
        <v>33</v>
      </c>
      <c r="K139" s="108" t="s">
        <v>34</v>
      </c>
    </row>
    <row r="140" spans="1:11" ht="18" customHeight="1">
      <c r="A140" s="99" t="s">
        <v>166</v>
      </c>
      <c r="B140" s="97" t="s">
        <v>26</v>
      </c>
    </row>
    <row r="141" spans="1:11" ht="18" customHeight="1">
      <c r="A141" s="104" t="s">
        <v>137</v>
      </c>
      <c r="B141" s="97" t="s">
        <v>64</v>
      </c>
      <c r="F141" s="107">
        <f t="shared" ref="F141:K141" si="12">F36</f>
        <v>9964.5</v>
      </c>
      <c r="G141" s="107">
        <f t="shared" si="12"/>
        <v>18797</v>
      </c>
      <c r="H141" s="107">
        <f t="shared" si="12"/>
        <v>373206</v>
      </c>
      <c r="I141" s="107">
        <f t="shared" si="12"/>
        <v>158079</v>
      </c>
      <c r="J141" s="107">
        <f t="shared" si="12"/>
        <v>52844</v>
      </c>
      <c r="K141" s="107">
        <f t="shared" si="12"/>
        <v>478441</v>
      </c>
    </row>
    <row r="142" spans="1:11" ht="18" customHeight="1">
      <c r="A142" s="104" t="s">
        <v>142</v>
      </c>
      <c r="B142" s="97" t="s">
        <v>65</v>
      </c>
      <c r="F142" s="107">
        <f t="shared" ref="F142:K142" si="13">F49</f>
        <v>691.5</v>
      </c>
      <c r="G142" s="107">
        <f t="shared" si="13"/>
        <v>741</v>
      </c>
      <c r="H142" s="107">
        <f t="shared" si="13"/>
        <v>206438</v>
      </c>
      <c r="I142" s="107">
        <f t="shared" si="13"/>
        <v>28740</v>
      </c>
      <c r="J142" s="107">
        <f t="shared" si="13"/>
        <v>6360</v>
      </c>
      <c r="K142" s="107">
        <f t="shared" si="13"/>
        <v>228818</v>
      </c>
    </row>
    <row r="143" spans="1:11" ht="18" customHeight="1">
      <c r="A143" s="104" t="s">
        <v>144</v>
      </c>
      <c r="B143" s="97" t="s">
        <v>66</v>
      </c>
      <c r="F143" s="107">
        <f t="shared" ref="F143:K143" si="14">F64</f>
        <v>2269</v>
      </c>
      <c r="G143" s="107">
        <f t="shared" si="14"/>
        <v>0</v>
      </c>
      <c r="H143" s="107">
        <f t="shared" si="14"/>
        <v>6866210</v>
      </c>
      <c r="I143" s="107">
        <f t="shared" si="14"/>
        <v>0</v>
      </c>
      <c r="J143" s="107">
        <f t="shared" si="14"/>
        <v>3617174</v>
      </c>
      <c r="K143" s="107">
        <f t="shared" si="14"/>
        <v>3249036</v>
      </c>
    </row>
    <row r="144" spans="1:11" ht="18" customHeight="1">
      <c r="A144" s="104" t="s">
        <v>146</v>
      </c>
      <c r="B144" s="97" t="s">
        <v>67</v>
      </c>
      <c r="F144" s="107">
        <f t="shared" ref="F144:K144" si="15">F74</f>
        <v>0</v>
      </c>
      <c r="G144" s="107">
        <f t="shared" si="15"/>
        <v>0</v>
      </c>
      <c r="H144" s="107">
        <f t="shared" si="15"/>
        <v>0</v>
      </c>
      <c r="I144" s="107">
        <f t="shared" si="15"/>
        <v>0</v>
      </c>
      <c r="J144" s="107">
        <f t="shared" si="15"/>
        <v>0</v>
      </c>
      <c r="K144" s="107">
        <f t="shared" si="15"/>
        <v>0</v>
      </c>
    </row>
    <row r="145" spans="1:11" ht="18" customHeight="1">
      <c r="A145" s="104" t="s">
        <v>148</v>
      </c>
      <c r="B145" s="97" t="s">
        <v>68</v>
      </c>
      <c r="F145" s="107">
        <f t="shared" ref="F145:K145" si="16">F82</f>
        <v>1073.9000000000001</v>
      </c>
      <c r="G145" s="107">
        <f t="shared" si="16"/>
        <v>340</v>
      </c>
      <c r="H145" s="107">
        <f t="shared" si="16"/>
        <v>194552</v>
      </c>
      <c r="I145" s="107">
        <f t="shared" si="16"/>
        <v>771</v>
      </c>
      <c r="J145" s="107">
        <f t="shared" si="16"/>
        <v>0</v>
      </c>
      <c r="K145" s="107">
        <f t="shared" si="16"/>
        <v>195323</v>
      </c>
    </row>
    <row r="146" spans="1:11" ht="18" customHeight="1">
      <c r="A146" s="104" t="s">
        <v>150</v>
      </c>
      <c r="B146" s="97" t="s">
        <v>69</v>
      </c>
      <c r="F146" s="107">
        <f t="shared" ref="F146:K146" si="17">F98</f>
        <v>2991.8</v>
      </c>
      <c r="G146" s="107">
        <f t="shared" si="17"/>
        <v>620</v>
      </c>
      <c r="H146" s="107">
        <f t="shared" si="17"/>
        <v>678750</v>
      </c>
      <c r="I146" s="107">
        <f t="shared" si="17"/>
        <v>404933</v>
      </c>
      <c r="J146" s="107">
        <f t="shared" si="17"/>
        <v>0</v>
      </c>
      <c r="K146" s="107">
        <f t="shared" si="17"/>
        <v>1083683</v>
      </c>
    </row>
    <row r="147" spans="1:11" ht="18" customHeight="1">
      <c r="A147" s="104" t="s">
        <v>153</v>
      </c>
      <c r="B147" s="97" t="s">
        <v>61</v>
      </c>
      <c r="F147" s="102">
        <f t="shared" ref="F147:K147" si="18">F108</f>
        <v>2160</v>
      </c>
      <c r="G147" s="102">
        <f t="shared" si="18"/>
        <v>0</v>
      </c>
      <c r="H147" s="102">
        <f t="shared" si="18"/>
        <v>270947</v>
      </c>
      <c r="I147" s="102">
        <f t="shared" si="18"/>
        <v>96037</v>
      </c>
      <c r="J147" s="102">
        <f t="shared" si="18"/>
        <v>0</v>
      </c>
      <c r="K147" s="102">
        <f t="shared" si="18"/>
        <v>366984</v>
      </c>
    </row>
    <row r="148" spans="1:11" ht="18" customHeight="1">
      <c r="A148" s="104" t="s">
        <v>155</v>
      </c>
      <c r="B148" s="97" t="s">
        <v>70</v>
      </c>
      <c r="F148" s="103" t="s">
        <v>73</v>
      </c>
      <c r="G148" s="103" t="s">
        <v>73</v>
      </c>
      <c r="H148" s="106" t="s">
        <v>73</v>
      </c>
      <c r="I148" s="106" t="s">
        <v>73</v>
      </c>
      <c r="J148" s="106" t="s">
        <v>73</v>
      </c>
      <c r="K148" s="105">
        <f>F111</f>
        <v>4836119</v>
      </c>
    </row>
    <row r="149" spans="1:11" ht="18" customHeight="1">
      <c r="A149" s="104" t="s">
        <v>163</v>
      </c>
      <c r="B149" s="97" t="s">
        <v>71</v>
      </c>
      <c r="F149" s="102">
        <f t="shared" ref="F149:K149" si="19">F137</f>
        <v>0</v>
      </c>
      <c r="G149" s="102">
        <f t="shared" si="19"/>
        <v>0</v>
      </c>
      <c r="H149" s="102">
        <f t="shared" si="19"/>
        <v>0</v>
      </c>
      <c r="I149" s="102">
        <f t="shared" si="19"/>
        <v>0</v>
      </c>
      <c r="J149" s="102">
        <f t="shared" si="19"/>
        <v>0</v>
      </c>
      <c r="K149" s="102">
        <f t="shared" si="19"/>
        <v>0</v>
      </c>
    </row>
    <row r="150" spans="1:11" ht="18" customHeight="1">
      <c r="A150" s="104" t="s">
        <v>185</v>
      </c>
      <c r="B150" s="97" t="s">
        <v>186</v>
      </c>
      <c r="F150" s="103" t="s">
        <v>73</v>
      </c>
      <c r="G150" s="103" t="s">
        <v>73</v>
      </c>
      <c r="H150" s="102">
        <f>H18</f>
        <v>3680101</v>
      </c>
      <c r="I150" s="102">
        <f>I18</f>
        <v>0</v>
      </c>
      <c r="J150" s="102">
        <f>J18</f>
        <v>3146947</v>
      </c>
      <c r="K150" s="102">
        <f>K18</f>
        <v>533154</v>
      </c>
    </row>
    <row r="151" spans="1:11" ht="18" customHeight="1">
      <c r="B151" s="97"/>
      <c r="F151" s="101"/>
      <c r="G151" s="101"/>
      <c r="H151" s="101"/>
      <c r="I151" s="101"/>
      <c r="J151" s="101"/>
      <c r="K151" s="101"/>
    </row>
    <row r="152" spans="1:11" ht="18" customHeight="1">
      <c r="A152" s="99" t="s">
        <v>165</v>
      </c>
      <c r="B152" s="97" t="s">
        <v>26</v>
      </c>
      <c r="F152" s="100">
        <f t="shared" ref="F152:K152" si="20">SUM(F141:F150)</f>
        <v>19150.7</v>
      </c>
      <c r="G152" s="100">
        <f t="shared" si="20"/>
        <v>20498</v>
      </c>
      <c r="H152" s="100">
        <f t="shared" si="20"/>
        <v>12270204</v>
      </c>
      <c r="I152" s="100">
        <f t="shared" si="20"/>
        <v>688560</v>
      </c>
      <c r="J152" s="100">
        <f t="shared" si="20"/>
        <v>6823325</v>
      </c>
      <c r="K152" s="100">
        <f t="shared" si="20"/>
        <v>10971558</v>
      </c>
    </row>
    <row r="154" spans="1:11" ht="18" customHeight="1">
      <c r="A154" s="99" t="s">
        <v>168</v>
      </c>
      <c r="B154" s="97" t="s">
        <v>28</v>
      </c>
      <c r="F154" s="89">
        <f>K152/F121</f>
        <v>9.0196511852185676E-2</v>
      </c>
    </row>
    <row r="155" spans="1:11" ht="18" customHeight="1">
      <c r="A155" s="99" t="s">
        <v>169</v>
      </c>
      <c r="B155" s="97" t="s">
        <v>72</v>
      </c>
      <c r="F155" s="89">
        <f>K152/F127</f>
        <v>1.1380920609590481</v>
      </c>
      <c r="G155" s="97"/>
    </row>
    <row r="156" spans="1:11" ht="18" customHeight="1">
      <c r="G156" s="97"/>
    </row>
  </sheetData>
  <sheetProtection password="EF72" sheet="1" objects="1" scenarios="1"/>
  <mergeCells count="34">
    <mergeCell ref="C10:G10"/>
    <mergeCell ref="C11:G11"/>
    <mergeCell ref="B13:H13"/>
    <mergeCell ref="B30:D30"/>
    <mergeCell ref="D2:H2"/>
    <mergeCell ref="C5:G5"/>
    <mergeCell ref="C6:G6"/>
    <mergeCell ref="C7:G7"/>
    <mergeCell ref="C9:G9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41:C41"/>
    <mergeCell ref="B56:D56"/>
    <mergeCell ref="B57:D57"/>
    <mergeCell ref="B59:D59"/>
    <mergeCell ref="B62:D62"/>
    <mergeCell ref="B106:D106"/>
    <mergeCell ref="B134:D134"/>
    <mergeCell ref="B135:D135"/>
    <mergeCell ref="B94:D94"/>
    <mergeCell ref="B95:D95"/>
    <mergeCell ref="B96:D96"/>
    <mergeCell ref="B103:C103"/>
    <mergeCell ref="B104:D104"/>
    <mergeCell ref="B105:D105"/>
    <mergeCell ref="B133:D133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80" zoomScaleNormal="50" zoomScaleSheetLayoutView="80" workbookViewId="0"/>
  </sheetViews>
  <sheetFormatPr defaultRowHeight="18" customHeight="1"/>
  <cols>
    <col min="1" max="1" width="8.28515625" style="96" customWidth="1"/>
    <col min="2" max="2" width="55.42578125" style="95" bestFit="1" customWidth="1"/>
    <col min="3" max="3" width="9.5703125" style="95" customWidth="1"/>
    <col min="4" max="4" width="8.85546875" style="95"/>
    <col min="5" max="5" width="12.42578125" style="95" customWidth="1"/>
    <col min="6" max="6" width="18.5703125" style="95" customWidth="1"/>
    <col min="7" max="7" width="23.5703125" style="95" customWidth="1"/>
    <col min="8" max="8" width="17.140625" style="95" customWidth="1"/>
    <col min="9" max="9" width="21.140625" style="95" customWidth="1"/>
    <col min="10" max="10" width="19.85546875" style="95" customWidth="1"/>
    <col min="11" max="11" width="17.5703125" style="95" customWidth="1"/>
    <col min="12" max="256" width="8.85546875" style="95"/>
    <col min="257" max="257" width="8.28515625" style="95" customWidth="1"/>
    <col min="258" max="258" width="55.42578125" style="95" bestFit="1" customWidth="1"/>
    <col min="259" max="259" width="9.5703125" style="95" customWidth="1"/>
    <col min="260" max="260" width="8.85546875" style="95"/>
    <col min="261" max="261" width="12.42578125" style="95" customWidth="1"/>
    <col min="262" max="262" width="18.5703125" style="95" customWidth="1"/>
    <col min="263" max="263" width="23.5703125" style="95" customWidth="1"/>
    <col min="264" max="264" width="17.140625" style="95" customWidth="1"/>
    <col min="265" max="265" width="21.140625" style="95" customWidth="1"/>
    <col min="266" max="266" width="19.85546875" style="95" customWidth="1"/>
    <col min="267" max="267" width="17.5703125" style="95" customWidth="1"/>
    <col min="268" max="512" width="8.85546875" style="95"/>
    <col min="513" max="513" width="8.28515625" style="95" customWidth="1"/>
    <col min="514" max="514" width="55.42578125" style="95" bestFit="1" customWidth="1"/>
    <col min="515" max="515" width="9.5703125" style="95" customWidth="1"/>
    <col min="516" max="516" width="8.85546875" style="95"/>
    <col min="517" max="517" width="12.42578125" style="95" customWidth="1"/>
    <col min="518" max="518" width="18.5703125" style="95" customWidth="1"/>
    <col min="519" max="519" width="23.5703125" style="95" customWidth="1"/>
    <col min="520" max="520" width="17.140625" style="95" customWidth="1"/>
    <col min="521" max="521" width="21.140625" style="95" customWidth="1"/>
    <col min="522" max="522" width="19.85546875" style="95" customWidth="1"/>
    <col min="523" max="523" width="17.5703125" style="95" customWidth="1"/>
    <col min="524" max="768" width="8.85546875" style="95"/>
    <col min="769" max="769" width="8.28515625" style="95" customWidth="1"/>
    <col min="770" max="770" width="55.42578125" style="95" bestFit="1" customWidth="1"/>
    <col min="771" max="771" width="9.5703125" style="95" customWidth="1"/>
    <col min="772" max="772" width="8.85546875" style="95"/>
    <col min="773" max="773" width="12.42578125" style="95" customWidth="1"/>
    <col min="774" max="774" width="18.5703125" style="95" customWidth="1"/>
    <col min="775" max="775" width="23.5703125" style="95" customWidth="1"/>
    <col min="776" max="776" width="17.140625" style="95" customWidth="1"/>
    <col min="777" max="777" width="21.140625" style="95" customWidth="1"/>
    <col min="778" max="778" width="19.85546875" style="95" customWidth="1"/>
    <col min="779" max="779" width="17.5703125" style="95" customWidth="1"/>
    <col min="780" max="1024" width="8.85546875" style="95"/>
    <col min="1025" max="1025" width="8.28515625" style="95" customWidth="1"/>
    <col min="1026" max="1026" width="55.42578125" style="95" bestFit="1" customWidth="1"/>
    <col min="1027" max="1027" width="9.5703125" style="95" customWidth="1"/>
    <col min="1028" max="1028" width="8.85546875" style="95"/>
    <col min="1029" max="1029" width="12.42578125" style="95" customWidth="1"/>
    <col min="1030" max="1030" width="18.5703125" style="95" customWidth="1"/>
    <col min="1031" max="1031" width="23.5703125" style="95" customWidth="1"/>
    <col min="1032" max="1032" width="17.140625" style="95" customWidth="1"/>
    <col min="1033" max="1033" width="21.140625" style="95" customWidth="1"/>
    <col min="1034" max="1034" width="19.85546875" style="95" customWidth="1"/>
    <col min="1035" max="1035" width="17.5703125" style="95" customWidth="1"/>
    <col min="1036" max="1280" width="8.85546875" style="95"/>
    <col min="1281" max="1281" width="8.28515625" style="95" customWidth="1"/>
    <col min="1282" max="1282" width="55.42578125" style="95" bestFit="1" customWidth="1"/>
    <col min="1283" max="1283" width="9.5703125" style="95" customWidth="1"/>
    <col min="1284" max="1284" width="8.85546875" style="95"/>
    <col min="1285" max="1285" width="12.42578125" style="95" customWidth="1"/>
    <col min="1286" max="1286" width="18.5703125" style="95" customWidth="1"/>
    <col min="1287" max="1287" width="23.5703125" style="95" customWidth="1"/>
    <col min="1288" max="1288" width="17.140625" style="95" customWidth="1"/>
    <col min="1289" max="1289" width="21.140625" style="95" customWidth="1"/>
    <col min="1290" max="1290" width="19.85546875" style="95" customWidth="1"/>
    <col min="1291" max="1291" width="17.5703125" style="95" customWidth="1"/>
    <col min="1292" max="1536" width="8.85546875" style="95"/>
    <col min="1537" max="1537" width="8.28515625" style="95" customWidth="1"/>
    <col min="1538" max="1538" width="55.42578125" style="95" bestFit="1" customWidth="1"/>
    <col min="1539" max="1539" width="9.5703125" style="95" customWidth="1"/>
    <col min="1540" max="1540" width="8.85546875" style="95"/>
    <col min="1541" max="1541" width="12.42578125" style="95" customWidth="1"/>
    <col min="1542" max="1542" width="18.5703125" style="95" customWidth="1"/>
    <col min="1543" max="1543" width="23.5703125" style="95" customWidth="1"/>
    <col min="1544" max="1544" width="17.140625" style="95" customWidth="1"/>
    <col min="1545" max="1545" width="21.140625" style="95" customWidth="1"/>
    <col min="1546" max="1546" width="19.85546875" style="95" customWidth="1"/>
    <col min="1547" max="1547" width="17.5703125" style="95" customWidth="1"/>
    <col min="1548" max="1792" width="8.85546875" style="95"/>
    <col min="1793" max="1793" width="8.28515625" style="95" customWidth="1"/>
    <col min="1794" max="1794" width="55.42578125" style="95" bestFit="1" customWidth="1"/>
    <col min="1795" max="1795" width="9.5703125" style="95" customWidth="1"/>
    <col min="1796" max="1796" width="8.85546875" style="95"/>
    <col min="1797" max="1797" width="12.42578125" style="95" customWidth="1"/>
    <col min="1798" max="1798" width="18.5703125" style="95" customWidth="1"/>
    <col min="1799" max="1799" width="23.5703125" style="95" customWidth="1"/>
    <col min="1800" max="1800" width="17.140625" style="95" customWidth="1"/>
    <col min="1801" max="1801" width="21.140625" style="95" customWidth="1"/>
    <col min="1802" max="1802" width="19.85546875" style="95" customWidth="1"/>
    <col min="1803" max="1803" width="17.5703125" style="95" customWidth="1"/>
    <col min="1804" max="2048" width="8.85546875" style="95"/>
    <col min="2049" max="2049" width="8.28515625" style="95" customWidth="1"/>
    <col min="2050" max="2050" width="55.42578125" style="95" bestFit="1" customWidth="1"/>
    <col min="2051" max="2051" width="9.5703125" style="95" customWidth="1"/>
    <col min="2052" max="2052" width="8.85546875" style="95"/>
    <col min="2053" max="2053" width="12.42578125" style="95" customWidth="1"/>
    <col min="2054" max="2054" width="18.5703125" style="95" customWidth="1"/>
    <col min="2055" max="2055" width="23.5703125" style="95" customWidth="1"/>
    <col min="2056" max="2056" width="17.140625" style="95" customWidth="1"/>
    <col min="2057" max="2057" width="21.140625" style="95" customWidth="1"/>
    <col min="2058" max="2058" width="19.85546875" style="95" customWidth="1"/>
    <col min="2059" max="2059" width="17.5703125" style="95" customWidth="1"/>
    <col min="2060" max="2304" width="8.85546875" style="95"/>
    <col min="2305" max="2305" width="8.28515625" style="95" customWidth="1"/>
    <col min="2306" max="2306" width="55.42578125" style="95" bestFit="1" customWidth="1"/>
    <col min="2307" max="2307" width="9.5703125" style="95" customWidth="1"/>
    <col min="2308" max="2308" width="8.85546875" style="95"/>
    <col min="2309" max="2309" width="12.42578125" style="95" customWidth="1"/>
    <col min="2310" max="2310" width="18.5703125" style="95" customWidth="1"/>
    <col min="2311" max="2311" width="23.5703125" style="95" customWidth="1"/>
    <col min="2312" max="2312" width="17.140625" style="95" customWidth="1"/>
    <col min="2313" max="2313" width="21.140625" style="95" customWidth="1"/>
    <col min="2314" max="2314" width="19.85546875" style="95" customWidth="1"/>
    <col min="2315" max="2315" width="17.5703125" style="95" customWidth="1"/>
    <col min="2316" max="2560" width="8.85546875" style="95"/>
    <col min="2561" max="2561" width="8.28515625" style="95" customWidth="1"/>
    <col min="2562" max="2562" width="55.42578125" style="95" bestFit="1" customWidth="1"/>
    <col min="2563" max="2563" width="9.5703125" style="95" customWidth="1"/>
    <col min="2564" max="2564" width="8.85546875" style="95"/>
    <col min="2565" max="2565" width="12.42578125" style="95" customWidth="1"/>
    <col min="2566" max="2566" width="18.5703125" style="95" customWidth="1"/>
    <col min="2567" max="2567" width="23.5703125" style="95" customWidth="1"/>
    <col min="2568" max="2568" width="17.140625" style="95" customWidth="1"/>
    <col min="2569" max="2569" width="21.140625" style="95" customWidth="1"/>
    <col min="2570" max="2570" width="19.85546875" style="95" customWidth="1"/>
    <col min="2571" max="2571" width="17.5703125" style="95" customWidth="1"/>
    <col min="2572" max="2816" width="8.85546875" style="95"/>
    <col min="2817" max="2817" width="8.28515625" style="95" customWidth="1"/>
    <col min="2818" max="2818" width="55.42578125" style="95" bestFit="1" customWidth="1"/>
    <col min="2819" max="2819" width="9.5703125" style="95" customWidth="1"/>
    <col min="2820" max="2820" width="8.85546875" style="95"/>
    <col min="2821" max="2821" width="12.42578125" style="95" customWidth="1"/>
    <col min="2822" max="2822" width="18.5703125" style="95" customWidth="1"/>
    <col min="2823" max="2823" width="23.5703125" style="95" customWidth="1"/>
    <col min="2824" max="2824" width="17.140625" style="95" customWidth="1"/>
    <col min="2825" max="2825" width="21.140625" style="95" customWidth="1"/>
    <col min="2826" max="2826" width="19.85546875" style="95" customWidth="1"/>
    <col min="2827" max="2827" width="17.5703125" style="95" customWidth="1"/>
    <col min="2828" max="3072" width="8.85546875" style="95"/>
    <col min="3073" max="3073" width="8.28515625" style="95" customWidth="1"/>
    <col min="3074" max="3074" width="55.42578125" style="95" bestFit="1" customWidth="1"/>
    <col min="3075" max="3075" width="9.5703125" style="95" customWidth="1"/>
    <col min="3076" max="3076" width="8.85546875" style="95"/>
    <col min="3077" max="3077" width="12.42578125" style="95" customWidth="1"/>
    <col min="3078" max="3078" width="18.5703125" style="95" customWidth="1"/>
    <col min="3079" max="3079" width="23.5703125" style="95" customWidth="1"/>
    <col min="3080" max="3080" width="17.140625" style="95" customWidth="1"/>
    <col min="3081" max="3081" width="21.140625" style="95" customWidth="1"/>
    <col min="3082" max="3082" width="19.85546875" style="95" customWidth="1"/>
    <col min="3083" max="3083" width="17.5703125" style="95" customWidth="1"/>
    <col min="3084" max="3328" width="8.85546875" style="95"/>
    <col min="3329" max="3329" width="8.28515625" style="95" customWidth="1"/>
    <col min="3330" max="3330" width="55.42578125" style="95" bestFit="1" customWidth="1"/>
    <col min="3331" max="3331" width="9.5703125" style="95" customWidth="1"/>
    <col min="3332" max="3332" width="8.85546875" style="95"/>
    <col min="3333" max="3333" width="12.42578125" style="95" customWidth="1"/>
    <col min="3334" max="3334" width="18.5703125" style="95" customWidth="1"/>
    <col min="3335" max="3335" width="23.5703125" style="95" customWidth="1"/>
    <col min="3336" max="3336" width="17.140625" style="95" customWidth="1"/>
    <col min="3337" max="3337" width="21.140625" style="95" customWidth="1"/>
    <col min="3338" max="3338" width="19.85546875" style="95" customWidth="1"/>
    <col min="3339" max="3339" width="17.5703125" style="95" customWidth="1"/>
    <col min="3340" max="3584" width="8.85546875" style="95"/>
    <col min="3585" max="3585" width="8.28515625" style="95" customWidth="1"/>
    <col min="3586" max="3586" width="55.42578125" style="95" bestFit="1" customWidth="1"/>
    <col min="3587" max="3587" width="9.5703125" style="95" customWidth="1"/>
    <col min="3588" max="3588" width="8.85546875" style="95"/>
    <col min="3589" max="3589" width="12.42578125" style="95" customWidth="1"/>
    <col min="3590" max="3590" width="18.5703125" style="95" customWidth="1"/>
    <col min="3591" max="3591" width="23.5703125" style="95" customWidth="1"/>
    <col min="3592" max="3592" width="17.140625" style="95" customWidth="1"/>
    <col min="3593" max="3593" width="21.140625" style="95" customWidth="1"/>
    <col min="3594" max="3594" width="19.85546875" style="95" customWidth="1"/>
    <col min="3595" max="3595" width="17.5703125" style="95" customWidth="1"/>
    <col min="3596" max="3840" width="8.85546875" style="95"/>
    <col min="3841" max="3841" width="8.28515625" style="95" customWidth="1"/>
    <col min="3842" max="3842" width="55.42578125" style="95" bestFit="1" customWidth="1"/>
    <col min="3843" max="3843" width="9.5703125" style="95" customWidth="1"/>
    <col min="3844" max="3844" width="8.85546875" style="95"/>
    <col min="3845" max="3845" width="12.42578125" style="95" customWidth="1"/>
    <col min="3846" max="3846" width="18.5703125" style="95" customWidth="1"/>
    <col min="3847" max="3847" width="23.5703125" style="95" customWidth="1"/>
    <col min="3848" max="3848" width="17.140625" style="95" customWidth="1"/>
    <col min="3849" max="3849" width="21.140625" style="95" customWidth="1"/>
    <col min="3850" max="3850" width="19.85546875" style="95" customWidth="1"/>
    <col min="3851" max="3851" width="17.5703125" style="95" customWidth="1"/>
    <col min="3852" max="4096" width="8.85546875" style="95"/>
    <col min="4097" max="4097" width="8.28515625" style="95" customWidth="1"/>
    <col min="4098" max="4098" width="55.42578125" style="95" bestFit="1" customWidth="1"/>
    <col min="4099" max="4099" width="9.5703125" style="95" customWidth="1"/>
    <col min="4100" max="4100" width="8.85546875" style="95"/>
    <col min="4101" max="4101" width="12.42578125" style="95" customWidth="1"/>
    <col min="4102" max="4102" width="18.5703125" style="95" customWidth="1"/>
    <col min="4103" max="4103" width="23.5703125" style="95" customWidth="1"/>
    <col min="4104" max="4104" width="17.140625" style="95" customWidth="1"/>
    <col min="4105" max="4105" width="21.140625" style="95" customWidth="1"/>
    <col min="4106" max="4106" width="19.85546875" style="95" customWidth="1"/>
    <col min="4107" max="4107" width="17.5703125" style="95" customWidth="1"/>
    <col min="4108" max="4352" width="8.85546875" style="95"/>
    <col min="4353" max="4353" width="8.28515625" style="95" customWidth="1"/>
    <col min="4354" max="4354" width="55.42578125" style="95" bestFit="1" customWidth="1"/>
    <col min="4355" max="4355" width="9.5703125" style="95" customWidth="1"/>
    <col min="4356" max="4356" width="8.85546875" style="95"/>
    <col min="4357" max="4357" width="12.42578125" style="95" customWidth="1"/>
    <col min="4358" max="4358" width="18.5703125" style="95" customWidth="1"/>
    <col min="4359" max="4359" width="23.5703125" style="95" customWidth="1"/>
    <col min="4360" max="4360" width="17.140625" style="95" customWidth="1"/>
    <col min="4361" max="4361" width="21.140625" style="95" customWidth="1"/>
    <col min="4362" max="4362" width="19.85546875" style="95" customWidth="1"/>
    <col min="4363" max="4363" width="17.5703125" style="95" customWidth="1"/>
    <col min="4364" max="4608" width="8.85546875" style="95"/>
    <col min="4609" max="4609" width="8.28515625" style="95" customWidth="1"/>
    <col min="4610" max="4610" width="55.42578125" style="95" bestFit="1" customWidth="1"/>
    <col min="4611" max="4611" width="9.5703125" style="95" customWidth="1"/>
    <col min="4612" max="4612" width="8.85546875" style="95"/>
    <col min="4613" max="4613" width="12.42578125" style="95" customWidth="1"/>
    <col min="4614" max="4614" width="18.5703125" style="95" customWidth="1"/>
    <col min="4615" max="4615" width="23.5703125" style="95" customWidth="1"/>
    <col min="4616" max="4616" width="17.140625" style="95" customWidth="1"/>
    <col min="4617" max="4617" width="21.140625" style="95" customWidth="1"/>
    <col min="4618" max="4618" width="19.85546875" style="95" customWidth="1"/>
    <col min="4619" max="4619" width="17.5703125" style="95" customWidth="1"/>
    <col min="4620" max="4864" width="8.85546875" style="95"/>
    <col min="4865" max="4865" width="8.28515625" style="95" customWidth="1"/>
    <col min="4866" max="4866" width="55.42578125" style="95" bestFit="1" customWidth="1"/>
    <col min="4867" max="4867" width="9.5703125" style="95" customWidth="1"/>
    <col min="4868" max="4868" width="8.85546875" style="95"/>
    <col min="4869" max="4869" width="12.42578125" style="95" customWidth="1"/>
    <col min="4870" max="4870" width="18.5703125" style="95" customWidth="1"/>
    <col min="4871" max="4871" width="23.5703125" style="95" customWidth="1"/>
    <col min="4872" max="4872" width="17.140625" style="95" customWidth="1"/>
    <col min="4873" max="4873" width="21.140625" style="95" customWidth="1"/>
    <col min="4874" max="4874" width="19.85546875" style="95" customWidth="1"/>
    <col min="4875" max="4875" width="17.5703125" style="95" customWidth="1"/>
    <col min="4876" max="5120" width="8.85546875" style="95"/>
    <col min="5121" max="5121" width="8.28515625" style="95" customWidth="1"/>
    <col min="5122" max="5122" width="55.42578125" style="95" bestFit="1" customWidth="1"/>
    <col min="5123" max="5123" width="9.5703125" style="95" customWidth="1"/>
    <col min="5124" max="5124" width="8.85546875" style="95"/>
    <col min="5125" max="5125" width="12.42578125" style="95" customWidth="1"/>
    <col min="5126" max="5126" width="18.5703125" style="95" customWidth="1"/>
    <col min="5127" max="5127" width="23.5703125" style="95" customWidth="1"/>
    <col min="5128" max="5128" width="17.140625" style="95" customWidth="1"/>
    <col min="5129" max="5129" width="21.140625" style="95" customWidth="1"/>
    <col min="5130" max="5130" width="19.85546875" style="95" customWidth="1"/>
    <col min="5131" max="5131" width="17.5703125" style="95" customWidth="1"/>
    <col min="5132" max="5376" width="8.85546875" style="95"/>
    <col min="5377" max="5377" width="8.28515625" style="95" customWidth="1"/>
    <col min="5378" max="5378" width="55.42578125" style="95" bestFit="1" customWidth="1"/>
    <col min="5379" max="5379" width="9.5703125" style="95" customWidth="1"/>
    <col min="5380" max="5380" width="8.85546875" style="95"/>
    <col min="5381" max="5381" width="12.42578125" style="95" customWidth="1"/>
    <col min="5382" max="5382" width="18.5703125" style="95" customWidth="1"/>
    <col min="5383" max="5383" width="23.5703125" style="95" customWidth="1"/>
    <col min="5384" max="5384" width="17.140625" style="95" customWidth="1"/>
    <col min="5385" max="5385" width="21.140625" style="95" customWidth="1"/>
    <col min="5386" max="5386" width="19.85546875" style="95" customWidth="1"/>
    <col min="5387" max="5387" width="17.5703125" style="95" customWidth="1"/>
    <col min="5388" max="5632" width="8.85546875" style="95"/>
    <col min="5633" max="5633" width="8.28515625" style="95" customWidth="1"/>
    <col min="5634" max="5634" width="55.42578125" style="95" bestFit="1" customWidth="1"/>
    <col min="5635" max="5635" width="9.5703125" style="95" customWidth="1"/>
    <col min="5636" max="5636" width="8.85546875" style="95"/>
    <col min="5637" max="5637" width="12.42578125" style="95" customWidth="1"/>
    <col min="5638" max="5638" width="18.5703125" style="95" customWidth="1"/>
    <col min="5639" max="5639" width="23.5703125" style="95" customWidth="1"/>
    <col min="5640" max="5640" width="17.140625" style="95" customWidth="1"/>
    <col min="5641" max="5641" width="21.140625" style="95" customWidth="1"/>
    <col min="5642" max="5642" width="19.85546875" style="95" customWidth="1"/>
    <col min="5643" max="5643" width="17.5703125" style="95" customWidth="1"/>
    <col min="5644" max="5888" width="8.85546875" style="95"/>
    <col min="5889" max="5889" width="8.28515625" style="95" customWidth="1"/>
    <col min="5890" max="5890" width="55.42578125" style="95" bestFit="1" customWidth="1"/>
    <col min="5891" max="5891" width="9.5703125" style="95" customWidth="1"/>
    <col min="5892" max="5892" width="8.85546875" style="95"/>
    <col min="5893" max="5893" width="12.42578125" style="95" customWidth="1"/>
    <col min="5894" max="5894" width="18.5703125" style="95" customWidth="1"/>
    <col min="5895" max="5895" width="23.5703125" style="95" customWidth="1"/>
    <col min="5896" max="5896" width="17.140625" style="95" customWidth="1"/>
    <col min="5897" max="5897" width="21.140625" style="95" customWidth="1"/>
    <col min="5898" max="5898" width="19.85546875" style="95" customWidth="1"/>
    <col min="5899" max="5899" width="17.5703125" style="95" customWidth="1"/>
    <col min="5900" max="6144" width="8.85546875" style="95"/>
    <col min="6145" max="6145" width="8.28515625" style="95" customWidth="1"/>
    <col min="6146" max="6146" width="55.42578125" style="95" bestFit="1" customWidth="1"/>
    <col min="6147" max="6147" width="9.5703125" style="95" customWidth="1"/>
    <col min="6148" max="6148" width="8.85546875" style="95"/>
    <col min="6149" max="6149" width="12.42578125" style="95" customWidth="1"/>
    <col min="6150" max="6150" width="18.5703125" style="95" customWidth="1"/>
    <col min="6151" max="6151" width="23.5703125" style="95" customWidth="1"/>
    <col min="6152" max="6152" width="17.140625" style="95" customWidth="1"/>
    <col min="6153" max="6153" width="21.140625" style="95" customWidth="1"/>
    <col min="6154" max="6154" width="19.85546875" style="95" customWidth="1"/>
    <col min="6155" max="6155" width="17.5703125" style="95" customWidth="1"/>
    <col min="6156" max="6400" width="8.85546875" style="95"/>
    <col min="6401" max="6401" width="8.28515625" style="95" customWidth="1"/>
    <col min="6402" max="6402" width="55.42578125" style="95" bestFit="1" customWidth="1"/>
    <col min="6403" max="6403" width="9.5703125" style="95" customWidth="1"/>
    <col min="6404" max="6404" width="8.85546875" style="95"/>
    <col min="6405" max="6405" width="12.42578125" style="95" customWidth="1"/>
    <col min="6406" max="6406" width="18.5703125" style="95" customWidth="1"/>
    <col min="6407" max="6407" width="23.5703125" style="95" customWidth="1"/>
    <col min="6408" max="6408" width="17.140625" style="95" customWidth="1"/>
    <col min="6409" max="6409" width="21.140625" style="95" customWidth="1"/>
    <col min="6410" max="6410" width="19.85546875" style="95" customWidth="1"/>
    <col min="6411" max="6411" width="17.5703125" style="95" customWidth="1"/>
    <col min="6412" max="6656" width="8.85546875" style="95"/>
    <col min="6657" max="6657" width="8.28515625" style="95" customWidth="1"/>
    <col min="6658" max="6658" width="55.42578125" style="95" bestFit="1" customWidth="1"/>
    <col min="6659" max="6659" width="9.5703125" style="95" customWidth="1"/>
    <col min="6660" max="6660" width="8.85546875" style="95"/>
    <col min="6661" max="6661" width="12.42578125" style="95" customWidth="1"/>
    <col min="6662" max="6662" width="18.5703125" style="95" customWidth="1"/>
    <col min="6663" max="6663" width="23.5703125" style="95" customWidth="1"/>
    <col min="6664" max="6664" width="17.140625" style="95" customWidth="1"/>
    <col min="6665" max="6665" width="21.140625" style="95" customWidth="1"/>
    <col min="6666" max="6666" width="19.85546875" style="95" customWidth="1"/>
    <col min="6667" max="6667" width="17.5703125" style="95" customWidth="1"/>
    <col min="6668" max="6912" width="8.85546875" style="95"/>
    <col min="6913" max="6913" width="8.28515625" style="95" customWidth="1"/>
    <col min="6914" max="6914" width="55.42578125" style="95" bestFit="1" customWidth="1"/>
    <col min="6915" max="6915" width="9.5703125" style="95" customWidth="1"/>
    <col min="6916" max="6916" width="8.85546875" style="95"/>
    <col min="6917" max="6917" width="12.42578125" style="95" customWidth="1"/>
    <col min="6918" max="6918" width="18.5703125" style="95" customWidth="1"/>
    <col min="6919" max="6919" width="23.5703125" style="95" customWidth="1"/>
    <col min="6920" max="6920" width="17.140625" style="95" customWidth="1"/>
    <col min="6921" max="6921" width="21.140625" style="95" customWidth="1"/>
    <col min="6922" max="6922" width="19.85546875" style="95" customWidth="1"/>
    <col min="6923" max="6923" width="17.5703125" style="95" customWidth="1"/>
    <col min="6924" max="7168" width="8.85546875" style="95"/>
    <col min="7169" max="7169" width="8.28515625" style="95" customWidth="1"/>
    <col min="7170" max="7170" width="55.42578125" style="95" bestFit="1" customWidth="1"/>
    <col min="7171" max="7171" width="9.5703125" style="95" customWidth="1"/>
    <col min="7172" max="7172" width="8.85546875" style="95"/>
    <col min="7173" max="7173" width="12.42578125" style="95" customWidth="1"/>
    <col min="7174" max="7174" width="18.5703125" style="95" customWidth="1"/>
    <col min="7175" max="7175" width="23.5703125" style="95" customWidth="1"/>
    <col min="7176" max="7176" width="17.140625" style="95" customWidth="1"/>
    <col min="7177" max="7177" width="21.140625" style="95" customWidth="1"/>
    <col min="7178" max="7178" width="19.85546875" style="95" customWidth="1"/>
    <col min="7179" max="7179" width="17.5703125" style="95" customWidth="1"/>
    <col min="7180" max="7424" width="8.85546875" style="95"/>
    <col min="7425" max="7425" width="8.28515625" style="95" customWidth="1"/>
    <col min="7426" max="7426" width="55.42578125" style="95" bestFit="1" customWidth="1"/>
    <col min="7427" max="7427" width="9.5703125" style="95" customWidth="1"/>
    <col min="7428" max="7428" width="8.85546875" style="95"/>
    <col min="7429" max="7429" width="12.42578125" style="95" customWidth="1"/>
    <col min="7430" max="7430" width="18.5703125" style="95" customWidth="1"/>
    <col min="7431" max="7431" width="23.5703125" style="95" customWidth="1"/>
    <col min="7432" max="7432" width="17.140625" style="95" customWidth="1"/>
    <col min="7433" max="7433" width="21.140625" style="95" customWidth="1"/>
    <col min="7434" max="7434" width="19.85546875" style="95" customWidth="1"/>
    <col min="7435" max="7435" width="17.5703125" style="95" customWidth="1"/>
    <col min="7436" max="7680" width="8.85546875" style="95"/>
    <col min="7681" max="7681" width="8.28515625" style="95" customWidth="1"/>
    <col min="7682" max="7682" width="55.42578125" style="95" bestFit="1" customWidth="1"/>
    <col min="7683" max="7683" width="9.5703125" style="95" customWidth="1"/>
    <col min="7684" max="7684" width="8.85546875" style="95"/>
    <col min="7685" max="7685" width="12.42578125" style="95" customWidth="1"/>
    <col min="7686" max="7686" width="18.5703125" style="95" customWidth="1"/>
    <col min="7687" max="7687" width="23.5703125" style="95" customWidth="1"/>
    <col min="7688" max="7688" width="17.140625" style="95" customWidth="1"/>
    <col min="7689" max="7689" width="21.140625" style="95" customWidth="1"/>
    <col min="7690" max="7690" width="19.85546875" style="95" customWidth="1"/>
    <col min="7691" max="7691" width="17.5703125" style="95" customWidth="1"/>
    <col min="7692" max="7936" width="8.85546875" style="95"/>
    <col min="7937" max="7937" width="8.28515625" style="95" customWidth="1"/>
    <col min="7938" max="7938" width="55.42578125" style="95" bestFit="1" customWidth="1"/>
    <col min="7939" max="7939" width="9.5703125" style="95" customWidth="1"/>
    <col min="7940" max="7940" width="8.85546875" style="95"/>
    <col min="7941" max="7941" width="12.42578125" style="95" customWidth="1"/>
    <col min="7942" max="7942" width="18.5703125" style="95" customWidth="1"/>
    <col min="7943" max="7943" width="23.5703125" style="95" customWidth="1"/>
    <col min="7944" max="7944" width="17.140625" style="95" customWidth="1"/>
    <col min="7945" max="7945" width="21.140625" style="95" customWidth="1"/>
    <col min="7946" max="7946" width="19.85546875" style="95" customWidth="1"/>
    <col min="7947" max="7947" width="17.5703125" style="95" customWidth="1"/>
    <col min="7948" max="8192" width="8.85546875" style="95"/>
    <col min="8193" max="8193" width="8.28515625" style="95" customWidth="1"/>
    <col min="8194" max="8194" width="55.42578125" style="95" bestFit="1" customWidth="1"/>
    <col min="8195" max="8195" width="9.5703125" style="95" customWidth="1"/>
    <col min="8196" max="8196" width="8.85546875" style="95"/>
    <col min="8197" max="8197" width="12.42578125" style="95" customWidth="1"/>
    <col min="8198" max="8198" width="18.5703125" style="95" customWidth="1"/>
    <col min="8199" max="8199" width="23.5703125" style="95" customWidth="1"/>
    <col min="8200" max="8200" width="17.140625" style="95" customWidth="1"/>
    <col min="8201" max="8201" width="21.140625" style="95" customWidth="1"/>
    <col min="8202" max="8202" width="19.85546875" style="95" customWidth="1"/>
    <col min="8203" max="8203" width="17.5703125" style="95" customWidth="1"/>
    <col min="8204" max="8448" width="8.85546875" style="95"/>
    <col min="8449" max="8449" width="8.28515625" style="95" customWidth="1"/>
    <col min="8450" max="8450" width="55.42578125" style="95" bestFit="1" customWidth="1"/>
    <col min="8451" max="8451" width="9.5703125" style="95" customWidth="1"/>
    <col min="8452" max="8452" width="8.85546875" style="95"/>
    <col min="8453" max="8453" width="12.42578125" style="95" customWidth="1"/>
    <col min="8454" max="8454" width="18.5703125" style="95" customWidth="1"/>
    <col min="8455" max="8455" width="23.5703125" style="95" customWidth="1"/>
    <col min="8456" max="8456" width="17.140625" style="95" customWidth="1"/>
    <col min="8457" max="8457" width="21.140625" style="95" customWidth="1"/>
    <col min="8458" max="8458" width="19.85546875" style="95" customWidth="1"/>
    <col min="8459" max="8459" width="17.5703125" style="95" customWidth="1"/>
    <col min="8460" max="8704" width="8.85546875" style="95"/>
    <col min="8705" max="8705" width="8.28515625" style="95" customWidth="1"/>
    <col min="8706" max="8706" width="55.42578125" style="95" bestFit="1" customWidth="1"/>
    <col min="8707" max="8707" width="9.5703125" style="95" customWidth="1"/>
    <col min="8708" max="8708" width="8.85546875" style="95"/>
    <col min="8709" max="8709" width="12.42578125" style="95" customWidth="1"/>
    <col min="8710" max="8710" width="18.5703125" style="95" customWidth="1"/>
    <col min="8711" max="8711" width="23.5703125" style="95" customWidth="1"/>
    <col min="8712" max="8712" width="17.140625" style="95" customWidth="1"/>
    <col min="8713" max="8713" width="21.140625" style="95" customWidth="1"/>
    <col min="8714" max="8714" width="19.85546875" style="95" customWidth="1"/>
    <col min="8715" max="8715" width="17.5703125" style="95" customWidth="1"/>
    <col min="8716" max="8960" width="8.85546875" style="95"/>
    <col min="8961" max="8961" width="8.28515625" style="95" customWidth="1"/>
    <col min="8962" max="8962" width="55.42578125" style="95" bestFit="1" customWidth="1"/>
    <col min="8963" max="8963" width="9.5703125" style="95" customWidth="1"/>
    <col min="8964" max="8964" width="8.85546875" style="95"/>
    <col min="8965" max="8965" width="12.42578125" style="95" customWidth="1"/>
    <col min="8966" max="8966" width="18.5703125" style="95" customWidth="1"/>
    <col min="8967" max="8967" width="23.5703125" style="95" customWidth="1"/>
    <col min="8968" max="8968" width="17.140625" style="95" customWidth="1"/>
    <col min="8969" max="8969" width="21.140625" style="95" customWidth="1"/>
    <col min="8970" max="8970" width="19.85546875" style="95" customWidth="1"/>
    <col min="8971" max="8971" width="17.5703125" style="95" customWidth="1"/>
    <col min="8972" max="9216" width="8.85546875" style="95"/>
    <col min="9217" max="9217" width="8.28515625" style="95" customWidth="1"/>
    <col min="9218" max="9218" width="55.42578125" style="95" bestFit="1" customWidth="1"/>
    <col min="9219" max="9219" width="9.5703125" style="95" customWidth="1"/>
    <col min="9220" max="9220" width="8.85546875" style="95"/>
    <col min="9221" max="9221" width="12.42578125" style="95" customWidth="1"/>
    <col min="9222" max="9222" width="18.5703125" style="95" customWidth="1"/>
    <col min="9223" max="9223" width="23.5703125" style="95" customWidth="1"/>
    <col min="9224" max="9224" width="17.140625" style="95" customWidth="1"/>
    <col min="9225" max="9225" width="21.140625" style="95" customWidth="1"/>
    <col min="9226" max="9226" width="19.85546875" style="95" customWidth="1"/>
    <col min="9227" max="9227" width="17.5703125" style="95" customWidth="1"/>
    <col min="9228" max="9472" width="8.85546875" style="95"/>
    <col min="9473" max="9473" width="8.28515625" style="95" customWidth="1"/>
    <col min="9474" max="9474" width="55.42578125" style="95" bestFit="1" customWidth="1"/>
    <col min="9475" max="9475" width="9.5703125" style="95" customWidth="1"/>
    <col min="9476" max="9476" width="8.85546875" style="95"/>
    <col min="9477" max="9477" width="12.42578125" style="95" customWidth="1"/>
    <col min="9478" max="9478" width="18.5703125" style="95" customWidth="1"/>
    <col min="9479" max="9479" width="23.5703125" style="95" customWidth="1"/>
    <col min="9480" max="9480" width="17.140625" style="95" customWidth="1"/>
    <col min="9481" max="9481" width="21.140625" style="95" customWidth="1"/>
    <col min="9482" max="9482" width="19.85546875" style="95" customWidth="1"/>
    <col min="9483" max="9483" width="17.5703125" style="95" customWidth="1"/>
    <col min="9484" max="9728" width="8.85546875" style="95"/>
    <col min="9729" max="9729" width="8.28515625" style="95" customWidth="1"/>
    <col min="9730" max="9730" width="55.42578125" style="95" bestFit="1" customWidth="1"/>
    <col min="9731" max="9731" width="9.5703125" style="95" customWidth="1"/>
    <col min="9732" max="9732" width="8.85546875" style="95"/>
    <col min="9733" max="9733" width="12.42578125" style="95" customWidth="1"/>
    <col min="9734" max="9734" width="18.5703125" style="95" customWidth="1"/>
    <col min="9735" max="9735" width="23.5703125" style="95" customWidth="1"/>
    <col min="9736" max="9736" width="17.140625" style="95" customWidth="1"/>
    <col min="9737" max="9737" width="21.140625" style="95" customWidth="1"/>
    <col min="9738" max="9738" width="19.85546875" style="95" customWidth="1"/>
    <col min="9739" max="9739" width="17.5703125" style="95" customWidth="1"/>
    <col min="9740" max="9984" width="8.85546875" style="95"/>
    <col min="9985" max="9985" width="8.28515625" style="95" customWidth="1"/>
    <col min="9986" max="9986" width="55.42578125" style="95" bestFit="1" customWidth="1"/>
    <col min="9987" max="9987" width="9.5703125" style="95" customWidth="1"/>
    <col min="9988" max="9988" width="8.85546875" style="95"/>
    <col min="9989" max="9989" width="12.42578125" style="95" customWidth="1"/>
    <col min="9990" max="9990" width="18.5703125" style="95" customWidth="1"/>
    <col min="9991" max="9991" width="23.5703125" style="95" customWidth="1"/>
    <col min="9992" max="9992" width="17.140625" style="95" customWidth="1"/>
    <col min="9993" max="9993" width="21.140625" style="95" customWidth="1"/>
    <col min="9994" max="9994" width="19.85546875" style="95" customWidth="1"/>
    <col min="9995" max="9995" width="17.5703125" style="95" customWidth="1"/>
    <col min="9996" max="10240" width="8.85546875" style="95"/>
    <col min="10241" max="10241" width="8.28515625" style="95" customWidth="1"/>
    <col min="10242" max="10242" width="55.42578125" style="95" bestFit="1" customWidth="1"/>
    <col min="10243" max="10243" width="9.5703125" style="95" customWidth="1"/>
    <col min="10244" max="10244" width="8.85546875" style="95"/>
    <col min="10245" max="10245" width="12.42578125" style="95" customWidth="1"/>
    <col min="10246" max="10246" width="18.5703125" style="95" customWidth="1"/>
    <col min="10247" max="10247" width="23.5703125" style="95" customWidth="1"/>
    <col min="10248" max="10248" width="17.140625" style="95" customWidth="1"/>
    <col min="10249" max="10249" width="21.140625" style="95" customWidth="1"/>
    <col min="10250" max="10250" width="19.85546875" style="95" customWidth="1"/>
    <col min="10251" max="10251" width="17.5703125" style="95" customWidth="1"/>
    <col min="10252" max="10496" width="8.85546875" style="95"/>
    <col min="10497" max="10497" width="8.28515625" style="95" customWidth="1"/>
    <col min="10498" max="10498" width="55.42578125" style="95" bestFit="1" customWidth="1"/>
    <col min="10499" max="10499" width="9.5703125" style="95" customWidth="1"/>
    <col min="10500" max="10500" width="8.85546875" style="95"/>
    <col min="10501" max="10501" width="12.42578125" style="95" customWidth="1"/>
    <col min="10502" max="10502" width="18.5703125" style="95" customWidth="1"/>
    <col min="10503" max="10503" width="23.5703125" style="95" customWidth="1"/>
    <col min="10504" max="10504" width="17.140625" style="95" customWidth="1"/>
    <col min="10505" max="10505" width="21.140625" style="95" customWidth="1"/>
    <col min="10506" max="10506" width="19.85546875" style="95" customWidth="1"/>
    <col min="10507" max="10507" width="17.5703125" style="95" customWidth="1"/>
    <col min="10508" max="10752" width="8.85546875" style="95"/>
    <col min="10753" max="10753" width="8.28515625" style="95" customWidth="1"/>
    <col min="10754" max="10754" width="55.42578125" style="95" bestFit="1" customWidth="1"/>
    <col min="10755" max="10755" width="9.5703125" style="95" customWidth="1"/>
    <col min="10756" max="10756" width="8.85546875" style="95"/>
    <col min="10757" max="10757" width="12.42578125" style="95" customWidth="1"/>
    <col min="10758" max="10758" width="18.5703125" style="95" customWidth="1"/>
    <col min="10759" max="10759" width="23.5703125" style="95" customWidth="1"/>
    <col min="10760" max="10760" width="17.140625" style="95" customWidth="1"/>
    <col min="10761" max="10761" width="21.140625" style="95" customWidth="1"/>
    <col min="10762" max="10762" width="19.85546875" style="95" customWidth="1"/>
    <col min="10763" max="10763" width="17.5703125" style="95" customWidth="1"/>
    <col min="10764" max="11008" width="8.85546875" style="95"/>
    <col min="11009" max="11009" width="8.28515625" style="95" customWidth="1"/>
    <col min="11010" max="11010" width="55.42578125" style="95" bestFit="1" customWidth="1"/>
    <col min="11011" max="11011" width="9.5703125" style="95" customWidth="1"/>
    <col min="11012" max="11012" width="8.85546875" style="95"/>
    <col min="11013" max="11013" width="12.42578125" style="95" customWidth="1"/>
    <col min="11014" max="11014" width="18.5703125" style="95" customWidth="1"/>
    <col min="11015" max="11015" width="23.5703125" style="95" customWidth="1"/>
    <col min="11016" max="11016" width="17.140625" style="95" customWidth="1"/>
    <col min="11017" max="11017" width="21.140625" style="95" customWidth="1"/>
    <col min="11018" max="11018" width="19.85546875" style="95" customWidth="1"/>
    <col min="11019" max="11019" width="17.5703125" style="95" customWidth="1"/>
    <col min="11020" max="11264" width="8.85546875" style="95"/>
    <col min="11265" max="11265" width="8.28515625" style="95" customWidth="1"/>
    <col min="11266" max="11266" width="55.42578125" style="95" bestFit="1" customWidth="1"/>
    <col min="11267" max="11267" width="9.5703125" style="95" customWidth="1"/>
    <col min="11268" max="11268" width="8.85546875" style="95"/>
    <col min="11269" max="11269" width="12.42578125" style="95" customWidth="1"/>
    <col min="11270" max="11270" width="18.5703125" style="95" customWidth="1"/>
    <col min="11271" max="11271" width="23.5703125" style="95" customWidth="1"/>
    <col min="11272" max="11272" width="17.140625" style="95" customWidth="1"/>
    <col min="11273" max="11273" width="21.140625" style="95" customWidth="1"/>
    <col min="11274" max="11274" width="19.85546875" style="95" customWidth="1"/>
    <col min="11275" max="11275" width="17.5703125" style="95" customWidth="1"/>
    <col min="11276" max="11520" width="8.85546875" style="95"/>
    <col min="11521" max="11521" width="8.28515625" style="95" customWidth="1"/>
    <col min="11522" max="11522" width="55.42578125" style="95" bestFit="1" customWidth="1"/>
    <col min="11523" max="11523" width="9.5703125" style="95" customWidth="1"/>
    <col min="11524" max="11524" width="8.85546875" style="95"/>
    <col min="11525" max="11525" width="12.42578125" style="95" customWidth="1"/>
    <col min="11526" max="11526" width="18.5703125" style="95" customWidth="1"/>
    <col min="11527" max="11527" width="23.5703125" style="95" customWidth="1"/>
    <col min="11528" max="11528" width="17.140625" style="95" customWidth="1"/>
    <col min="11529" max="11529" width="21.140625" style="95" customWidth="1"/>
    <col min="11530" max="11530" width="19.85546875" style="95" customWidth="1"/>
    <col min="11531" max="11531" width="17.5703125" style="95" customWidth="1"/>
    <col min="11532" max="11776" width="8.85546875" style="95"/>
    <col min="11777" max="11777" width="8.28515625" style="95" customWidth="1"/>
    <col min="11778" max="11778" width="55.42578125" style="95" bestFit="1" customWidth="1"/>
    <col min="11779" max="11779" width="9.5703125" style="95" customWidth="1"/>
    <col min="11780" max="11780" width="8.85546875" style="95"/>
    <col min="11781" max="11781" width="12.42578125" style="95" customWidth="1"/>
    <col min="11782" max="11782" width="18.5703125" style="95" customWidth="1"/>
    <col min="11783" max="11783" width="23.5703125" style="95" customWidth="1"/>
    <col min="11784" max="11784" width="17.140625" style="95" customWidth="1"/>
    <col min="11785" max="11785" width="21.140625" style="95" customWidth="1"/>
    <col min="11786" max="11786" width="19.85546875" style="95" customWidth="1"/>
    <col min="11787" max="11787" width="17.5703125" style="95" customWidth="1"/>
    <col min="11788" max="12032" width="8.85546875" style="95"/>
    <col min="12033" max="12033" width="8.28515625" style="95" customWidth="1"/>
    <col min="12034" max="12034" width="55.42578125" style="95" bestFit="1" customWidth="1"/>
    <col min="12035" max="12035" width="9.5703125" style="95" customWidth="1"/>
    <col min="12036" max="12036" width="8.85546875" style="95"/>
    <col min="12037" max="12037" width="12.42578125" style="95" customWidth="1"/>
    <col min="12038" max="12038" width="18.5703125" style="95" customWidth="1"/>
    <col min="12039" max="12039" width="23.5703125" style="95" customWidth="1"/>
    <col min="12040" max="12040" width="17.140625" style="95" customWidth="1"/>
    <col min="12041" max="12041" width="21.140625" style="95" customWidth="1"/>
    <col min="12042" max="12042" width="19.85546875" style="95" customWidth="1"/>
    <col min="12043" max="12043" width="17.5703125" style="95" customWidth="1"/>
    <col min="12044" max="12288" width="8.85546875" style="95"/>
    <col min="12289" max="12289" width="8.28515625" style="95" customWidth="1"/>
    <col min="12290" max="12290" width="55.42578125" style="95" bestFit="1" customWidth="1"/>
    <col min="12291" max="12291" width="9.5703125" style="95" customWidth="1"/>
    <col min="12292" max="12292" width="8.85546875" style="95"/>
    <col min="12293" max="12293" width="12.42578125" style="95" customWidth="1"/>
    <col min="12294" max="12294" width="18.5703125" style="95" customWidth="1"/>
    <col min="12295" max="12295" width="23.5703125" style="95" customWidth="1"/>
    <col min="12296" max="12296" width="17.140625" style="95" customWidth="1"/>
    <col min="12297" max="12297" width="21.140625" style="95" customWidth="1"/>
    <col min="12298" max="12298" width="19.85546875" style="95" customWidth="1"/>
    <col min="12299" max="12299" width="17.5703125" style="95" customWidth="1"/>
    <col min="12300" max="12544" width="8.85546875" style="95"/>
    <col min="12545" max="12545" width="8.28515625" style="95" customWidth="1"/>
    <col min="12546" max="12546" width="55.42578125" style="95" bestFit="1" customWidth="1"/>
    <col min="12547" max="12547" width="9.5703125" style="95" customWidth="1"/>
    <col min="12548" max="12548" width="8.85546875" style="95"/>
    <col min="12549" max="12549" width="12.42578125" style="95" customWidth="1"/>
    <col min="12550" max="12550" width="18.5703125" style="95" customWidth="1"/>
    <col min="12551" max="12551" width="23.5703125" style="95" customWidth="1"/>
    <col min="12552" max="12552" width="17.140625" style="95" customWidth="1"/>
    <col min="12553" max="12553" width="21.140625" style="95" customWidth="1"/>
    <col min="12554" max="12554" width="19.85546875" style="95" customWidth="1"/>
    <col min="12555" max="12555" width="17.5703125" style="95" customWidth="1"/>
    <col min="12556" max="12800" width="8.85546875" style="95"/>
    <col min="12801" max="12801" width="8.28515625" style="95" customWidth="1"/>
    <col min="12802" max="12802" width="55.42578125" style="95" bestFit="1" customWidth="1"/>
    <col min="12803" max="12803" width="9.5703125" style="95" customWidth="1"/>
    <col min="12804" max="12804" width="8.85546875" style="95"/>
    <col min="12805" max="12805" width="12.42578125" style="95" customWidth="1"/>
    <col min="12806" max="12806" width="18.5703125" style="95" customWidth="1"/>
    <col min="12807" max="12807" width="23.5703125" style="95" customWidth="1"/>
    <col min="12808" max="12808" width="17.140625" style="95" customWidth="1"/>
    <col min="12809" max="12809" width="21.140625" style="95" customWidth="1"/>
    <col min="12810" max="12810" width="19.85546875" style="95" customWidth="1"/>
    <col min="12811" max="12811" width="17.5703125" style="95" customWidth="1"/>
    <col min="12812" max="13056" width="8.85546875" style="95"/>
    <col min="13057" max="13057" width="8.28515625" style="95" customWidth="1"/>
    <col min="13058" max="13058" width="55.42578125" style="95" bestFit="1" customWidth="1"/>
    <col min="13059" max="13059" width="9.5703125" style="95" customWidth="1"/>
    <col min="13060" max="13060" width="8.85546875" style="95"/>
    <col min="13061" max="13061" width="12.42578125" style="95" customWidth="1"/>
    <col min="13062" max="13062" width="18.5703125" style="95" customWidth="1"/>
    <col min="13063" max="13063" width="23.5703125" style="95" customWidth="1"/>
    <col min="13064" max="13064" width="17.140625" style="95" customWidth="1"/>
    <col min="13065" max="13065" width="21.140625" style="95" customWidth="1"/>
    <col min="13066" max="13066" width="19.85546875" style="95" customWidth="1"/>
    <col min="13067" max="13067" width="17.5703125" style="95" customWidth="1"/>
    <col min="13068" max="13312" width="8.85546875" style="95"/>
    <col min="13313" max="13313" width="8.28515625" style="95" customWidth="1"/>
    <col min="13314" max="13314" width="55.42578125" style="95" bestFit="1" customWidth="1"/>
    <col min="13315" max="13315" width="9.5703125" style="95" customWidth="1"/>
    <col min="13316" max="13316" width="8.85546875" style="95"/>
    <col min="13317" max="13317" width="12.42578125" style="95" customWidth="1"/>
    <col min="13318" max="13318" width="18.5703125" style="95" customWidth="1"/>
    <col min="13319" max="13319" width="23.5703125" style="95" customWidth="1"/>
    <col min="13320" max="13320" width="17.140625" style="95" customWidth="1"/>
    <col min="13321" max="13321" width="21.140625" style="95" customWidth="1"/>
    <col min="13322" max="13322" width="19.85546875" style="95" customWidth="1"/>
    <col min="13323" max="13323" width="17.5703125" style="95" customWidth="1"/>
    <col min="13324" max="13568" width="8.85546875" style="95"/>
    <col min="13569" max="13569" width="8.28515625" style="95" customWidth="1"/>
    <col min="13570" max="13570" width="55.42578125" style="95" bestFit="1" customWidth="1"/>
    <col min="13571" max="13571" width="9.5703125" style="95" customWidth="1"/>
    <col min="13572" max="13572" width="8.85546875" style="95"/>
    <col min="13573" max="13573" width="12.42578125" style="95" customWidth="1"/>
    <col min="13574" max="13574" width="18.5703125" style="95" customWidth="1"/>
    <col min="13575" max="13575" width="23.5703125" style="95" customWidth="1"/>
    <col min="13576" max="13576" width="17.140625" style="95" customWidth="1"/>
    <col min="13577" max="13577" width="21.140625" style="95" customWidth="1"/>
    <col min="13578" max="13578" width="19.85546875" style="95" customWidth="1"/>
    <col min="13579" max="13579" width="17.5703125" style="95" customWidth="1"/>
    <col min="13580" max="13824" width="8.85546875" style="95"/>
    <col min="13825" max="13825" width="8.28515625" style="95" customWidth="1"/>
    <col min="13826" max="13826" width="55.42578125" style="95" bestFit="1" customWidth="1"/>
    <col min="13827" max="13827" width="9.5703125" style="95" customWidth="1"/>
    <col min="13828" max="13828" width="8.85546875" style="95"/>
    <col min="13829" max="13829" width="12.42578125" style="95" customWidth="1"/>
    <col min="13830" max="13830" width="18.5703125" style="95" customWidth="1"/>
    <col min="13831" max="13831" width="23.5703125" style="95" customWidth="1"/>
    <col min="13832" max="13832" width="17.140625" style="95" customWidth="1"/>
    <col min="13833" max="13833" width="21.140625" style="95" customWidth="1"/>
    <col min="13834" max="13834" width="19.85546875" style="95" customWidth="1"/>
    <col min="13835" max="13835" width="17.5703125" style="95" customWidth="1"/>
    <col min="13836" max="14080" width="8.85546875" style="95"/>
    <col min="14081" max="14081" width="8.28515625" style="95" customWidth="1"/>
    <col min="14082" max="14082" width="55.42578125" style="95" bestFit="1" customWidth="1"/>
    <col min="14083" max="14083" width="9.5703125" style="95" customWidth="1"/>
    <col min="14084" max="14084" width="8.85546875" style="95"/>
    <col min="14085" max="14085" width="12.42578125" style="95" customWidth="1"/>
    <col min="14086" max="14086" width="18.5703125" style="95" customWidth="1"/>
    <col min="14087" max="14087" width="23.5703125" style="95" customWidth="1"/>
    <col min="14088" max="14088" width="17.140625" style="95" customWidth="1"/>
    <col min="14089" max="14089" width="21.140625" style="95" customWidth="1"/>
    <col min="14090" max="14090" width="19.85546875" style="95" customWidth="1"/>
    <col min="14091" max="14091" width="17.5703125" style="95" customWidth="1"/>
    <col min="14092" max="14336" width="8.85546875" style="95"/>
    <col min="14337" max="14337" width="8.28515625" style="95" customWidth="1"/>
    <col min="14338" max="14338" width="55.42578125" style="95" bestFit="1" customWidth="1"/>
    <col min="14339" max="14339" width="9.5703125" style="95" customWidth="1"/>
    <col min="14340" max="14340" width="8.85546875" style="95"/>
    <col min="14341" max="14341" width="12.42578125" style="95" customWidth="1"/>
    <col min="14342" max="14342" width="18.5703125" style="95" customWidth="1"/>
    <col min="14343" max="14343" width="23.5703125" style="95" customWidth="1"/>
    <col min="14344" max="14344" width="17.140625" style="95" customWidth="1"/>
    <col min="14345" max="14345" width="21.140625" style="95" customWidth="1"/>
    <col min="14346" max="14346" width="19.85546875" style="95" customWidth="1"/>
    <col min="14347" max="14347" width="17.5703125" style="95" customWidth="1"/>
    <col min="14348" max="14592" width="8.85546875" style="95"/>
    <col min="14593" max="14593" width="8.28515625" style="95" customWidth="1"/>
    <col min="14594" max="14594" width="55.42578125" style="95" bestFit="1" customWidth="1"/>
    <col min="14595" max="14595" width="9.5703125" style="95" customWidth="1"/>
    <col min="14596" max="14596" width="8.85546875" style="95"/>
    <col min="14597" max="14597" width="12.42578125" style="95" customWidth="1"/>
    <col min="14598" max="14598" width="18.5703125" style="95" customWidth="1"/>
    <col min="14599" max="14599" width="23.5703125" style="95" customWidth="1"/>
    <col min="14600" max="14600" width="17.140625" style="95" customWidth="1"/>
    <col min="14601" max="14601" width="21.140625" style="95" customWidth="1"/>
    <col min="14602" max="14602" width="19.85546875" style="95" customWidth="1"/>
    <col min="14603" max="14603" width="17.5703125" style="95" customWidth="1"/>
    <col min="14604" max="14848" width="8.85546875" style="95"/>
    <col min="14849" max="14849" width="8.28515625" style="95" customWidth="1"/>
    <col min="14850" max="14850" width="55.42578125" style="95" bestFit="1" customWidth="1"/>
    <col min="14851" max="14851" width="9.5703125" style="95" customWidth="1"/>
    <col min="14852" max="14852" width="8.85546875" style="95"/>
    <col min="14853" max="14853" width="12.42578125" style="95" customWidth="1"/>
    <col min="14854" max="14854" width="18.5703125" style="95" customWidth="1"/>
    <col min="14855" max="14855" width="23.5703125" style="95" customWidth="1"/>
    <col min="14856" max="14856" width="17.140625" style="95" customWidth="1"/>
    <col min="14857" max="14857" width="21.140625" style="95" customWidth="1"/>
    <col min="14858" max="14858" width="19.85546875" style="95" customWidth="1"/>
    <col min="14859" max="14859" width="17.5703125" style="95" customWidth="1"/>
    <col min="14860" max="15104" width="8.85546875" style="95"/>
    <col min="15105" max="15105" width="8.28515625" style="95" customWidth="1"/>
    <col min="15106" max="15106" width="55.42578125" style="95" bestFit="1" customWidth="1"/>
    <col min="15107" max="15107" width="9.5703125" style="95" customWidth="1"/>
    <col min="15108" max="15108" width="8.85546875" style="95"/>
    <col min="15109" max="15109" width="12.42578125" style="95" customWidth="1"/>
    <col min="15110" max="15110" width="18.5703125" style="95" customWidth="1"/>
    <col min="15111" max="15111" width="23.5703125" style="95" customWidth="1"/>
    <col min="15112" max="15112" width="17.140625" style="95" customWidth="1"/>
    <col min="15113" max="15113" width="21.140625" style="95" customWidth="1"/>
    <col min="15114" max="15114" width="19.85546875" style="95" customWidth="1"/>
    <col min="15115" max="15115" width="17.5703125" style="95" customWidth="1"/>
    <col min="15116" max="15360" width="8.85546875" style="95"/>
    <col min="15361" max="15361" width="8.28515625" style="95" customWidth="1"/>
    <col min="15362" max="15362" width="55.42578125" style="95" bestFit="1" customWidth="1"/>
    <col min="15363" max="15363" width="9.5703125" style="95" customWidth="1"/>
    <col min="15364" max="15364" width="8.85546875" style="95"/>
    <col min="15365" max="15365" width="12.42578125" style="95" customWidth="1"/>
    <col min="15366" max="15366" width="18.5703125" style="95" customWidth="1"/>
    <col min="15367" max="15367" width="23.5703125" style="95" customWidth="1"/>
    <col min="15368" max="15368" width="17.140625" style="95" customWidth="1"/>
    <col min="15369" max="15369" width="21.140625" style="95" customWidth="1"/>
    <col min="15370" max="15370" width="19.85546875" style="95" customWidth="1"/>
    <col min="15371" max="15371" width="17.5703125" style="95" customWidth="1"/>
    <col min="15372" max="15616" width="8.85546875" style="95"/>
    <col min="15617" max="15617" width="8.28515625" style="95" customWidth="1"/>
    <col min="15618" max="15618" width="55.42578125" style="95" bestFit="1" customWidth="1"/>
    <col min="15619" max="15619" width="9.5703125" style="95" customWidth="1"/>
    <col min="15620" max="15620" width="8.85546875" style="95"/>
    <col min="15621" max="15621" width="12.42578125" style="95" customWidth="1"/>
    <col min="15622" max="15622" width="18.5703125" style="95" customWidth="1"/>
    <col min="15623" max="15623" width="23.5703125" style="95" customWidth="1"/>
    <col min="15624" max="15624" width="17.140625" style="95" customWidth="1"/>
    <col min="15625" max="15625" width="21.140625" style="95" customWidth="1"/>
    <col min="15626" max="15626" width="19.85546875" style="95" customWidth="1"/>
    <col min="15627" max="15627" width="17.5703125" style="95" customWidth="1"/>
    <col min="15628" max="15872" width="8.85546875" style="95"/>
    <col min="15873" max="15873" width="8.28515625" style="95" customWidth="1"/>
    <col min="15874" max="15874" width="55.42578125" style="95" bestFit="1" customWidth="1"/>
    <col min="15875" max="15875" width="9.5703125" style="95" customWidth="1"/>
    <col min="15876" max="15876" width="8.85546875" style="95"/>
    <col min="15877" max="15877" width="12.42578125" style="95" customWidth="1"/>
    <col min="15878" max="15878" width="18.5703125" style="95" customWidth="1"/>
    <col min="15879" max="15879" width="23.5703125" style="95" customWidth="1"/>
    <col min="15880" max="15880" width="17.140625" style="95" customWidth="1"/>
    <col min="15881" max="15881" width="21.140625" style="95" customWidth="1"/>
    <col min="15882" max="15882" width="19.85546875" style="95" customWidth="1"/>
    <col min="15883" max="15883" width="17.5703125" style="95" customWidth="1"/>
    <col min="15884" max="16128" width="8.85546875" style="95"/>
    <col min="16129" max="16129" width="8.28515625" style="95" customWidth="1"/>
    <col min="16130" max="16130" width="55.42578125" style="95" bestFit="1" customWidth="1"/>
    <col min="16131" max="16131" width="9.5703125" style="95" customWidth="1"/>
    <col min="16132" max="16132" width="8.85546875" style="95"/>
    <col min="16133" max="16133" width="12.42578125" style="95" customWidth="1"/>
    <col min="16134" max="16134" width="18.5703125" style="95" customWidth="1"/>
    <col min="16135" max="16135" width="23.5703125" style="95" customWidth="1"/>
    <col min="16136" max="16136" width="17.140625" style="95" customWidth="1"/>
    <col min="16137" max="16137" width="21.140625" style="95" customWidth="1"/>
    <col min="16138" max="16138" width="19.85546875" style="95" customWidth="1"/>
    <col min="16139" max="16139" width="17.5703125" style="95" customWidth="1"/>
    <col min="16140" max="16384" width="8.85546875" style="95"/>
  </cols>
  <sheetData>
    <row r="1" spans="1:11" ht="18" customHeight="1">
      <c r="C1" s="158"/>
      <c r="D1" s="159"/>
      <c r="E1" s="158"/>
      <c r="F1" s="158"/>
      <c r="G1" s="158"/>
      <c r="H1" s="158"/>
      <c r="I1" s="158"/>
      <c r="J1" s="158"/>
      <c r="K1" s="158"/>
    </row>
    <row r="2" spans="1:11" ht="18" customHeight="1">
      <c r="D2" s="600" t="s">
        <v>187</v>
      </c>
      <c r="E2" s="601"/>
      <c r="F2" s="601"/>
      <c r="G2" s="601"/>
      <c r="H2" s="601"/>
    </row>
    <row r="3" spans="1:11" ht="18" customHeight="1">
      <c r="B3" s="97" t="s">
        <v>0</v>
      </c>
    </row>
    <row r="5" spans="1:11" ht="18" customHeight="1">
      <c r="B5" s="104" t="s">
        <v>40</v>
      </c>
      <c r="C5" s="649" t="s">
        <v>315</v>
      </c>
      <c r="D5" s="603"/>
      <c r="E5" s="603"/>
      <c r="F5" s="603"/>
      <c r="G5" s="604"/>
    </row>
    <row r="6" spans="1:11" ht="18" customHeight="1">
      <c r="B6" s="104" t="s">
        <v>3</v>
      </c>
      <c r="C6" s="650" t="s">
        <v>314</v>
      </c>
      <c r="D6" s="644"/>
      <c r="E6" s="644"/>
      <c r="F6" s="644"/>
      <c r="G6" s="645"/>
    </row>
    <row r="7" spans="1:11" ht="18" customHeight="1">
      <c r="B7" s="104" t="s">
        <v>4</v>
      </c>
      <c r="C7" s="633">
        <v>2494</v>
      </c>
      <c r="D7" s="659"/>
      <c r="E7" s="659"/>
      <c r="F7" s="659"/>
      <c r="G7" s="660"/>
    </row>
    <row r="9" spans="1:11" ht="18" customHeight="1">
      <c r="B9" s="104" t="s">
        <v>1</v>
      </c>
      <c r="C9" s="649" t="s">
        <v>285</v>
      </c>
      <c r="D9" s="603"/>
      <c r="E9" s="603"/>
      <c r="F9" s="603"/>
      <c r="G9" s="604"/>
    </row>
    <row r="10" spans="1:11" ht="18" customHeight="1">
      <c r="B10" s="104" t="s">
        <v>2</v>
      </c>
      <c r="C10" s="651" t="s">
        <v>284</v>
      </c>
      <c r="D10" s="612"/>
      <c r="E10" s="612"/>
      <c r="F10" s="612"/>
      <c r="G10" s="613"/>
    </row>
    <row r="11" spans="1:11" ht="18" customHeight="1">
      <c r="B11" s="104" t="s">
        <v>32</v>
      </c>
      <c r="C11" s="649" t="s">
        <v>283</v>
      </c>
      <c r="D11" s="614"/>
      <c r="E11" s="614"/>
      <c r="F11" s="614"/>
      <c r="G11" s="614"/>
    </row>
    <row r="12" spans="1:11" ht="18" customHeight="1">
      <c r="B12" s="104"/>
      <c r="C12" s="104"/>
      <c r="D12" s="104"/>
      <c r="E12" s="104"/>
      <c r="F12" s="104"/>
      <c r="G12" s="104"/>
    </row>
    <row r="13" spans="1:11" ht="24.6" customHeight="1">
      <c r="B13" s="615"/>
      <c r="C13" s="616"/>
      <c r="D13" s="616"/>
      <c r="E13" s="616"/>
      <c r="F13" s="616"/>
      <c r="G13" s="616"/>
      <c r="H13" s="617"/>
      <c r="I13" s="158"/>
    </row>
    <row r="14" spans="1:11" ht="18" customHeight="1">
      <c r="B14" s="160"/>
    </row>
    <row r="15" spans="1:11" ht="18" customHeight="1">
      <c r="B15" s="160"/>
    </row>
    <row r="16" spans="1:11" ht="45" customHeight="1">
      <c r="A16" s="159" t="s">
        <v>181</v>
      </c>
      <c r="B16" s="158"/>
      <c r="C16" s="158"/>
      <c r="D16" s="158"/>
      <c r="E16" s="158"/>
      <c r="F16" s="108" t="s">
        <v>9</v>
      </c>
      <c r="G16" s="108" t="s">
        <v>37</v>
      </c>
      <c r="H16" s="108" t="s">
        <v>29</v>
      </c>
      <c r="I16" s="108" t="s">
        <v>30</v>
      </c>
      <c r="J16" s="108" t="s">
        <v>33</v>
      </c>
      <c r="K16" s="108" t="s">
        <v>34</v>
      </c>
    </row>
    <row r="17" spans="1:11" ht="18" customHeight="1">
      <c r="A17" s="99" t="s">
        <v>184</v>
      </c>
      <c r="B17" s="97" t="s">
        <v>182</v>
      </c>
    </row>
    <row r="18" spans="1:11" ht="18" customHeight="1">
      <c r="A18" s="104" t="s">
        <v>185</v>
      </c>
      <c r="B18" s="114" t="s">
        <v>183</v>
      </c>
      <c r="F18" s="112" t="s">
        <v>73</v>
      </c>
      <c r="G18" s="112" t="s">
        <v>73</v>
      </c>
      <c r="H18" s="110">
        <v>10803967</v>
      </c>
      <c r="I18" s="111">
        <v>0</v>
      </c>
      <c r="J18" s="110">
        <v>9238743</v>
      </c>
      <c r="K18" s="109">
        <f>(H18+I18)-J18</f>
        <v>1565224</v>
      </c>
    </row>
    <row r="19" spans="1:11" ht="45" customHeight="1">
      <c r="A19" s="159" t="s">
        <v>8</v>
      </c>
      <c r="B19" s="158"/>
      <c r="C19" s="158"/>
      <c r="D19" s="158"/>
      <c r="E19" s="158"/>
      <c r="F19" s="108" t="s">
        <v>9</v>
      </c>
      <c r="G19" s="108" t="s">
        <v>37</v>
      </c>
      <c r="H19" s="108" t="s">
        <v>29</v>
      </c>
      <c r="I19" s="108" t="s">
        <v>30</v>
      </c>
      <c r="J19" s="108" t="s">
        <v>33</v>
      </c>
      <c r="K19" s="108" t="s">
        <v>34</v>
      </c>
    </row>
    <row r="20" spans="1:11" ht="18" customHeight="1">
      <c r="A20" s="99" t="s">
        <v>74</v>
      </c>
      <c r="B20" s="97" t="s">
        <v>41</v>
      </c>
    </row>
    <row r="21" spans="1:11" ht="18" customHeight="1">
      <c r="A21" s="104" t="s">
        <v>75</v>
      </c>
      <c r="B21" s="114" t="s">
        <v>42</v>
      </c>
      <c r="F21" s="112">
        <v>1497.5</v>
      </c>
      <c r="G21" s="112">
        <v>7649</v>
      </c>
      <c r="H21" s="110">
        <v>69805</v>
      </c>
      <c r="I21" s="111">
        <v>35251</v>
      </c>
      <c r="J21" s="110">
        <v>8590</v>
      </c>
      <c r="K21" s="109">
        <f t="shared" ref="K21:K34" si="0">(H21+I21)-J21</f>
        <v>96466</v>
      </c>
    </row>
    <row r="22" spans="1:11" ht="18" customHeight="1">
      <c r="A22" s="104" t="s">
        <v>76</v>
      </c>
      <c r="B22" s="95" t="s">
        <v>6</v>
      </c>
      <c r="F22" s="112"/>
      <c r="G22" s="112"/>
      <c r="H22" s="110"/>
      <c r="I22" s="111">
        <f>H22*F$114</f>
        <v>0</v>
      </c>
      <c r="J22" s="110"/>
      <c r="K22" s="109">
        <f t="shared" si="0"/>
        <v>0</v>
      </c>
    </row>
    <row r="23" spans="1:11" ht="18" customHeight="1">
      <c r="A23" s="104" t="s">
        <v>77</v>
      </c>
      <c r="B23" s="95" t="s">
        <v>43</v>
      </c>
      <c r="F23" s="112"/>
      <c r="G23" s="112"/>
      <c r="H23" s="110"/>
      <c r="I23" s="111">
        <f>H23*F$114</f>
        <v>0</v>
      </c>
      <c r="J23" s="110"/>
      <c r="K23" s="109">
        <f t="shared" si="0"/>
        <v>0</v>
      </c>
    </row>
    <row r="24" spans="1:11" ht="18" customHeight="1">
      <c r="A24" s="104" t="s">
        <v>78</v>
      </c>
      <c r="B24" s="95" t="s">
        <v>44</v>
      </c>
      <c r="F24" s="112">
        <v>2564.8000000000002</v>
      </c>
      <c r="G24" s="112">
        <v>27421</v>
      </c>
      <c r="H24" s="110">
        <v>1096098</v>
      </c>
      <c r="I24" s="111">
        <v>403741</v>
      </c>
      <c r="J24" s="110"/>
      <c r="K24" s="109">
        <f t="shared" si="0"/>
        <v>1499839</v>
      </c>
    </row>
    <row r="25" spans="1:11" ht="18" customHeight="1">
      <c r="A25" s="104" t="s">
        <v>79</v>
      </c>
      <c r="B25" s="95" t="s">
        <v>5</v>
      </c>
      <c r="F25" s="112"/>
      <c r="G25" s="112"/>
      <c r="H25" s="110"/>
      <c r="I25" s="111">
        <f>H25*F$114</f>
        <v>0</v>
      </c>
      <c r="J25" s="110"/>
      <c r="K25" s="109">
        <f t="shared" si="0"/>
        <v>0</v>
      </c>
    </row>
    <row r="26" spans="1:11" ht="18" customHeight="1">
      <c r="A26" s="104" t="s">
        <v>80</v>
      </c>
      <c r="B26" s="95" t="s">
        <v>45</v>
      </c>
      <c r="F26" s="112"/>
      <c r="G26" s="112"/>
      <c r="H26" s="110"/>
      <c r="I26" s="111">
        <f>H26*F$114</f>
        <v>0</v>
      </c>
      <c r="J26" s="110"/>
      <c r="K26" s="109">
        <f t="shared" si="0"/>
        <v>0</v>
      </c>
    </row>
    <row r="27" spans="1:11" ht="18" customHeight="1">
      <c r="A27" s="104" t="s">
        <v>81</v>
      </c>
      <c r="B27" s="95" t="s">
        <v>46</v>
      </c>
      <c r="F27" s="112"/>
      <c r="G27" s="112"/>
      <c r="H27" s="110"/>
      <c r="I27" s="111">
        <f>H27*F$114</f>
        <v>0</v>
      </c>
      <c r="J27" s="110"/>
      <c r="K27" s="109">
        <f t="shared" si="0"/>
        <v>0</v>
      </c>
    </row>
    <row r="28" spans="1:11" ht="18" customHeight="1">
      <c r="A28" s="104" t="s">
        <v>82</v>
      </c>
      <c r="B28" s="95" t="s">
        <v>47</v>
      </c>
      <c r="F28" s="112"/>
      <c r="G28" s="112"/>
      <c r="H28" s="110"/>
      <c r="I28" s="111">
        <f>H28*F$114</f>
        <v>0</v>
      </c>
      <c r="J28" s="110"/>
      <c r="K28" s="109">
        <f t="shared" si="0"/>
        <v>0</v>
      </c>
    </row>
    <row r="29" spans="1:11" ht="18" customHeight="1">
      <c r="A29" s="104" t="s">
        <v>83</v>
      </c>
      <c r="B29" s="95" t="s">
        <v>48</v>
      </c>
      <c r="F29" s="112">
        <v>1302</v>
      </c>
      <c r="G29" s="112">
        <v>1907</v>
      </c>
      <c r="H29" s="110">
        <v>311760</v>
      </c>
      <c r="I29" s="111">
        <v>94644</v>
      </c>
      <c r="J29" s="110"/>
      <c r="K29" s="109">
        <f t="shared" si="0"/>
        <v>406404</v>
      </c>
    </row>
    <row r="30" spans="1:11" ht="18" customHeight="1">
      <c r="A30" s="104" t="s">
        <v>84</v>
      </c>
      <c r="B30" s="618" t="s">
        <v>282</v>
      </c>
      <c r="C30" s="619"/>
      <c r="D30" s="620"/>
      <c r="F30" s="112"/>
      <c r="G30" s="112">
        <v>2000</v>
      </c>
      <c r="H30" s="110">
        <v>4461</v>
      </c>
      <c r="I30" s="111">
        <v>1098</v>
      </c>
      <c r="J30" s="110"/>
      <c r="K30" s="109">
        <f t="shared" si="0"/>
        <v>5559</v>
      </c>
    </row>
    <row r="31" spans="1:11" ht="18" customHeight="1">
      <c r="A31" s="104" t="s">
        <v>133</v>
      </c>
      <c r="B31" s="618"/>
      <c r="C31" s="619"/>
      <c r="D31" s="620"/>
      <c r="F31" s="112"/>
      <c r="G31" s="112"/>
      <c r="H31" s="110"/>
      <c r="I31" s="111">
        <f>H31*F$114</f>
        <v>0</v>
      </c>
      <c r="J31" s="110"/>
      <c r="K31" s="109">
        <f t="shared" si="0"/>
        <v>0</v>
      </c>
    </row>
    <row r="32" spans="1:11" ht="18" customHeight="1">
      <c r="A32" s="104" t="s">
        <v>134</v>
      </c>
      <c r="B32" s="157"/>
      <c r="C32" s="145"/>
      <c r="D32" s="144"/>
      <c r="F32" s="112"/>
      <c r="G32" s="156" t="s">
        <v>85</v>
      </c>
      <c r="H32" s="110"/>
      <c r="I32" s="111">
        <f>H32*F$114</f>
        <v>0</v>
      </c>
      <c r="J32" s="110"/>
      <c r="K32" s="109">
        <f t="shared" si="0"/>
        <v>0</v>
      </c>
    </row>
    <row r="33" spans="1:11" ht="18" customHeight="1">
      <c r="A33" s="104" t="s">
        <v>135</v>
      </c>
      <c r="B33" s="157"/>
      <c r="C33" s="145"/>
      <c r="D33" s="144"/>
      <c r="F33" s="112"/>
      <c r="G33" s="156" t="s">
        <v>85</v>
      </c>
      <c r="H33" s="110"/>
      <c r="I33" s="111">
        <f>H33*F$114</f>
        <v>0</v>
      </c>
      <c r="J33" s="110"/>
      <c r="K33" s="109">
        <f t="shared" si="0"/>
        <v>0</v>
      </c>
    </row>
    <row r="34" spans="1:11" ht="18" customHeight="1">
      <c r="A34" s="104" t="s">
        <v>136</v>
      </c>
      <c r="B34" s="618"/>
      <c r="C34" s="619"/>
      <c r="D34" s="620"/>
      <c r="F34" s="112"/>
      <c r="G34" s="156" t="s">
        <v>85</v>
      </c>
      <c r="H34" s="110"/>
      <c r="I34" s="111">
        <f>H34*F$114</f>
        <v>0</v>
      </c>
      <c r="J34" s="110"/>
      <c r="K34" s="109">
        <f t="shared" si="0"/>
        <v>0</v>
      </c>
    </row>
    <row r="35" spans="1:11" ht="18" customHeight="1">
      <c r="K35" s="155"/>
    </row>
    <row r="36" spans="1:11" ht="18" customHeight="1">
      <c r="A36" s="99" t="s">
        <v>137</v>
      </c>
      <c r="B36" s="97" t="s">
        <v>138</v>
      </c>
      <c r="E36" s="97" t="s">
        <v>7</v>
      </c>
      <c r="F36" s="102">
        <f t="shared" ref="F36:K36" si="1">SUM(F21:F34)</f>
        <v>5364.3</v>
      </c>
      <c r="G36" s="102">
        <f t="shared" si="1"/>
        <v>38977</v>
      </c>
      <c r="H36" s="102">
        <f t="shared" si="1"/>
        <v>1482124</v>
      </c>
      <c r="I36" s="109">
        <f t="shared" si="1"/>
        <v>534734</v>
      </c>
      <c r="J36" s="109">
        <f t="shared" si="1"/>
        <v>8590</v>
      </c>
      <c r="K36" s="109">
        <f t="shared" si="1"/>
        <v>2008268</v>
      </c>
    </row>
    <row r="37" spans="1:11" ht="18" customHeight="1" thickBot="1">
      <c r="B37" s="97"/>
      <c r="F37" s="154"/>
      <c r="G37" s="154"/>
      <c r="H37" s="153"/>
      <c r="I37" s="153"/>
      <c r="J37" s="153"/>
      <c r="K37" s="152"/>
    </row>
    <row r="38" spans="1:11" ht="42.75" customHeight="1">
      <c r="F38" s="108" t="s">
        <v>9</v>
      </c>
      <c r="G38" s="108" t="s">
        <v>37</v>
      </c>
      <c r="H38" s="108" t="s">
        <v>29</v>
      </c>
      <c r="I38" s="108" t="s">
        <v>30</v>
      </c>
      <c r="J38" s="108" t="s">
        <v>33</v>
      </c>
      <c r="K38" s="108" t="s">
        <v>34</v>
      </c>
    </row>
    <row r="39" spans="1:11" ht="18.75" customHeight="1">
      <c r="A39" s="99" t="s">
        <v>86</v>
      </c>
      <c r="B39" s="97" t="s">
        <v>49</v>
      </c>
    </row>
    <row r="40" spans="1:11" ht="18" customHeight="1">
      <c r="A40" s="104" t="s">
        <v>87</v>
      </c>
      <c r="B40" s="95" t="s">
        <v>31</v>
      </c>
      <c r="F40" s="112">
        <v>102430</v>
      </c>
      <c r="G40" s="112">
        <v>1500</v>
      </c>
      <c r="H40" s="110">
        <v>11916997</v>
      </c>
      <c r="I40" s="111">
        <v>6196838</v>
      </c>
      <c r="J40" s="110"/>
      <c r="K40" s="109">
        <f t="shared" ref="K40:K47" si="2">(H40+I40)-J40</f>
        <v>18113835</v>
      </c>
    </row>
    <row r="41" spans="1:11" ht="18" customHeight="1">
      <c r="A41" s="104" t="s">
        <v>88</v>
      </c>
      <c r="B41" s="598" t="s">
        <v>50</v>
      </c>
      <c r="C41" s="599"/>
      <c r="F41" s="112">
        <v>318</v>
      </c>
      <c r="G41" s="112">
        <v>531</v>
      </c>
      <c r="H41" s="110">
        <v>625192</v>
      </c>
      <c r="I41" s="111">
        <v>325100</v>
      </c>
      <c r="J41" s="110">
        <f>430909-399909</f>
        <v>31000</v>
      </c>
      <c r="K41" s="109">
        <f t="shared" si="2"/>
        <v>919292</v>
      </c>
    </row>
    <row r="42" spans="1:11" ht="18" customHeight="1">
      <c r="A42" s="104" t="s">
        <v>89</v>
      </c>
      <c r="B42" s="114" t="s">
        <v>11</v>
      </c>
      <c r="F42" s="112">
        <v>32</v>
      </c>
      <c r="G42" s="112">
        <v>40</v>
      </c>
      <c r="H42" s="110">
        <v>7237</v>
      </c>
      <c r="I42" s="111">
        <v>3762</v>
      </c>
      <c r="J42" s="110"/>
      <c r="K42" s="109">
        <f t="shared" si="2"/>
        <v>10999</v>
      </c>
    </row>
    <row r="43" spans="1:11" ht="18" customHeight="1">
      <c r="A43" s="104" t="s">
        <v>90</v>
      </c>
      <c r="B43" s="151" t="s">
        <v>10</v>
      </c>
      <c r="C43" s="117"/>
      <c r="D43" s="117"/>
      <c r="F43" s="112"/>
      <c r="G43" s="112"/>
      <c r="H43" s="110"/>
      <c r="I43" s="111">
        <v>0</v>
      </c>
      <c r="J43" s="110"/>
      <c r="K43" s="109">
        <f t="shared" si="2"/>
        <v>0</v>
      </c>
    </row>
    <row r="44" spans="1:11" ht="18" customHeight="1">
      <c r="A44" s="104" t="s">
        <v>91</v>
      </c>
      <c r="B44" s="618"/>
      <c r="C44" s="619"/>
      <c r="D44" s="620"/>
      <c r="F44" s="149"/>
      <c r="G44" s="149"/>
      <c r="H44" s="149"/>
      <c r="I44" s="150">
        <v>0</v>
      </c>
      <c r="J44" s="149"/>
      <c r="K44" s="148">
        <f t="shared" si="2"/>
        <v>0</v>
      </c>
    </row>
    <row r="45" spans="1:11" ht="18" customHeight="1">
      <c r="A45" s="104" t="s">
        <v>139</v>
      </c>
      <c r="B45" s="618"/>
      <c r="C45" s="619"/>
      <c r="D45" s="620"/>
      <c r="F45" s="112"/>
      <c r="G45" s="112"/>
      <c r="H45" s="110"/>
      <c r="I45" s="111">
        <v>0</v>
      </c>
      <c r="J45" s="110"/>
      <c r="K45" s="109">
        <f t="shared" si="2"/>
        <v>0</v>
      </c>
    </row>
    <row r="46" spans="1:11" ht="18" customHeight="1">
      <c r="A46" s="104" t="s">
        <v>140</v>
      </c>
      <c r="B46" s="618"/>
      <c r="C46" s="619"/>
      <c r="D46" s="620"/>
      <c r="F46" s="112"/>
      <c r="G46" s="112"/>
      <c r="H46" s="110"/>
      <c r="I46" s="111">
        <v>0</v>
      </c>
      <c r="J46" s="110"/>
      <c r="K46" s="109">
        <f t="shared" si="2"/>
        <v>0</v>
      </c>
    </row>
    <row r="47" spans="1:11" ht="18" customHeight="1">
      <c r="A47" s="104" t="s">
        <v>141</v>
      </c>
      <c r="B47" s="618"/>
      <c r="C47" s="619"/>
      <c r="D47" s="620"/>
      <c r="F47" s="112"/>
      <c r="G47" s="112"/>
      <c r="H47" s="110"/>
      <c r="I47" s="111">
        <v>0</v>
      </c>
      <c r="J47" s="110"/>
      <c r="K47" s="109">
        <f t="shared" si="2"/>
        <v>0</v>
      </c>
    </row>
    <row r="49" spans="1:11" ht="18" customHeight="1">
      <c r="A49" s="99" t="s">
        <v>142</v>
      </c>
      <c r="B49" s="97" t="s">
        <v>143</v>
      </c>
      <c r="E49" s="97" t="s">
        <v>7</v>
      </c>
      <c r="F49" s="147">
        <f t="shared" ref="F49:K49" si="3">SUM(F40:F47)</f>
        <v>102780</v>
      </c>
      <c r="G49" s="147">
        <f t="shared" si="3"/>
        <v>2071</v>
      </c>
      <c r="H49" s="109">
        <f t="shared" si="3"/>
        <v>12549426</v>
      </c>
      <c r="I49" s="109">
        <f t="shared" si="3"/>
        <v>6525700</v>
      </c>
      <c r="J49" s="109">
        <f t="shared" si="3"/>
        <v>31000</v>
      </c>
      <c r="K49" s="109">
        <f t="shared" si="3"/>
        <v>19044126</v>
      </c>
    </row>
    <row r="50" spans="1:11" ht="18" customHeight="1" thickBot="1">
      <c r="G50" s="118"/>
      <c r="H50" s="118"/>
      <c r="I50" s="118"/>
      <c r="J50" s="118"/>
      <c r="K50" s="118"/>
    </row>
    <row r="51" spans="1:11" ht="42.75" customHeight="1">
      <c r="F51" s="108" t="s">
        <v>9</v>
      </c>
      <c r="G51" s="108" t="s">
        <v>37</v>
      </c>
      <c r="H51" s="108" t="s">
        <v>29</v>
      </c>
      <c r="I51" s="108" t="s">
        <v>30</v>
      </c>
      <c r="J51" s="108" t="s">
        <v>33</v>
      </c>
      <c r="K51" s="108" t="s">
        <v>34</v>
      </c>
    </row>
    <row r="52" spans="1:11" ht="18" customHeight="1">
      <c r="A52" s="99" t="s">
        <v>92</v>
      </c>
      <c r="B52" s="621" t="s">
        <v>38</v>
      </c>
      <c r="C52" s="622"/>
    </row>
    <row r="53" spans="1:11" ht="18" customHeight="1">
      <c r="A53" s="104" t="s">
        <v>51</v>
      </c>
      <c r="B53" s="623" t="s">
        <v>313</v>
      </c>
      <c r="C53" s="624"/>
      <c r="D53" s="625"/>
      <c r="F53" s="112"/>
      <c r="G53" s="112"/>
      <c r="H53" s="110">
        <v>7107366</v>
      </c>
      <c r="I53" s="111">
        <v>0</v>
      </c>
      <c r="J53" s="110">
        <v>6567646</v>
      </c>
      <c r="K53" s="109">
        <f t="shared" ref="K53:K62" si="4">(H53+I53)-J53</f>
        <v>539720</v>
      </c>
    </row>
    <row r="54" spans="1:11" ht="18" customHeight="1">
      <c r="A54" s="104" t="s">
        <v>93</v>
      </c>
      <c r="B54" s="139" t="s">
        <v>312</v>
      </c>
      <c r="C54" s="138"/>
      <c r="D54" s="137"/>
      <c r="F54" s="112"/>
      <c r="G54" s="112"/>
      <c r="H54" s="110">
        <v>3362725</v>
      </c>
      <c r="I54" s="111">
        <v>0</v>
      </c>
      <c r="J54" s="110">
        <v>956418</v>
      </c>
      <c r="K54" s="109">
        <f t="shared" si="4"/>
        <v>2406307</v>
      </c>
    </row>
    <row r="55" spans="1:11" ht="18" customHeight="1">
      <c r="A55" s="104" t="s">
        <v>94</v>
      </c>
      <c r="B55" s="626" t="s">
        <v>311</v>
      </c>
      <c r="C55" s="627"/>
      <c r="D55" s="625"/>
      <c r="F55" s="112"/>
      <c r="G55" s="112"/>
      <c r="H55" s="110">
        <v>726504</v>
      </c>
      <c r="I55" s="111">
        <v>0</v>
      </c>
      <c r="J55" s="110"/>
      <c r="K55" s="109">
        <f t="shared" si="4"/>
        <v>726504</v>
      </c>
    </row>
    <row r="56" spans="1:11" ht="18" customHeight="1">
      <c r="A56" s="104" t="s">
        <v>95</v>
      </c>
      <c r="B56" s="626" t="s">
        <v>310</v>
      </c>
      <c r="C56" s="627"/>
      <c r="D56" s="625"/>
      <c r="F56" s="112" t="s">
        <v>740</v>
      </c>
      <c r="G56" s="112"/>
      <c r="H56" s="110">
        <v>200000</v>
      </c>
      <c r="I56" s="111">
        <v>0</v>
      </c>
      <c r="J56" s="110"/>
      <c r="K56" s="109">
        <f t="shared" si="4"/>
        <v>200000</v>
      </c>
    </row>
    <row r="57" spans="1:11" ht="18" customHeight="1">
      <c r="A57" s="104" t="s">
        <v>96</v>
      </c>
      <c r="B57" s="626" t="s">
        <v>309</v>
      </c>
      <c r="C57" s="627"/>
      <c r="D57" s="625"/>
      <c r="F57" s="112"/>
      <c r="G57" s="112"/>
      <c r="H57" s="110">
        <v>5063001</v>
      </c>
      <c r="I57" s="111">
        <v>0</v>
      </c>
      <c r="J57" s="110">
        <v>3445001</v>
      </c>
      <c r="K57" s="109">
        <f t="shared" si="4"/>
        <v>1618000</v>
      </c>
    </row>
    <row r="58" spans="1:11" ht="18" customHeight="1">
      <c r="A58" s="104" t="s">
        <v>97</v>
      </c>
      <c r="B58" s="139"/>
      <c r="C58" s="138"/>
      <c r="D58" s="137"/>
      <c r="F58" s="112"/>
      <c r="G58" s="112"/>
      <c r="H58" s="110"/>
      <c r="I58" s="111">
        <v>0</v>
      </c>
      <c r="J58" s="110"/>
      <c r="K58" s="109">
        <f t="shared" si="4"/>
        <v>0</v>
      </c>
    </row>
    <row r="59" spans="1:11" ht="18" customHeight="1">
      <c r="A59" s="104" t="s">
        <v>98</v>
      </c>
      <c r="B59" s="626"/>
      <c r="C59" s="627"/>
      <c r="D59" s="625"/>
      <c r="F59" s="112"/>
      <c r="G59" s="112"/>
      <c r="H59" s="110"/>
      <c r="I59" s="111">
        <v>0</v>
      </c>
      <c r="J59" s="110"/>
      <c r="K59" s="109">
        <f t="shared" si="4"/>
        <v>0</v>
      </c>
    </row>
    <row r="60" spans="1:11" ht="18" customHeight="1">
      <c r="A60" s="104" t="s">
        <v>99</v>
      </c>
      <c r="B60" s="139"/>
      <c r="C60" s="138"/>
      <c r="D60" s="137"/>
      <c r="F60" s="112"/>
      <c r="G60" s="112"/>
      <c r="H60" s="110"/>
      <c r="I60" s="111">
        <v>0</v>
      </c>
      <c r="J60" s="110"/>
      <c r="K60" s="109">
        <f t="shared" si="4"/>
        <v>0</v>
      </c>
    </row>
    <row r="61" spans="1:11" ht="18" customHeight="1">
      <c r="A61" s="104" t="s">
        <v>100</v>
      </c>
      <c r="B61" s="139"/>
      <c r="C61" s="138"/>
      <c r="D61" s="137"/>
      <c r="F61" s="112"/>
      <c r="G61" s="112"/>
      <c r="H61" s="110"/>
      <c r="I61" s="111">
        <v>0</v>
      </c>
      <c r="J61" s="110"/>
      <c r="K61" s="109">
        <f t="shared" si="4"/>
        <v>0</v>
      </c>
    </row>
    <row r="62" spans="1:11" ht="18" customHeight="1">
      <c r="A62" s="104" t="s">
        <v>101</v>
      </c>
      <c r="B62" s="626"/>
      <c r="C62" s="627"/>
      <c r="D62" s="625"/>
      <c r="F62" s="112"/>
      <c r="G62" s="112"/>
      <c r="H62" s="110"/>
      <c r="I62" s="111">
        <v>0</v>
      </c>
      <c r="J62" s="110"/>
      <c r="K62" s="109">
        <f t="shared" si="4"/>
        <v>0</v>
      </c>
    </row>
    <row r="63" spans="1:11" ht="18" customHeight="1">
      <c r="A63" s="104"/>
      <c r="I63" s="143"/>
    </row>
    <row r="64" spans="1:11" ht="18" customHeight="1">
      <c r="A64" s="104" t="s">
        <v>144</v>
      </c>
      <c r="B64" s="97" t="s">
        <v>145</v>
      </c>
      <c r="E64" s="97" t="s">
        <v>7</v>
      </c>
      <c r="F64" s="102">
        <f t="shared" ref="F64:K64" si="5">SUM(F53:F62)</f>
        <v>0</v>
      </c>
      <c r="G64" s="102">
        <f t="shared" si="5"/>
        <v>0</v>
      </c>
      <c r="H64" s="109">
        <f t="shared" si="5"/>
        <v>16459596</v>
      </c>
      <c r="I64" s="109">
        <f t="shared" si="5"/>
        <v>0</v>
      </c>
      <c r="J64" s="109">
        <f t="shared" si="5"/>
        <v>10969065</v>
      </c>
      <c r="K64" s="109">
        <f t="shared" si="5"/>
        <v>5490531</v>
      </c>
    </row>
    <row r="65" spans="1:11" ht="18" customHeight="1">
      <c r="F65" s="101"/>
      <c r="G65" s="101"/>
      <c r="H65" s="101"/>
      <c r="I65" s="101"/>
      <c r="J65" s="101"/>
      <c r="K65" s="101"/>
    </row>
    <row r="66" spans="1:11" ht="42.75" customHeight="1">
      <c r="F66" s="142" t="s">
        <v>9</v>
      </c>
      <c r="G66" s="142" t="s">
        <v>37</v>
      </c>
      <c r="H66" s="142" t="s">
        <v>29</v>
      </c>
      <c r="I66" s="142" t="s">
        <v>30</v>
      </c>
      <c r="J66" s="142" t="s">
        <v>33</v>
      </c>
      <c r="K66" s="142" t="s">
        <v>34</v>
      </c>
    </row>
    <row r="67" spans="1:11" ht="18" customHeight="1">
      <c r="A67" s="99" t="s">
        <v>102</v>
      </c>
      <c r="B67" s="97" t="s">
        <v>12</v>
      </c>
      <c r="F67" s="141"/>
      <c r="G67" s="141"/>
      <c r="H67" s="141"/>
      <c r="I67" s="130"/>
      <c r="J67" s="141"/>
      <c r="K67" s="128"/>
    </row>
    <row r="68" spans="1:11" ht="18" customHeight="1">
      <c r="A68" s="104" t="s">
        <v>103</v>
      </c>
      <c r="B68" s="95" t="s">
        <v>52</v>
      </c>
      <c r="F68" s="140">
        <v>18116</v>
      </c>
      <c r="G68" s="140"/>
      <c r="H68" s="140">
        <v>864478</v>
      </c>
      <c r="I68" s="111">
        <v>449529</v>
      </c>
      <c r="J68" s="140"/>
      <c r="K68" s="109">
        <f>(H68+I68)-J68</f>
        <v>1314007</v>
      </c>
    </row>
    <row r="69" spans="1:11" ht="18" customHeight="1">
      <c r="A69" s="104" t="s">
        <v>104</v>
      </c>
      <c r="B69" s="114" t="s">
        <v>53</v>
      </c>
      <c r="F69" s="140"/>
      <c r="G69" s="140"/>
      <c r="H69" s="140"/>
      <c r="I69" s="111">
        <v>0</v>
      </c>
      <c r="J69" s="140"/>
      <c r="K69" s="109">
        <f>(H69+I69)-J69</f>
        <v>0</v>
      </c>
    </row>
    <row r="70" spans="1:11" ht="18" customHeight="1">
      <c r="A70" s="104" t="s">
        <v>178</v>
      </c>
      <c r="B70" s="139"/>
      <c r="C70" s="138"/>
      <c r="D70" s="137"/>
      <c r="E70" s="97"/>
      <c r="F70" s="136"/>
      <c r="G70" s="136"/>
      <c r="H70" s="135"/>
      <c r="I70" s="111">
        <v>0</v>
      </c>
      <c r="J70" s="135"/>
      <c r="K70" s="109">
        <f>(H70+I70)-J70</f>
        <v>0</v>
      </c>
    </row>
    <row r="71" spans="1:11" ht="18" customHeight="1">
      <c r="A71" s="104" t="s">
        <v>179</v>
      </c>
      <c r="B71" s="139"/>
      <c r="C71" s="138"/>
      <c r="D71" s="137"/>
      <c r="E71" s="97"/>
      <c r="F71" s="136"/>
      <c r="G71" s="136"/>
      <c r="H71" s="135"/>
      <c r="I71" s="111">
        <v>0</v>
      </c>
      <c r="J71" s="135"/>
      <c r="K71" s="109">
        <f>(H71+I71)-J71</f>
        <v>0</v>
      </c>
    </row>
    <row r="72" spans="1:11" ht="18" customHeight="1">
      <c r="A72" s="104" t="s">
        <v>180</v>
      </c>
      <c r="B72" s="134"/>
      <c r="C72" s="133"/>
      <c r="D72" s="132"/>
      <c r="E72" s="97"/>
      <c r="F72" s="112"/>
      <c r="G72" s="112"/>
      <c r="H72" s="110"/>
      <c r="I72" s="111">
        <v>0</v>
      </c>
      <c r="J72" s="110"/>
      <c r="K72" s="109">
        <f>(H72+I72)-J72</f>
        <v>0</v>
      </c>
    </row>
    <row r="73" spans="1:11" ht="18" customHeight="1">
      <c r="A73" s="104"/>
      <c r="B73" s="114"/>
      <c r="E73" s="97"/>
      <c r="F73" s="131"/>
      <c r="G73" s="131"/>
      <c r="H73" s="129"/>
      <c r="I73" s="130"/>
      <c r="J73" s="129"/>
      <c r="K73" s="128"/>
    </row>
    <row r="74" spans="1:11" ht="18" customHeight="1">
      <c r="A74" s="99" t="s">
        <v>146</v>
      </c>
      <c r="B74" s="97" t="s">
        <v>147</v>
      </c>
      <c r="E74" s="97" t="s">
        <v>7</v>
      </c>
      <c r="F74" s="125">
        <f t="shared" ref="F74:K74" si="6">SUM(F68:F72)</f>
        <v>18116</v>
      </c>
      <c r="G74" s="125">
        <f t="shared" si="6"/>
        <v>0</v>
      </c>
      <c r="H74" s="125">
        <f t="shared" si="6"/>
        <v>864478</v>
      </c>
      <c r="I74" s="127">
        <f t="shared" si="6"/>
        <v>449529</v>
      </c>
      <c r="J74" s="125">
        <f t="shared" si="6"/>
        <v>0</v>
      </c>
      <c r="K74" s="113">
        <f t="shared" si="6"/>
        <v>1314007</v>
      </c>
    </row>
    <row r="75" spans="1:11" ht="42.75" customHeight="1">
      <c r="F75" s="108" t="s">
        <v>9</v>
      </c>
      <c r="G75" s="108" t="s">
        <v>37</v>
      </c>
      <c r="H75" s="108" t="s">
        <v>29</v>
      </c>
      <c r="I75" s="108" t="s">
        <v>30</v>
      </c>
      <c r="J75" s="108" t="s">
        <v>33</v>
      </c>
      <c r="K75" s="108" t="s">
        <v>34</v>
      </c>
    </row>
    <row r="76" spans="1:11" ht="18" customHeight="1">
      <c r="A76" s="99" t="s">
        <v>105</v>
      </c>
      <c r="B76" s="97" t="s">
        <v>106</v>
      </c>
    </row>
    <row r="77" spans="1:11" ht="18" customHeight="1">
      <c r="A77" s="104" t="s">
        <v>107</v>
      </c>
      <c r="B77" s="114" t="s">
        <v>54</v>
      </c>
      <c r="F77" s="112"/>
      <c r="G77" s="112"/>
      <c r="H77" s="110">
        <v>21938</v>
      </c>
      <c r="I77" s="111">
        <v>0</v>
      </c>
      <c r="J77" s="110"/>
      <c r="K77" s="109">
        <f>(H77+I77)-J77</f>
        <v>21938</v>
      </c>
    </row>
    <row r="78" spans="1:11" ht="18" customHeight="1">
      <c r="A78" s="104" t="s">
        <v>108</v>
      </c>
      <c r="B78" s="114" t="s">
        <v>55</v>
      </c>
      <c r="F78" s="112"/>
      <c r="G78" s="112"/>
      <c r="H78" s="110"/>
      <c r="I78" s="111"/>
      <c r="J78" s="110"/>
      <c r="K78" s="109">
        <f>(H78+I78)-J78</f>
        <v>0</v>
      </c>
    </row>
    <row r="79" spans="1:11" ht="18" customHeight="1">
      <c r="A79" s="104" t="s">
        <v>109</v>
      </c>
      <c r="B79" s="114" t="s">
        <v>13</v>
      </c>
      <c r="F79" s="112"/>
      <c r="G79" s="112">
        <v>260</v>
      </c>
      <c r="H79" s="110">
        <v>11845</v>
      </c>
      <c r="I79" s="111">
        <v>6159</v>
      </c>
      <c r="J79" s="110"/>
      <c r="K79" s="109">
        <f>(H79+I79)-J79</f>
        <v>18004</v>
      </c>
    </row>
    <row r="80" spans="1:11" ht="18" customHeight="1">
      <c r="A80" s="104" t="s">
        <v>110</v>
      </c>
      <c r="B80" s="114" t="s">
        <v>56</v>
      </c>
      <c r="F80" s="112"/>
      <c r="G80" s="112"/>
      <c r="H80" s="110"/>
      <c r="I80" s="111">
        <v>0</v>
      </c>
      <c r="J80" s="110"/>
      <c r="K80" s="109">
        <f>(H80+I80)-J80</f>
        <v>0</v>
      </c>
    </row>
    <row r="81" spans="1:11" ht="18" customHeight="1">
      <c r="A81" s="104"/>
      <c r="K81" s="126"/>
    </row>
    <row r="82" spans="1:11" ht="18" customHeight="1">
      <c r="A82" s="104" t="s">
        <v>148</v>
      </c>
      <c r="B82" s="97" t="s">
        <v>149</v>
      </c>
      <c r="E82" s="97" t="s">
        <v>7</v>
      </c>
      <c r="F82" s="125">
        <f t="shared" ref="F82:K82" si="7">SUM(F77:F80)</f>
        <v>0</v>
      </c>
      <c r="G82" s="125">
        <f t="shared" si="7"/>
        <v>260</v>
      </c>
      <c r="H82" s="113">
        <f t="shared" si="7"/>
        <v>33783</v>
      </c>
      <c r="I82" s="113">
        <f t="shared" si="7"/>
        <v>6159</v>
      </c>
      <c r="J82" s="113">
        <f t="shared" si="7"/>
        <v>0</v>
      </c>
      <c r="K82" s="113">
        <f t="shared" si="7"/>
        <v>39942</v>
      </c>
    </row>
    <row r="83" spans="1:11" ht="18" customHeight="1" thickBot="1">
      <c r="A83" s="104"/>
      <c r="F83" s="118"/>
      <c r="G83" s="118"/>
      <c r="H83" s="118"/>
      <c r="I83" s="118"/>
      <c r="J83" s="118"/>
      <c r="K83" s="118"/>
    </row>
    <row r="84" spans="1:11" ht="42.75" customHeight="1">
      <c r="F84" s="108" t="s">
        <v>9</v>
      </c>
      <c r="G84" s="108" t="s">
        <v>37</v>
      </c>
      <c r="H84" s="108" t="s">
        <v>29</v>
      </c>
      <c r="I84" s="108" t="s">
        <v>30</v>
      </c>
      <c r="J84" s="108" t="s">
        <v>33</v>
      </c>
      <c r="K84" s="108" t="s">
        <v>34</v>
      </c>
    </row>
    <row r="85" spans="1:11" ht="18" customHeight="1">
      <c r="A85" s="99" t="s">
        <v>111</v>
      </c>
      <c r="B85" s="97" t="s">
        <v>57</v>
      </c>
    </row>
    <row r="86" spans="1:11" ht="18" customHeight="1">
      <c r="A86" s="104" t="s">
        <v>112</v>
      </c>
      <c r="B86" s="114" t="s">
        <v>113</v>
      </c>
      <c r="F86" s="112"/>
      <c r="G86" s="112"/>
      <c r="H86" s="110"/>
      <c r="I86" s="111">
        <v>0</v>
      </c>
      <c r="J86" s="110"/>
      <c r="K86" s="109">
        <f t="shared" ref="K86:K96" si="8">(H86+I86)-J86</f>
        <v>0</v>
      </c>
    </row>
    <row r="87" spans="1:11" ht="18" customHeight="1">
      <c r="A87" s="104" t="s">
        <v>114</v>
      </c>
      <c r="B87" s="114" t="s">
        <v>14</v>
      </c>
      <c r="F87" s="112"/>
      <c r="G87" s="112"/>
      <c r="H87" s="110"/>
      <c r="I87" s="111">
        <v>0</v>
      </c>
      <c r="J87" s="110"/>
      <c r="K87" s="109">
        <f t="shared" si="8"/>
        <v>0</v>
      </c>
    </row>
    <row r="88" spans="1:11" ht="18" customHeight="1">
      <c r="A88" s="104" t="s">
        <v>115</v>
      </c>
      <c r="B88" s="114" t="s">
        <v>116</v>
      </c>
      <c r="F88" s="112"/>
      <c r="G88" s="112"/>
      <c r="H88" s="110">
        <v>115187</v>
      </c>
      <c r="I88" s="111">
        <v>59897</v>
      </c>
      <c r="J88" s="110">
        <v>29873</v>
      </c>
      <c r="K88" s="109">
        <f t="shared" si="8"/>
        <v>145211</v>
      </c>
    </row>
    <row r="89" spans="1:11" ht="18" customHeight="1">
      <c r="A89" s="104" t="s">
        <v>117</v>
      </c>
      <c r="B89" s="114" t="s">
        <v>58</v>
      </c>
      <c r="F89" s="112"/>
      <c r="G89" s="112"/>
      <c r="H89" s="110"/>
      <c r="I89" s="111">
        <f>H89*F$114</f>
        <v>0</v>
      </c>
      <c r="J89" s="110"/>
      <c r="K89" s="109">
        <f t="shared" si="8"/>
        <v>0</v>
      </c>
    </row>
    <row r="90" spans="1:11" ht="18" customHeight="1">
      <c r="A90" s="104" t="s">
        <v>118</v>
      </c>
      <c r="B90" s="598" t="s">
        <v>59</v>
      </c>
      <c r="C90" s="599"/>
      <c r="F90" s="112"/>
      <c r="G90" s="112"/>
      <c r="H90" s="110"/>
      <c r="I90" s="111">
        <f>H90*F$114</f>
        <v>0</v>
      </c>
      <c r="J90" s="110"/>
      <c r="K90" s="109">
        <f t="shared" si="8"/>
        <v>0</v>
      </c>
    </row>
    <row r="91" spans="1:11" ht="18" customHeight="1">
      <c r="A91" s="104" t="s">
        <v>119</v>
      </c>
      <c r="B91" s="114" t="s">
        <v>60</v>
      </c>
      <c r="F91" s="112"/>
      <c r="G91" s="112"/>
      <c r="H91" s="110"/>
      <c r="I91" s="111">
        <f>H91*F$114</f>
        <v>0</v>
      </c>
      <c r="J91" s="110"/>
      <c r="K91" s="109">
        <f t="shared" si="8"/>
        <v>0</v>
      </c>
    </row>
    <row r="92" spans="1:11" ht="18" customHeight="1">
      <c r="A92" s="104" t="s">
        <v>120</v>
      </c>
      <c r="B92" s="114" t="s">
        <v>121</v>
      </c>
      <c r="F92" s="124"/>
      <c r="G92" s="124"/>
      <c r="H92" s="123">
        <v>29317</v>
      </c>
      <c r="I92" s="111">
        <v>0</v>
      </c>
      <c r="J92" s="123"/>
      <c r="K92" s="109">
        <f t="shared" si="8"/>
        <v>29317</v>
      </c>
    </row>
    <row r="93" spans="1:11" ht="18" customHeight="1">
      <c r="A93" s="104" t="s">
        <v>122</v>
      </c>
      <c r="B93" s="114" t="s">
        <v>123</v>
      </c>
      <c r="F93" s="112">
        <v>8</v>
      </c>
      <c r="G93" s="112">
        <v>500</v>
      </c>
      <c r="H93" s="110">
        <v>397</v>
      </c>
      <c r="I93" s="111">
        <f>H93*F$114</f>
        <v>206.44</v>
      </c>
      <c r="J93" s="110"/>
      <c r="K93" s="109">
        <f t="shared" si="8"/>
        <v>603.44000000000005</v>
      </c>
    </row>
    <row r="94" spans="1:11" ht="18" customHeight="1">
      <c r="A94" s="104" t="s">
        <v>124</v>
      </c>
      <c r="B94" s="626"/>
      <c r="C94" s="627"/>
      <c r="D94" s="625"/>
      <c r="F94" s="112"/>
      <c r="G94" s="112"/>
      <c r="H94" s="110"/>
      <c r="I94" s="111">
        <f>H94*F$114</f>
        <v>0</v>
      </c>
      <c r="J94" s="110"/>
      <c r="K94" s="109">
        <f t="shared" si="8"/>
        <v>0</v>
      </c>
    </row>
    <row r="95" spans="1:11" ht="18" customHeight="1">
      <c r="A95" s="104" t="s">
        <v>125</v>
      </c>
      <c r="B95" s="626"/>
      <c r="C95" s="627"/>
      <c r="D95" s="625"/>
      <c r="F95" s="112"/>
      <c r="G95" s="112"/>
      <c r="H95" s="110"/>
      <c r="I95" s="111">
        <f>H95*F$114</f>
        <v>0</v>
      </c>
      <c r="J95" s="110"/>
      <c r="K95" s="109">
        <f t="shared" si="8"/>
        <v>0</v>
      </c>
    </row>
    <row r="96" spans="1:11" ht="18" customHeight="1">
      <c r="A96" s="104" t="s">
        <v>126</v>
      </c>
      <c r="B96" s="626"/>
      <c r="C96" s="627"/>
      <c r="D96" s="625"/>
      <c r="F96" s="112"/>
      <c r="G96" s="112"/>
      <c r="H96" s="110"/>
      <c r="I96" s="111">
        <f>H96*F$114</f>
        <v>0</v>
      </c>
      <c r="J96" s="110"/>
      <c r="K96" s="109">
        <f t="shared" si="8"/>
        <v>0</v>
      </c>
    </row>
    <row r="97" spans="1:11" ht="18" customHeight="1">
      <c r="A97" s="104"/>
      <c r="B97" s="114"/>
    </row>
    <row r="98" spans="1:11" ht="18" customHeight="1">
      <c r="A98" s="99" t="s">
        <v>150</v>
      </c>
      <c r="B98" s="97" t="s">
        <v>151</v>
      </c>
      <c r="E98" s="97" t="s">
        <v>7</v>
      </c>
      <c r="F98" s="102">
        <f t="shared" ref="F98:K98" si="9">SUM(F86:F96)</f>
        <v>8</v>
      </c>
      <c r="G98" s="102">
        <f t="shared" si="9"/>
        <v>500</v>
      </c>
      <c r="H98" s="102">
        <f t="shared" si="9"/>
        <v>144901</v>
      </c>
      <c r="I98" s="102">
        <f t="shared" si="9"/>
        <v>60103.44</v>
      </c>
      <c r="J98" s="102">
        <f t="shared" si="9"/>
        <v>29873</v>
      </c>
      <c r="K98" s="102">
        <f t="shared" si="9"/>
        <v>175131.44</v>
      </c>
    </row>
    <row r="99" spans="1:11" ht="18" customHeight="1" thickBot="1">
      <c r="B99" s="97"/>
      <c r="F99" s="118"/>
      <c r="G99" s="118"/>
      <c r="H99" s="118"/>
      <c r="I99" s="118"/>
      <c r="J99" s="118"/>
      <c r="K99" s="118"/>
    </row>
    <row r="100" spans="1:11" ht="42.75" customHeight="1">
      <c r="F100" s="108" t="s">
        <v>9</v>
      </c>
      <c r="G100" s="108" t="s">
        <v>37</v>
      </c>
      <c r="H100" s="108" t="s">
        <v>29</v>
      </c>
      <c r="I100" s="108" t="s">
        <v>30</v>
      </c>
      <c r="J100" s="108" t="s">
        <v>33</v>
      </c>
      <c r="K100" s="108" t="s">
        <v>34</v>
      </c>
    </row>
    <row r="101" spans="1:11" ht="18" customHeight="1">
      <c r="A101" s="99" t="s">
        <v>130</v>
      </c>
      <c r="B101" s="97" t="s">
        <v>63</v>
      </c>
    </row>
    <row r="102" spans="1:11" ht="18" customHeight="1">
      <c r="A102" s="104" t="s">
        <v>131</v>
      </c>
      <c r="B102" s="114" t="s">
        <v>152</v>
      </c>
      <c r="F102" s="112">
        <v>140</v>
      </c>
      <c r="G102" s="112"/>
      <c r="H102" s="110">
        <v>68279</v>
      </c>
      <c r="I102" s="111">
        <v>3045</v>
      </c>
      <c r="J102" s="110"/>
      <c r="K102" s="109">
        <f>(H102+I102)-J102</f>
        <v>71324</v>
      </c>
    </row>
    <row r="103" spans="1:11" ht="18" customHeight="1">
      <c r="A103" s="104" t="s">
        <v>132</v>
      </c>
      <c r="B103" s="598" t="s">
        <v>62</v>
      </c>
      <c r="C103" s="598"/>
      <c r="F103" s="112"/>
      <c r="G103" s="112"/>
      <c r="H103" s="110"/>
      <c r="I103" s="111">
        <v>0</v>
      </c>
      <c r="J103" s="110"/>
      <c r="K103" s="109">
        <f>(H103+I103)-J103</f>
        <v>0</v>
      </c>
    </row>
    <row r="104" spans="1:11" ht="18" customHeight="1">
      <c r="A104" s="104" t="s">
        <v>128</v>
      </c>
      <c r="B104" s="628" t="s">
        <v>247</v>
      </c>
      <c r="C104" s="627"/>
      <c r="D104" s="625"/>
      <c r="F104" s="112"/>
      <c r="G104" s="112"/>
      <c r="H104" s="110">
        <v>38111</v>
      </c>
      <c r="I104" s="111">
        <v>0</v>
      </c>
      <c r="J104" s="110"/>
      <c r="K104" s="109">
        <f>(H104+I104)-J104</f>
        <v>38111</v>
      </c>
    </row>
    <row r="105" spans="1:11" ht="18" customHeight="1">
      <c r="A105" s="104" t="s">
        <v>127</v>
      </c>
      <c r="B105" s="626"/>
      <c r="C105" s="627"/>
      <c r="D105" s="625"/>
      <c r="F105" s="112"/>
      <c r="G105" s="112"/>
      <c r="H105" s="110"/>
      <c r="I105" s="111">
        <f>H105*F$114</f>
        <v>0</v>
      </c>
      <c r="J105" s="110"/>
      <c r="K105" s="109">
        <f>(H105+I105)-J105</f>
        <v>0</v>
      </c>
    </row>
    <row r="106" spans="1:11" ht="18" customHeight="1">
      <c r="A106" s="104" t="s">
        <v>129</v>
      </c>
      <c r="B106" s="626"/>
      <c r="C106" s="627"/>
      <c r="D106" s="625"/>
      <c r="F106" s="112"/>
      <c r="G106" s="112"/>
      <c r="H106" s="110"/>
      <c r="I106" s="111">
        <f>H106*F$114</f>
        <v>0</v>
      </c>
      <c r="J106" s="110"/>
      <c r="K106" s="109">
        <f>(H106+I106)-J106</f>
        <v>0</v>
      </c>
    </row>
    <row r="107" spans="1:11" ht="18" customHeight="1">
      <c r="B107" s="97"/>
    </row>
    <row r="108" spans="1:11" s="117" customFormat="1" ht="18" customHeight="1">
      <c r="A108" s="99" t="s">
        <v>153</v>
      </c>
      <c r="B108" s="122" t="s">
        <v>154</v>
      </c>
      <c r="C108" s="95"/>
      <c r="D108" s="95"/>
      <c r="E108" s="97" t="s">
        <v>7</v>
      </c>
      <c r="F108" s="102">
        <f t="shared" ref="F108:K108" si="10">SUM(F102:F106)</f>
        <v>140</v>
      </c>
      <c r="G108" s="102">
        <f t="shared" si="10"/>
        <v>0</v>
      </c>
      <c r="H108" s="109">
        <f t="shared" si="10"/>
        <v>106390</v>
      </c>
      <c r="I108" s="109">
        <f t="shared" si="10"/>
        <v>3045</v>
      </c>
      <c r="J108" s="109">
        <f t="shared" si="10"/>
        <v>0</v>
      </c>
      <c r="K108" s="109">
        <f t="shared" si="10"/>
        <v>109435</v>
      </c>
    </row>
    <row r="109" spans="1:11" s="117" customFormat="1" ht="18" customHeight="1" thickBot="1">
      <c r="A109" s="121"/>
      <c r="B109" s="120"/>
      <c r="C109" s="119"/>
      <c r="D109" s="119"/>
      <c r="E109" s="119"/>
      <c r="F109" s="118"/>
      <c r="G109" s="118"/>
      <c r="H109" s="118"/>
      <c r="I109" s="118"/>
      <c r="J109" s="118"/>
      <c r="K109" s="118"/>
    </row>
    <row r="110" spans="1:11" s="117" customFormat="1" ht="18" customHeight="1">
      <c r="A110" s="99" t="s">
        <v>156</v>
      </c>
      <c r="B110" s="97" t="s">
        <v>39</v>
      </c>
      <c r="C110" s="95"/>
      <c r="D110" s="95"/>
      <c r="E110" s="95"/>
      <c r="F110" s="95"/>
      <c r="G110" s="95"/>
      <c r="H110" s="95"/>
      <c r="I110" s="95"/>
      <c r="J110" s="95"/>
      <c r="K110" s="95"/>
    </row>
    <row r="111" spans="1:11" ht="18" customHeight="1">
      <c r="A111" s="99" t="s">
        <v>155</v>
      </c>
      <c r="B111" s="97" t="s">
        <v>164</v>
      </c>
      <c r="E111" s="97" t="s">
        <v>7</v>
      </c>
      <c r="F111" s="110">
        <v>14855717</v>
      </c>
    </row>
    <row r="112" spans="1:11" ht="18" customHeight="1">
      <c r="B112" s="97"/>
      <c r="E112" s="97"/>
      <c r="F112" s="116"/>
    </row>
    <row r="113" spans="1:6" ht="18" customHeight="1">
      <c r="A113" s="99"/>
      <c r="B113" s="97" t="s">
        <v>15</v>
      </c>
    </row>
    <row r="114" spans="1:6" ht="18" customHeight="1">
      <c r="A114" s="104" t="s">
        <v>171</v>
      </c>
      <c r="B114" s="114" t="s">
        <v>35</v>
      </c>
      <c r="F114" s="115">
        <v>0.52</v>
      </c>
    </row>
    <row r="115" spans="1:6" ht="18" customHeight="1">
      <c r="A115" s="104"/>
      <c r="B115" s="97"/>
    </row>
    <row r="116" spans="1:6" ht="18" customHeight="1">
      <c r="A116" s="104" t="s">
        <v>170</v>
      </c>
      <c r="B116" s="97" t="s">
        <v>16</v>
      </c>
    </row>
    <row r="117" spans="1:6" ht="18" customHeight="1">
      <c r="A117" s="104" t="s">
        <v>172</v>
      </c>
      <c r="B117" s="114" t="s">
        <v>17</v>
      </c>
      <c r="F117" s="110">
        <v>387588875.00000006</v>
      </c>
    </row>
    <row r="118" spans="1:6" ht="18" customHeight="1">
      <c r="A118" s="104" t="s">
        <v>173</v>
      </c>
      <c r="B118" s="95" t="s">
        <v>18</v>
      </c>
      <c r="F118" s="110">
        <v>12710470.000000002</v>
      </c>
    </row>
    <row r="119" spans="1:6" ht="18" customHeight="1">
      <c r="A119" s="104" t="s">
        <v>174</v>
      </c>
      <c r="B119" s="97" t="s">
        <v>19</v>
      </c>
      <c r="F119" s="113">
        <f>SUM(F117:F118)</f>
        <v>400299345.00000006</v>
      </c>
    </row>
    <row r="120" spans="1:6" ht="18" customHeight="1">
      <c r="A120" s="104"/>
      <c r="B120" s="97"/>
    </row>
    <row r="121" spans="1:6" ht="18" customHeight="1">
      <c r="A121" s="104" t="s">
        <v>167</v>
      </c>
      <c r="B121" s="97" t="s">
        <v>36</v>
      </c>
      <c r="F121" s="110">
        <v>397245796</v>
      </c>
    </row>
    <row r="122" spans="1:6" ht="18" customHeight="1">
      <c r="A122" s="104"/>
    </row>
    <row r="123" spans="1:6" ht="18" customHeight="1">
      <c r="A123" s="104" t="s">
        <v>175</v>
      </c>
      <c r="B123" s="97" t="s">
        <v>20</v>
      </c>
      <c r="F123" s="110">
        <f>F119-F121</f>
        <v>3053549.0000000596</v>
      </c>
    </row>
    <row r="124" spans="1:6" ht="18" customHeight="1">
      <c r="A124" s="104"/>
    </row>
    <row r="125" spans="1:6" ht="18" customHeight="1">
      <c r="A125" s="104" t="s">
        <v>176</v>
      </c>
      <c r="B125" s="97" t="s">
        <v>21</v>
      </c>
      <c r="F125" s="110">
        <v>1030745.0000000001</v>
      </c>
    </row>
    <row r="126" spans="1:6" ht="18" customHeight="1">
      <c r="A126" s="104"/>
    </row>
    <row r="127" spans="1:6" ht="18" customHeight="1">
      <c r="A127" s="104" t="s">
        <v>177</v>
      </c>
      <c r="B127" s="97" t="s">
        <v>22</v>
      </c>
      <c r="F127" s="110">
        <v>4084294.0000000596</v>
      </c>
    </row>
    <row r="128" spans="1:6" ht="18" customHeight="1">
      <c r="A128" s="104"/>
    </row>
    <row r="129" spans="1:11" ht="42.75" customHeight="1">
      <c r="F129" s="108" t="s">
        <v>9</v>
      </c>
      <c r="G129" s="108" t="s">
        <v>37</v>
      </c>
      <c r="H129" s="108" t="s">
        <v>29</v>
      </c>
      <c r="I129" s="108" t="s">
        <v>30</v>
      </c>
      <c r="J129" s="108" t="s">
        <v>33</v>
      </c>
      <c r="K129" s="108" t="s">
        <v>34</v>
      </c>
    </row>
    <row r="130" spans="1:11" ht="18" customHeight="1">
      <c r="A130" s="99" t="s">
        <v>157</v>
      </c>
      <c r="B130" s="97" t="s">
        <v>23</v>
      </c>
    </row>
    <row r="131" spans="1:11" ht="18" customHeight="1">
      <c r="A131" s="104" t="s">
        <v>158</v>
      </c>
      <c r="B131" s="95" t="s">
        <v>24</v>
      </c>
      <c r="F131" s="112"/>
      <c r="G131" s="112"/>
      <c r="H131" s="110"/>
      <c r="I131" s="111">
        <v>0</v>
      </c>
      <c r="J131" s="110"/>
      <c r="K131" s="109">
        <f>(H131+I131)-J131</f>
        <v>0</v>
      </c>
    </row>
    <row r="132" spans="1:11" ht="18" customHeight="1">
      <c r="A132" s="104" t="s">
        <v>159</v>
      </c>
      <c r="B132" s="95" t="s">
        <v>25</v>
      </c>
      <c r="F132" s="112"/>
      <c r="G132" s="112"/>
      <c r="H132" s="110"/>
      <c r="I132" s="111">
        <v>0</v>
      </c>
      <c r="J132" s="110"/>
      <c r="K132" s="109">
        <f>(H132+I132)-J132</f>
        <v>0</v>
      </c>
    </row>
    <row r="133" spans="1:11" ht="18" customHeight="1">
      <c r="A133" s="104" t="s">
        <v>160</v>
      </c>
      <c r="B133" s="618"/>
      <c r="C133" s="619"/>
      <c r="D133" s="620"/>
      <c r="F133" s="112"/>
      <c r="G133" s="112"/>
      <c r="H133" s="110"/>
      <c r="I133" s="111">
        <v>0</v>
      </c>
      <c r="J133" s="110"/>
      <c r="K133" s="109">
        <f>(H133+I133)-J133</f>
        <v>0</v>
      </c>
    </row>
    <row r="134" spans="1:11" ht="18" customHeight="1">
      <c r="A134" s="104" t="s">
        <v>161</v>
      </c>
      <c r="B134" s="618"/>
      <c r="C134" s="619"/>
      <c r="D134" s="620"/>
      <c r="F134" s="112"/>
      <c r="G134" s="112"/>
      <c r="H134" s="110"/>
      <c r="I134" s="111">
        <v>0</v>
      </c>
      <c r="J134" s="110"/>
      <c r="K134" s="109">
        <f>(H134+I134)-J134</f>
        <v>0</v>
      </c>
    </row>
    <row r="135" spans="1:11" ht="18" customHeight="1">
      <c r="A135" s="104" t="s">
        <v>162</v>
      </c>
      <c r="B135" s="618"/>
      <c r="C135" s="619"/>
      <c r="D135" s="620"/>
      <c r="F135" s="112"/>
      <c r="G135" s="112"/>
      <c r="H135" s="110"/>
      <c r="I135" s="111">
        <v>0</v>
      </c>
      <c r="J135" s="110"/>
      <c r="K135" s="109">
        <f>(H135+I135)-J135</f>
        <v>0</v>
      </c>
    </row>
    <row r="136" spans="1:11" ht="18" customHeight="1">
      <c r="A136" s="99"/>
    </row>
    <row r="137" spans="1:11" ht="18" customHeight="1">
      <c r="A137" s="99" t="s">
        <v>163</v>
      </c>
      <c r="B137" s="97" t="s">
        <v>27</v>
      </c>
      <c r="F137" s="102">
        <f t="shared" ref="F137:K137" si="11">SUM(F131:F135)</f>
        <v>0</v>
      </c>
      <c r="G137" s="102">
        <f t="shared" si="11"/>
        <v>0</v>
      </c>
      <c r="H137" s="109">
        <f t="shared" si="11"/>
        <v>0</v>
      </c>
      <c r="I137" s="109">
        <f t="shared" si="11"/>
        <v>0</v>
      </c>
      <c r="J137" s="109">
        <f t="shared" si="11"/>
        <v>0</v>
      </c>
      <c r="K137" s="109">
        <f t="shared" si="11"/>
        <v>0</v>
      </c>
    </row>
    <row r="138" spans="1:11" ht="18" customHeight="1">
      <c r="A138" s="95"/>
    </row>
    <row r="139" spans="1:11" ht="42.75" customHeight="1">
      <c r="F139" s="108" t="s">
        <v>9</v>
      </c>
      <c r="G139" s="108" t="s">
        <v>37</v>
      </c>
      <c r="H139" s="108" t="s">
        <v>29</v>
      </c>
      <c r="I139" s="108" t="s">
        <v>30</v>
      </c>
      <c r="J139" s="108" t="s">
        <v>33</v>
      </c>
      <c r="K139" s="108" t="s">
        <v>34</v>
      </c>
    </row>
    <row r="140" spans="1:11" ht="18" customHeight="1">
      <c r="A140" s="99" t="s">
        <v>166</v>
      </c>
      <c r="B140" s="97" t="s">
        <v>26</v>
      </c>
    </row>
    <row r="141" spans="1:11" ht="18" customHeight="1">
      <c r="A141" s="104" t="s">
        <v>137</v>
      </c>
      <c r="B141" s="97" t="s">
        <v>64</v>
      </c>
      <c r="F141" s="107">
        <f t="shared" ref="F141:K141" si="12">F36</f>
        <v>5364.3</v>
      </c>
      <c r="G141" s="107">
        <f t="shared" si="12"/>
        <v>38977</v>
      </c>
      <c r="H141" s="107">
        <f t="shared" si="12"/>
        <v>1482124</v>
      </c>
      <c r="I141" s="107">
        <f t="shared" si="12"/>
        <v>534734</v>
      </c>
      <c r="J141" s="107">
        <f t="shared" si="12"/>
        <v>8590</v>
      </c>
      <c r="K141" s="107">
        <f t="shared" si="12"/>
        <v>2008268</v>
      </c>
    </row>
    <row r="142" spans="1:11" ht="18" customHeight="1">
      <c r="A142" s="104" t="s">
        <v>142</v>
      </c>
      <c r="B142" s="97" t="s">
        <v>65</v>
      </c>
      <c r="F142" s="107">
        <f t="shared" ref="F142:K142" si="13">F49</f>
        <v>102780</v>
      </c>
      <c r="G142" s="107">
        <f t="shared" si="13"/>
        <v>2071</v>
      </c>
      <c r="H142" s="107">
        <f t="shared" si="13"/>
        <v>12549426</v>
      </c>
      <c r="I142" s="107">
        <f t="shared" si="13"/>
        <v>6525700</v>
      </c>
      <c r="J142" s="107">
        <f t="shared" si="13"/>
        <v>31000</v>
      </c>
      <c r="K142" s="107">
        <f t="shared" si="13"/>
        <v>19044126</v>
      </c>
    </row>
    <row r="143" spans="1:11" ht="18" customHeight="1">
      <c r="A143" s="104" t="s">
        <v>144</v>
      </c>
      <c r="B143" s="97" t="s">
        <v>66</v>
      </c>
      <c r="F143" s="107">
        <f t="shared" ref="F143:K143" si="14">F64</f>
        <v>0</v>
      </c>
      <c r="G143" s="107">
        <f t="shared" si="14"/>
        <v>0</v>
      </c>
      <c r="H143" s="107">
        <f t="shared" si="14"/>
        <v>16459596</v>
      </c>
      <c r="I143" s="107">
        <f t="shared" si="14"/>
        <v>0</v>
      </c>
      <c r="J143" s="107">
        <f t="shared" si="14"/>
        <v>10969065</v>
      </c>
      <c r="K143" s="107">
        <f t="shared" si="14"/>
        <v>5490531</v>
      </c>
    </row>
    <row r="144" spans="1:11" ht="18" customHeight="1">
      <c r="A144" s="104" t="s">
        <v>146</v>
      </c>
      <c r="B144" s="97" t="s">
        <v>67</v>
      </c>
      <c r="F144" s="107">
        <f t="shared" ref="F144:K144" si="15">F74</f>
        <v>18116</v>
      </c>
      <c r="G144" s="107">
        <f t="shared" si="15"/>
        <v>0</v>
      </c>
      <c r="H144" s="107">
        <f t="shared" si="15"/>
        <v>864478</v>
      </c>
      <c r="I144" s="107">
        <f t="shared" si="15"/>
        <v>449529</v>
      </c>
      <c r="J144" s="107">
        <f t="shared" si="15"/>
        <v>0</v>
      </c>
      <c r="K144" s="107">
        <f t="shared" si="15"/>
        <v>1314007</v>
      </c>
    </row>
    <row r="145" spans="1:11" ht="18" customHeight="1">
      <c r="A145" s="104" t="s">
        <v>148</v>
      </c>
      <c r="B145" s="97" t="s">
        <v>68</v>
      </c>
      <c r="F145" s="107">
        <f t="shared" ref="F145:K145" si="16">F82</f>
        <v>0</v>
      </c>
      <c r="G145" s="107">
        <f t="shared" si="16"/>
        <v>260</v>
      </c>
      <c r="H145" s="107">
        <f t="shared" si="16"/>
        <v>33783</v>
      </c>
      <c r="I145" s="107">
        <f t="shared" si="16"/>
        <v>6159</v>
      </c>
      <c r="J145" s="107">
        <f t="shared" si="16"/>
        <v>0</v>
      </c>
      <c r="K145" s="107">
        <f t="shared" si="16"/>
        <v>39942</v>
      </c>
    </row>
    <row r="146" spans="1:11" ht="18" customHeight="1">
      <c r="A146" s="104" t="s">
        <v>150</v>
      </c>
      <c r="B146" s="97" t="s">
        <v>69</v>
      </c>
      <c r="F146" s="107">
        <f t="shared" ref="F146:K146" si="17">F98</f>
        <v>8</v>
      </c>
      <c r="G146" s="107">
        <f t="shared" si="17"/>
        <v>500</v>
      </c>
      <c r="H146" s="107">
        <f t="shared" si="17"/>
        <v>144901</v>
      </c>
      <c r="I146" s="107">
        <f t="shared" si="17"/>
        <v>60103.44</v>
      </c>
      <c r="J146" s="107">
        <f t="shared" si="17"/>
        <v>29873</v>
      </c>
      <c r="K146" s="107">
        <f t="shared" si="17"/>
        <v>175131.44</v>
      </c>
    </row>
    <row r="147" spans="1:11" ht="18" customHeight="1">
      <c r="A147" s="104" t="s">
        <v>153</v>
      </c>
      <c r="B147" s="97" t="s">
        <v>61</v>
      </c>
      <c r="F147" s="102">
        <f t="shared" ref="F147:K147" si="18">F108</f>
        <v>140</v>
      </c>
      <c r="G147" s="102">
        <f t="shared" si="18"/>
        <v>0</v>
      </c>
      <c r="H147" s="102">
        <f t="shared" si="18"/>
        <v>106390</v>
      </c>
      <c r="I147" s="102">
        <f t="shared" si="18"/>
        <v>3045</v>
      </c>
      <c r="J147" s="102">
        <f t="shared" si="18"/>
        <v>0</v>
      </c>
      <c r="K147" s="102">
        <f t="shared" si="18"/>
        <v>109435</v>
      </c>
    </row>
    <row r="148" spans="1:11" ht="18" customHeight="1">
      <c r="A148" s="104" t="s">
        <v>155</v>
      </c>
      <c r="B148" s="97" t="s">
        <v>70</v>
      </c>
      <c r="F148" s="103" t="s">
        <v>73</v>
      </c>
      <c r="G148" s="103" t="s">
        <v>73</v>
      </c>
      <c r="H148" s="106" t="s">
        <v>73</v>
      </c>
      <c r="I148" s="106" t="s">
        <v>73</v>
      </c>
      <c r="J148" s="106" t="s">
        <v>73</v>
      </c>
      <c r="K148" s="105">
        <f>F111</f>
        <v>14855717</v>
      </c>
    </row>
    <row r="149" spans="1:11" ht="18" customHeight="1">
      <c r="A149" s="104" t="s">
        <v>163</v>
      </c>
      <c r="B149" s="97" t="s">
        <v>71</v>
      </c>
      <c r="F149" s="102">
        <f t="shared" ref="F149:K149" si="19">F137</f>
        <v>0</v>
      </c>
      <c r="G149" s="102">
        <f t="shared" si="19"/>
        <v>0</v>
      </c>
      <c r="H149" s="102">
        <f t="shared" si="19"/>
        <v>0</v>
      </c>
      <c r="I149" s="102">
        <f t="shared" si="19"/>
        <v>0</v>
      </c>
      <c r="J149" s="102">
        <f t="shared" si="19"/>
        <v>0</v>
      </c>
      <c r="K149" s="102">
        <f t="shared" si="19"/>
        <v>0</v>
      </c>
    </row>
    <row r="150" spans="1:11" ht="18" customHeight="1">
      <c r="A150" s="104" t="s">
        <v>185</v>
      </c>
      <c r="B150" s="97" t="s">
        <v>186</v>
      </c>
      <c r="F150" s="103" t="s">
        <v>73</v>
      </c>
      <c r="G150" s="103" t="s">
        <v>73</v>
      </c>
      <c r="H150" s="102">
        <f>H18</f>
        <v>10803967</v>
      </c>
      <c r="I150" s="102">
        <f>I18</f>
        <v>0</v>
      </c>
      <c r="J150" s="102">
        <f>J18</f>
        <v>9238743</v>
      </c>
      <c r="K150" s="102">
        <f>K18</f>
        <v>1565224</v>
      </c>
    </row>
    <row r="151" spans="1:11" ht="18" customHeight="1">
      <c r="B151" s="97"/>
      <c r="F151" s="101"/>
      <c r="G151" s="101"/>
      <c r="H151" s="101"/>
      <c r="I151" s="101"/>
      <c r="J151" s="101"/>
      <c r="K151" s="101"/>
    </row>
    <row r="152" spans="1:11" ht="18" customHeight="1">
      <c r="A152" s="99" t="s">
        <v>165</v>
      </c>
      <c r="B152" s="97" t="s">
        <v>26</v>
      </c>
      <c r="F152" s="100">
        <f t="shared" ref="F152:K152" si="20">SUM(F141:F150)</f>
        <v>126408.3</v>
      </c>
      <c r="G152" s="100">
        <f t="shared" si="20"/>
        <v>41808</v>
      </c>
      <c r="H152" s="100">
        <f t="shared" si="20"/>
        <v>42444665</v>
      </c>
      <c r="I152" s="100">
        <f t="shared" si="20"/>
        <v>7579270.4400000004</v>
      </c>
      <c r="J152" s="100">
        <f t="shared" si="20"/>
        <v>20277271</v>
      </c>
      <c r="K152" s="100">
        <f t="shared" si="20"/>
        <v>44602381.439999998</v>
      </c>
    </row>
    <row r="154" spans="1:11" ht="18" customHeight="1">
      <c r="A154" s="99" t="s">
        <v>168</v>
      </c>
      <c r="B154" s="97" t="s">
        <v>28</v>
      </c>
      <c r="F154" s="89">
        <f>K152/F121</f>
        <v>0.11227905213627483</v>
      </c>
    </row>
    <row r="155" spans="1:11" ht="18" customHeight="1">
      <c r="A155" s="99" t="s">
        <v>169</v>
      </c>
      <c r="B155" s="97" t="s">
        <v>72</v>
      </c>
      <c r="F155" s="89">
        <f>K152/F127</f>
        <v>10.920462983320824</v>
      </c>
      <c r="G155" s="97"/>
    </row>
    <row r="156" spans="1:11" ht="18" customHeight="1">
      <c r="G156" s="97"/>
    </row>
  </sheetData>
  <sheetProtection password="EF72" sheet="1" objects="1" scenarios="1"/>
  <mergeCells count="34"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62:D62"/>
    <mergeCell ref="B59:D59"/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80" zoomScaleNormal="50" zoomScaleSheetLayoutView="8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324</v>
      </c>
      <c r="D5" s="534"/>
      <c r="E5" s="534"/>
      <c r="F5" s="534"/>
      <c r="G5" s="535"/>
    </row>
    <row r="6" spans="1:11" ht="18" customHeight="1">
      <c r="B6" s="5" t="s">
        <v>3</v>
      </c>
      <c r="C6" s="655">
        <v>40</v>
      </c>
      <c r="D6" s="656"/>
      <c r="E6" s="656"/>
      <c r="F6" s="656"/>
      <c r="G6" s="657"/>
    </row>
    <row r="7" spans="1:11" ht="18" customHeight="1">
      <c r="B7" s="5" t="s">
        <v>4</v>
      </c>
      <c r="C7" s="640">
        <v>1615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323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322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321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6424447</v>
      </c>
      <c r="I18" s="55">
        <v>0</v>
      </c>
      <c r="J18" s="15">
        <v>5493705</v>
      </c>
      <c r="K18" s="16">
        <f>(H18+I18)-J18</f>
        <v>930742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f>66</f>
        <v>66</v>
      </c>
      <c r="G21" s="54">
        <v>407</v>
      </c>
      <c r="H21" s="15">
        <v>132957</v>
      </c>
      <c r="I21" s="55">
        <f t="shared" ref="I21:I34" si="0">H21*F$114</f>
        <v>89373.695399999997</v>
      </c>
      <c r="J21" s="15"/>
      <c r="K21" s="16">
        <f t="shared" ref="K21:K34" si="1">(H21+I21)-J21</f>
        <v>222330.6954</v>
      </c>
    </row>
    <row r="22" spans="1:11" ht="18" customHeight="1">
      <c r="A22" s="5" t="s">
        <v>76</v>
      </c>
      <c r="B22" t="s">
        <v>6</v>
      </c>
      <c r="F22" s="54"/>
      <c r="G22" s="54"/>
      <c r="H22" s="15"/>
      <c r="I22" s="55">
        <f t="shared" si="0"/>
        <v>0</v>
      </c>
      <c r="J22" s="15"/>
      <c r="K22" s="16">
        <f t="shared" si="1"/>
        <v>0</v>
      </c>
    </row>
    <row r="23" spans="1:11" ht="18" customHeight="1">
      <c r="A23" s="5" t="s">
        <v>77</v>
      </c>
      <c r="B23" t="s">
        <v>43</v>
      </c>
      <c r="F23" s="54"/>
      <c r="G23" s="54"/>
      <c r="H23" s="15"/>
      <c r="I23" s="55">
        <f t="shared" si="0"/>
        <v>0</v>
      </c>
      <c r="J23" s="15"/>
      <c r="K23" s="16">
        <f t="shared" si="1"/>
        <v>0</v>
      </c>
    </row>
    <row r="24" spans="1:11" ht="18" customHeight="1">
      <c r="A24" s="5" t="s">
        <v>78</v>
      </c>
      <c r="B24" t="s">
        <v>44</v>
      </c>
      <c r="F24" s="54">
        <f>55+84</f>
        <v>139</v>
      </c>
      <c r="G24" s="54">
        <v>328</v>
      </c>
      <c r="H24" s="15">
        <v>8716</v>
      </c>
      <c r="I24" s="55">
        <f t="shared" si="0"/>
        <v>5858.8951999999999</v>
      </c>
      <c r="J24" s="15"/>
      <c r="K24" s="16">
        <f t="shared" si="1"/>
        <v>14574.895199999999</v>
      </c>
    </row>
    <row r="25" spans="1:11" ht="18" customHeight="1">
      <c r="A25" s="5" t="s">
        <v>79</v>
      </c>
      <c r="B25" t="s">
        <v>5</v>
      </c>
      <c r="F25" s="54"/>
      <c r="G25" s="54"/>
      <c r="H25" s="15"/>
      <c r="I25" s="55">
        <f t="shared" si="0"/>
        <v>0</v>
      </c>
      <c r="J25" s="15"/>
      <c r="K25" s="16">
        <f t="shared" si="1"/>
        <v>0</v>
      </c>
    </row>
    <row r="26" spans="1:11" ht="18" customHeight="1">
      <c r="A26" s="5" t="s">
        <v>80</v>
      </c>
      <c r="B26" t="s">
        <v>45</v>
      </c>
      <c r="F26" s="54"/>
      <c r="G26" s="54"/>
      <c r="H26" s="15"/>
      <c r="I26" s="55">
        <f t="shared" si="0"/>
        <v>0</v>
      </c>
      <c r="J26" s="15"/>
      <c r="K26" s="16">
        <f t="shared" si="1"/>
        <v>0</v>
      </c>
    </row>
    <row r="27" spans="1:11" ht="18" customHeight="1">
      <c r="A27" s="5" t="s">
        <v>81</v>
      </c>
      <c r="B27" t="s">
        <v>46</v>
      </c>
      <c r="F27" s="54"/>
      <c r="G27" s="54"/>
      <c r="H27" s="15"/>
      <c r="I27" s="55">
        <f t="shared" si="0"/>
        <v>0</v>
      </c>
      <c r="J27" s="15"/>
      <c r="K27" s="16">
        <f t="shared" si="1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15"/>
      <c r="I28" s="55">
        <f t="shared" si="0"/>
        <v>0</v>
      </c>
      <c r="J28" s="15"/>
      <c r="K28" s="16">
        <f t="shared" si="1"/>
        <v>0</v>
      </c>
    </row>
    <row r="29" spans="1:11" ht="18" customHeight="1">
      <c r="A29" s="5" t="s">
        <v>83</v>
      </c>
      <c r="B29" t="s">
        <v>48</v>
      </c>
      <c r="F29" s="54">
        <f>8+7457</f>
        <v>7465</v>
      </c>
      <c r="G29" s="54"/>
      <c r="H29" s="15">
        <v>743967</v>
      </c>
      <c r="I29" s="55">
        <f t="shared" si="0"/>
        <v>500094.61739999999</v>
      </c>
      <c r="J29" s="15"/>
      <c r="K29" s="16">
        <f t="shared" si="1"/>
        <v>1244061.6173999999</v>
      </c>
    </row>
    <row r="30" spans="1:11" ht="18" customHeight="1">
      <c r="A30" s="5" t="s">
        <v>84</v>
      </c>
      <c r="B30" s="547"/>
      <c r="C30" s="548"/>
      <c r="D30" s="549"/>
      <c r="F30" s="54"/>
      <c r="G30" s="54"/>
      <c r="H30" s="15"/>
      <c r="I30" s="55">
        <f t="shared" si="0"/>
        <v>0</v>
      </c>
      <c r="J30" s="15"/>
      <c r="K30" s="16">
        <f t="shared" si="1"/>
        <v>0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 t="shared" si="0"/>
        <v>0</v>
      </c>
      <c r="J31" s="15"/>
      <c r="K31" s="16">
        <f t="shared" si="1"/>
        <v>0</v>
      </c>
    </row>
    <row r="32" spans="1:11" ht="18" customHeight="1">
      <c r="A32" s="5" t="s">
        <v>134</v>
      </c>
      <c r="B32" s="68"/>
      <c r="C32" s="69"/>
      <c r="D32" s="70"/>
      <c r="F32" s="54"/>
      <c r="G32" s="52" t="s">
        <v>85</v>
      </c>
      <c r="H32" s="15"/>
      <c r="I32" s="55">
        <f t="shared" si="0"/>
        <v>0</v>
      </c>
      <c r="J32" s="15"/>
      <c r="K32" s="16">
        <f t="shared" si="1"/>
        <v>0</v>
      </c>
    </row>
    <row r="33" spans="1:11" ht="18" customHeight="1">
      <c r="A33" s="5" t="s">
        <v>135</v>
      </c>
      <c r="B33" s="68"/>
      <c r="C33" s="69"/>
      <c r="D33" s="70"/>
      <c r="F33" s="54"/>
      <c r="G33" s="52" t="s">
        <v>85</v>
      </c>
      <c r="H33" s="15"/>
      <c r="I33" s="55">
        <f t="shared" si="0"/>
        <v>0</v>
      </c>
      <c r="J33" s="15"/>
      <c r="K33" s="16">
        <f t="shared" si="1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 t="shared" si="0"/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7670</v>
      </c>
      <c r="G36" s="18">
        <f t="shared" si="2"/>
        <v>735</v>
      </c>
      <c r="H36" s="18">
        <f t="shared" si="2"/>
        <v>885640</v>
      </c>
      <c r="I36" s="16">
        <f t="shared" si="2"/>
        <v>595327.20799999998</v>
      </c>
      <c r="J36" s="16">
        <f t="shared" si="2"/>
        <v>0</v>
      </c>
      <c r="K36" s="16">
        <f t="shared" si="2"/>
        <v>1480967.2079999999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/>
      <c r="G40" s="54"/>
      <c r="H40" s="15"/>
      <c r="I40" s="55">
        <f>H40*F$114</f>
        <v>0</v>
      </c>
      <c r="J40" s="15"/>
      <c r="K40" s="16">
        <f t="shared" ref="K40:K47" si="3">(H40+I40)-J40</f>
        <v>0</v>
      </c>
    </row>
    <row r="41" spans="1:11" ht="18" customHeight="1">
      <c r="A41" s="5" t="s">
        <v>88</v>
      </c>
      <c r="B41" s="550" t="s">
        <v>50</v>
      </c>
      <c r="C41" s="551"/>
      <c r="F41" s="54"/>
      <c r="G41" s="54"/>
      <c r="H41" s="15"/>
      <c r="I41" s="55">
        <f>H41*F$114</f>
        <v>0</v>
      </c>
      <c r="J41" s="15"/>
      <c r="K41" s="16">
        <f t="shared" si="3"/>
        <v>0</v>
      </c>
    </row>
    <row r="42" spans="1:11" ht="18" customHeight="1">
      <c r="A42" s="5" t="s">
        <v>89</v>
      </c>
      <c r="B42" s="1" t="s">
        <v>11</v>
      </c>
      <c r="F42" s="54"/>
      <c r="G42" s="54"/>
      <c r="H42" s="15">
        <v>329526</v>
      </c>
      <c r="I42" s="55">
        <f>H42*F$114</f>
        <v>221507.37720000002</v>
      </c>
      <c r="J42" s="15"/>
      <c r="K42" s="16">
        <f t="shared" si="3"/>
        <v>551033.37719999999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/>
      <c r="I43" s="55">
        <f>H43*F$114</f>
        <v>0</v>
      </c>
      <c r="J43" s="15"/>
      <c r="K43" s="16">
        <f t="shared" si="3"/>
        <v>0</v>
      </c>
    </row>
    <row r="44" spans="1:11" ht="18" customHeight="1">
      <c r="A44" s="5" t="s">
        <v>91</v>
      </c>
      <c r="B44" s="547"/>
      <c r="C44" s="548"/>
      <c r="D44" s="549"/>
      <c r="F44" s="54"/>
      <c r="G44" s="54"/>
      <c r="H44" s="54"/>
      <c r="I44" s="55">
        <v>0</v>
      </c>
      <c r="J44" s="54"/>
      <c r="K44" s="56">
        <f t="shared" si="3"/>
        <v>0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3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3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3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0</v>
      </c>
      <c r="G49" s="23">
        <f t="shared" si="4"/>
        <v>0</v>
      </c>
      <c r="H49" s="16">
        <f t="shared" si="4"/>
        <v>329526</v>
      </c>
      <c r="I49" s="16">
        <f t="shared" si="4"/>
        <v>221507.37720000002</v>
      </c>
      <c r="J49" s="16">
        <f t="shared" si="4"/>
        <v>0</v>
      </c>
      <c r="K49" s="16">
        <f t="shared" si="4"/>
        <v>551033.37719999999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65" t="s">
        <v>320</v>
      </c>
      <c r="C53" s="66"/>
      <c r="D53" s="67"/>
      <c r="F53" s="54"/>
      <c r="G53" s="54"/>
      <c r="H53" s="15">
        <v>838234</v>
      </c>
      <c r="I53" s="55">
        <f t="shared" ref="I53:I61" si="5">H53*F$114</f>
        <v>563460.89480000001</v>
      </c>
      <c r="J53" s="15"/>
      <c r="K53" s="16">
        <f t="shared" ref="K53:K62" si="6">(H53+I53)-J53</f>
        <v>1401694.8947999999</v>
      </c>
    </row>
    <row r="54" spans="1:11" ht="18" customHeight="1">
      <c r="A54" s="5" t="s">
        <v>93</v>
      </c>
      <c r="B54" s="65" t="s">
        <v>319</v>
      </c>
      <c r="C54" s="66"/>
      <c r="D54" s="67"/>
      <c r="F54" s="54"/>
      <c r="G54" s="54"/>
      <c r="H54" s="15">
        <v>1768894</v>
      </c>
      <c r="I54" s="55">
        <f t="shared" si="5"/>
        <v>1189050.5468000001</v>
      </c>
      <c r="J54" s="15"/>
      <c r="K54" s="16">
        <f t="shared" si="6"/>
        <v>2957944.5468000001</v>
      </c>
    </row>
    <row r="55" spans="1:11" ht="18" customHeight="1">
      <c r="A55" s="5" t="s">
        <v>94</v>
      </c>
      <c r="B55" s="530" t="s">
        <v>318</v>
      </c>
      <c r="C55" s="531"/>
      <c r="D55" s="532"/>
      <c r="F55" s="54"/>
      <c r="G55" s="54"/>
      <c r="H55" s="15">
        <v>2978668</v>
      </c>
      <c r="I55" s="55">
        <f t="shared" si="5"/>
        <v>2002260.6296000001</v>
      </c>
      <c r="J55" s="15"/>
      <c r="K55" s="16">
        <f t="shared" si="6"/>
        <v>4980928.6295999996</v>
      </c>
    </row>
    <row r="56" spans="1:11" ht="18" customHeight="1">
      <c r="A56" s="5" t="s">
        <v>95</v>
      </c>
      <c r="B56" s="530"/>
      <c r="C56" s="531"/>
      <c r="D56" s="532"/>
      <c r="F56" s="54" t="s">
        <v>740</v>
      </c>
      <c r="G56" s="54"/>
      <c r="H56" s="15"/>
      <c r="I56" s="55">
        <f t="shared" si="5"/>
        <v>0</v>
      </c>
      <c r="J56" s="15"/>
      <c r="K56" s="16">
        <f t="shared" si="6"/>
        <v>0</v>
      </c>
    </row>
    <row r="57" spans="1:11" ht="18" customHeight="1">
      <c r="A57" s="5" t="s">
        <v>96</v>
      </c>
      <c r="B57" s="530"/>
      <c r="C57" s="531"/>
      <c r="D57" s="532"/>
      <c r="F57" s="54"/>
      <c r="G57" s="54"/>
      <c r="H57" s="15"/>
      <c r="I57" s="55">
        <f t="shared" si="5"/>
        <v>0</v>
      </c>
      <c r="J57" s="15"/>
      <c r="K57" s="16">
        <f t="shared" si="6"/>
        <v>0</v>
      </c>
    </row>
    <row r="58" spans="1:11" ht="18" customHeight="1">
      <c r="A58" s="5" t="s">
        <v>97</v>
      </c>
      <c r="B58" s="65"/>
      <c r="C58" s="66"/>
      <c r="D58" s="67"/>
      <c r="F58" s="54"/>
      <c r="G58" s="54"/>
      <c r="H58" s="15"/>
      <c r="I58" s="55">
        <f t="shared" si="5"/>
        <v>0</v>
      </c>
      <c r="J58" s="15"/>
      <c r="K58" s="16">
        <f t="shared" si="6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f t="shared" si="5"/>
        <v>0</v>
      </c>
      <c r="J59" s="15"/>
      <c r="K59" s="16">
        <f t="shared" si="6"/>
        <v>0</v>
      </c>
    </row>
    <row r="60" spans="1:11" ht="18" customHeight="1">
      <c r="A60" s="5" t="s">
        <v>99</v>
      </c>
      <c r="B60" s="65"/>
      <c r="C60" s="66"/>
      <c r="D60" s="67"/>
      <c r="F60" s="54"/>
      <c r="G60" s="54"/>
      <c r="H60" s="15"/>
      <c r="I60" s="55">
        <f t="shared" si="5"/>
        <v>0</v>
      </c>
      <c r="J60" s="15"/>
      <c r="K60" s="16">
        <f t="shared" si="6"/>
        <v>0</v>
      </c>
    </row>
    <row r="61" spans="1:11" ht="18" customHeight="1">
      <c r="A61" s="5" t="s">
        <v>100</v>
      </c>
      <c r="B61" s="65"/>
      <c r="C61" s="66"/>
      <c r="D61" s="67"/>
      <c r="F61" s="54"/>
      <c r="G61" s="54"/>
      <c r="H61" s="15"/>
      <c r="I61" s="55">
        <f t="shared" si="5"/>
        <v>0</v>
      </c>
      <c r="J61" s="15"/>
      <c r="K61" s="16">
        <f t="shared" si="6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6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7">SUM(F53:F62)</f>
        <v>0</v>
      </c>
      <c r="G64" s="18">
        <f t="shared" si="7"/>
        <v>0</v>
      </c>
      <c r="H64" s="16">
        <f t="shared" si="7"/>
        <v>5585796</v>
      </c>
      <c r="I64" s="16">
        <f t="shared" si="7"/>
        <v>3754772.0712000001</v>
      </c>
      <c r="J64" s="16">
        <f t="shared" si="7"/>
        <v>0</v>
      </c>
      <c r="K64" s="16">
        <f t="shared" si="7"/>
        <v>9340568.0712000001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/>
      <c r="G68" s="51"/>
      <c r="H68" s="36">
        <v>0</v>
      </c>
      <c r="I68" s="55">
        <f>H68*F$114</f>
        <v>0</v>
      </c>
      <c r="J68" s="51"/>
      <c r="K68" s="16">
        <f>(H68+I68)-J68</f>
        <v>0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65" t="s">
        <v>317</v>
      </c>
      <c r="C70" s="66"/>
      <c r="D70" s="67"/>
      <c r="E70" s="2"/>
      <c r="F70" s="35">
        <v>1488</v>
      </c>
      <c r="G70" s="35"/>
      <c r="H70" s="36">
        <v>52826</v>
      </c>
      <c r="I70" s="55">
        <f>H70*F$114</f>
        <v>35509.637200000005</v>
      </c>
      <c r="J70" s="36"/>
      <c r="K70" s="16">
        <f>(H70+I70)-J70</f>
        <v>88335.637199999997</v>
      </c>
    </row>
    <row r="71" spans="1:11" ht="18" customHeight="1">
      <c r="A71" s="5" t="s">
        <v>179</v>
      </c>
      <c r="B71" s="65" t="s">
        <v>316</v>
      </c>
      <c r="C71" s="66"/>
      <c r="D71" s="67"/>
      <c r="E71" s="2"/>
      <c r="F71" s="35"/>
      <c r="G71" s="35"/>
      <c r="H71" s="36"/>
      <c r="I71" s="55">
        <f>H71*F$114</f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71"/>
      <c r="C72" s="72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8">SUM(F68:F72)</f>
        <v>1488</v>
      </c>
      <c r="G74" s="21">
        <f t="shared" si="8"/>
        <v>0</v>
      </c>
      <c r="H74" s="21">
        <f t="shared" si="8"/>
        <v>52826</v>
      </c>
      <c r="I74" s="53">
        <f t="shared" si="8"/>
        <v>35509.637200000005</v>
      </c>
      <c r="J74" s="21">
        <f t="shared" si="8"/>
        <v>0</v>
      </c>
      <c r="K74" s="56">
        <f t="shared" si="8"/>
        <v>88335.637199999997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/>
      <c r="G77" s="54"/>
      <c r="H77" s="15">
        <v>77477</v>
      </c>
      <c r="I77" s="55">
        <v>0</v>
      </c>
      <c r="J77" s="15"/>
      <c r="K77" s="16">
        <f>(H77+I77)-J77</f>
        <v>77477</v>
      </c>
    </row>
    <row r="78" spans="1:11" ht="18" customHeight="1">
      <c r="A78" s="5" t="s">
        <v>108</v>
      </c>
      <c r="B78" s="1" t="s">
        <v>55</v>
      </c>
      <c r="F78" s="54"/>
      <c r="G78" s="54"/>
      <c r="H78" s="15">
        <v>0</v>
      </c>
      <c r="I78" s="55"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/>
      <c r="G79" s="54"/>
      <c r="H79" s="15">
        <v>0</v>
      </c>
      <c r="I79" s="55">
        <v>0</v>
      </c>
      <c r="J79" s="15"/>
      <c r="K79" s="16">
        <f>(H79+I79)-J79</f>
        <v>0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9">SUM(F77:F80)</f>
        <v>0</v>
      </c>
      <c r="G82" s="21">
        <f t="shared" si="9"/>
        <v>0</v>
      </c>
      <c r="H82" s="56">
        <f t="shared" si="9"/>
        <v>77477</v>
      </c>
      <c r="I82" s="56">
        <f t="shared" si="9"/>
        <v>0</v>
      </c>
      <c r="J82" s="56">
        <f t="shared" si="9"/>
        <v>0</v>
      </c>
      <c r="K82" s="56">
        <f t="shared" si="9"/>
        <v>77477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>
        <v>0</v>
      </c>
      <c r="I86" s="55">
        <f t="shared" ref="I86:I96" si="10">H86*F$114</f>
        <v>0</v>
      </c>
      <c r="J86" s="15"/>
      <c r="K86" s="16">
        <f t="shared" ref="K86:K96" si="11">(H86+I86)-J86</f>
        <v>0</v>
      </c>
    </row>
    <row r="87" spans="1:11" ht="18" customHeight="1">
      <c r="A87" s="5" t="s">
        <v>114</v>
      </c>
      <c r="B87" s="1" t="s">
        <v>14</v>
      </c>
      <c r="F87" s="54"/>
      <c r="G87" s="54"/>
      <c r="H87" s="15">
        <v>0</v>
      </c>
      <c r="I87" s="55">
        <f t="shared" si="10"/>
        <v>0</v>
      </c>
      <c r="J87" s="15"/>
      <c r="K87" s="16">
        <f t="shared" si="11"/>
        <v>0</v>
      </c>
    </row>
    <row r="88" spans="1:11" ht="18" customHeight="1">
      <c r="A88" s="5" t="s">
        <v>115</v>
      </c>
      <c r="B88" s="1" t="s">
        <v>116</v>
      </c>
      <c r="F88" s="54"/>
      <c r="G88" s="54"/>
      <c r="H88" s="15">
        <f>20605+49593</f>
        <v>70198</v>
      </c>
      <c r="I88" s="55">
        <f t="shared" si="10"/>
        <v>47187.095600000001</v>
      </c>
      <c r="J88" s="15"/>
      <c r="K88" s="16">
        <f t="shared" si="11"/>
        <v>117385.0956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 t="shared" si="10"/>
        <v>0</v>
      </c>
      <c r="J89" s="15"/>
      <c r="K89" s="16">
        <f t="shared" si="11"/>
        <v>0</v>
      </c>
    </row>
    <row r="90" spans="1:11" ht="18" customHeight="1">
      <c r="A90" s="5" t="s">
        <v>118</v>
      </c>
      <c r="B90" s="550" t="s">
        <v>59</v>
      </c>
      <c r="C90" s="551"/>
      <c r="F90" s="54"/>
      <c r="G90" s="54"/>
      <c r="H90" s="15"/>
      <c r="I90" s="55">
        <f t="shared" si="10"/>
        <v>0</v>
      </c>
      <c r="J90" s="15"/>
      <c r="K90" s="16">
        <f t="shared" si="11"/>
        <v>0</v>
      </c>
    </row>
    <row r="91" spans="1:11" ht="18" customHeight="1">
      <c r="A91" s="5" t="s">
        <v>119</v>
      </c>
      <c r="B91" s="1" t="s">
        <v>60</v>
      </c>
      <c r="F91" s="54"/>
      <c r="G91" s="54"/>
      <c r="H91" s="15">
        <v>0</v>
      </c>
      <c r="I91" s="55">
        <f t="shared" si="10"/>
        <v>0</v>
      </c>
      <c r="J91" s="15"/>
      <c r="K91" s="16">
        <f t="shared" si="11"/>
        <v>0</v>
      </c>
    </row>
    <row r="92" spans="1:11" ht="18" customHeight="1">
      <c r="A92" s="5" t="s">
        <v>120</v>
      </c>
      <c r="B92" s="1" t="s">
        <v>121</v>
      </c>
      <c r="F92" s="38"/>
      <c r="G92" s="38"/>
      <c r="H92" s="39"/>
      <c r="I92" s="55">
        <f t="shared" si="10"/>
        <v>0</v>
      </c>
      <c r="J92" s="39"/>
      <c r="K92" s="16">
        <f t="shared" si="11"/>
        <v>0</v>
      </c>
    </row>
    <row r="93" spans="1:11" ht="18" customHeight="1">
      <c r="A93" s="5" t="s">
        <v>122</v>
      </c>
      <c r="B93" s="1" t="s">
        <v>123</v>
      </c>
      <c r="F93" s="54"/>
      <c r="G93" s="54"/>
      <c r="H93" s="15">
        <v>0</v>
      </c>
      <c r="I93" s="55">
        <f t="shared" si="10"/>
        <v>0</v>
      </c>
      <c r="J93" s="15"/>
      <c r="K93" s="16">
        <f t="shared" si="11"/>
        <v>0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f t="shared" si="10"/>
        <v>0</v>
      </c>
      <c r="J94" s="15"/>
      <c r="K94" s="16">
        <f t="shared" si="11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10"/>
        <v>0</v>
      </c>
      <c r="J95" s="15"/>
      <c r="K95" s="16">
        <f t="shared" si="11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10"/>
        <v>0</v>
      </c>
      <c r="J96" s="15"/>
      <c r="K96" s="16">
        <f t="shared" si="11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2">SUM(F86:F96)</f>
        <v>0</v>
      </c>
      <c r="G98" s="18">
        <f t="shared" si="12"/>
        <v>0</v>
      </c>
      <c r="H98" s="18">
        <f t="shared" si="12"/>
        <v>70198</v>
      </c>
      <c r="I98" s="18">
        <f t="shared" si="12"/>
        <v>47187.095600000001</v>
      </c>
      <c r="J98" s="18">
        <f t="shared" si="12"/>
        <v>0</v>
      </c>
      <c r="K98" s="18">
        <f t="shared" si="12"/>
        <v>117385.0956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>
        <v>3053</v>
      </c>
      <c r="G102" s="54"/>
      <c r="H102" s="15">
        <v>116865</v>
      </c>
      <c r="I102" s="55">
        <f>H102*F$114</f>
        <v>78556.653000000006</v>
      </c>
      <c r="J102" s="15"/>
      <c r="K102" s="16">
        <f>(H102+I102)-J102</f>
        <v>195421.65299999999</v>
      </c>
    </row>
    <row r="103" spans="1:11" ht="18" customHeight="1">
      <c r="A103" s="5" t="s">
        <v>132</v>
      </c>
      <c r="B103" s="550" t="s">
        <v>62</v>
      </c>
      <c r="C103" s="550"/>
      <c r="F103" s="54"/>
      <c r="G103" s="54"/>
      <c r="H103" s="15"/>
      <c r="I103" s="55">
        <f>H103*F$114</f>
        <v>0</v>
      </c>
      <c r="J103" s="15"/>
      <c r="K103" s="16">
        <f>(H103+I103)-J103</f>
        <v>0</v>
      </c>
    </row>
    <row r="104" spans="1:11" ht="18" customHeight="1">
      <c r="A104" s="5" t="s">
        <v>128</v>
      </c>
      <c r="B104" s="530"/>
      <c r="C104" s="531"/>
      <c r="D104" s="532"/>
      <c r="F104" s="54"/>
      <c r="G104" s="54"/>
      <c r="H104" s="15"/>
      <c r="I104" s="55">
        <f>H104*F$114</f>
        <v>0</v>
      </c>
      <c r="J104" s="15"/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3">SUM(F102:F106)</f>
        <v>3053</v>
      </c>
      <c r="G108" s="18">
        <f t="shared" si="13"/>
        <v>0</v>
      </c>
      <c r="H108" s="16">
        <f t="shared" si="13"/>
        <v>116865</v>
      </c>
      <c r="I108" s="16">
        <f t="shared" si="13"/>
        <v>78556.653000000006</v>
      </c>
      <c r="J108" s="16">
        <f t="shared" si="13"/>
        <v>0</v>
      </c>
      <c r="K108" s="16">
        <f t="shared" si="13"/>
        <v>195421.65299999999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3134970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0.67220000000000002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220022000</v>
      </c>
    </row>
    <row r="118" spans="1:6" ht="18" customHeight="1">
      <c r="A118" s="5" t="s">
        <v>173</v>
      </c>
      <c r="B118" t="s">
        <v>18</v>
      </c>
      <c r="F118" s="15">
        <v>6914000</v>
      </c>
    </row>
    <row r="119" spans="1:6" ht="18" customHeight="1">
      <c r="A119" s="5" t="s">
        <v>174</v>
      </c>
      <c r="B119" s="2" t="s">
        <v>19</v>
      </c>
      <c r="F119" s="56">
        <f>SUM(F117:F118)</f>
        <v>226936000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216497000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v>10439000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1257000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f>F123+F125</f>
        <v>11696000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4">SUM(F131:F135)</f>
        <v>0</v>
      </c>
      <c r="G137" s="18">
        <f t="shared" si="14"/>
        <v>0</v>
      </c>
      <c r="H137" s="16">
        <f t="shared" si="14"/>
        <v>0</v>
      </c>
      <c r="I137" s="16">
        <f t="shared" si="14"/>
        <v>0</v>
      </c>
      <c r="J137" s="16">
        <f t="shared" si="14"/>
        <v>0</v>
      </c>
      <c r="K137" s="16">
        <f t="shared" si="14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5">F36</f>
        <v>7670</v>
      </c>
      <c r="G141" s="41">
        <f t="shared" si="15"/>
        <v>735</v>
      </c>
      <c r="H141" s="41">
        <f t="shared" si="15"/>
        <v>885640</v>
      </c>
      <c r="I141" s="41">
        <f t="shared" si="15"/>
        <v>595327.20799999998</v>
      </c>
      <c r="J141" s="41">
        <f t="shared" si="15"/>
        <v>0</v>
      </c>
      <c r="K141" s="41">
        <f t="shared" si="15"/>
        <v>1480967.2079999999</v>
      </c>
    </row>
    <row r="142" spans="1:11" ht="18" customHeight="1">
      <c r="A142" s="5" t="s">
        <v>142</v>
      </c>
      <c r="B142" s="2" t="s">
        <v>65</v>
      </c>
      <c r="F142" s="41">
        <f t="shared" ref="F142:K142" si="16">F49</f>
        <v>0</v>
      </c>
      <c r="G142" s="41">
        <f t="shared" si="16"/>
        <v>0</v>
      </c>
      <c r="H142" s="41">
        <f t="shared" si="16"/>
        <v>329526</v>
      </c>
      <c r="I142" s="41">
        <f t="shared" si="16"/>
        <v>221507.37720000002</v>
      </c>
      <c r="J142" s="41">
        <f t="shared" si="16"/>
        <v>0</v>
      </c>
      <c r="K142" s="41">
        <f t="shared" si="16"/>
        <v>551033.37719999999</v>
      </c>
    </row>
    <row r="143" spans="1:11" ht="18" customHeight="1">
      <c r="A143" s="5" t="s">
        <v>144</v>
      </c>
      <c r="B143" s="2" t="s">
        <v>66</v>
      </c>
      <c r="F143" s="41">
        <f t="shared" ref="F143:K143" si="17">F64</f>
        <v>0</v>
      </c>
      <c r="G143" s="41">
        <f t="shared" si="17"/>
        <v>0</v>
      </c>
      <c r="H143" s="41">
        <f t="shared" si="17"/>
        <v>5585796</v>
      </c>
      <c r="I143" s="41">
        <f t="shared" si="17"/>
        <v>3754772.0712000001</v>
      </c>
      <c r="J143" s="41">
        <f t="shared" si="17"/>
        <v>0</v>
      </c>
      <c r="K143" s="41">
        <f t="shared" si="17"/>
        <v>9340568.0712000001</v>
      </c>
    </row>
    <row r="144" spans="1:11" ht="18" customHeight="1">
      <c r="A144" s="5" t="s">
        <v>146</v>
      </c>
      <c r="B144" s="2" t="s">
        <v>67</v>
      </c>
      <c r="F144" s="41">
        <f t="shared" ref="F144:K144" si="18">F74</f>
        <v>1488</v>
      </c>
      <c r="G144" s="41">
        <f t="shared" si="18"/>
        <v>0</v>
      </c>
      <c r="H144" s="41">
        <f t="shared" si="18"/>
        <v>52826</v>
      </c>
      <c r="I144" s="41">
        <f t="shared" si="18"/>
        <v>35509.637200000005</v>
      </c>
      <c r="J144" s="41">
        <f t="shared" si="18"/>
        <v>0</v>
      </c>
      <c r="K144" s="41">
        <f t="shared" si="18"/>
        <v>88335.637199999997</v>
      </c>
    </row>
    <row r="145" spans="1:11" ht="18" customHeight="1">
      <c r="A145" s="5" t="s">
        <v>148</v>
      </c>
      <c r="B145" s="2" t="s">
        <v>68</v>
      </c>
      <c r="F145" s="41">
        <f t="shared" ref="F145:K145" si="19">F82</f>
        <v>0</v>
      </c>
      <c r="G145" s="41">
        <f t="shared" si="19"/>
        <v>0</v>
      </c>
      <c r="H145" s="41">
        <f t="shared" si="19"/>
        <v>77477</v>
      </c>
      <c r="I145" s="41">
        <f t="shared" si="19"/>
        <v>0</v>
      </c>
      <c r="J145" s="41">
        <f t="shared" si="19"/>
        <v>0</v>
      </c>
      <c r="K145" s="41">
        <f t="shared" si="19"/>
        <v>77477</v>
      </c>
    </row>
    <row r="146" spans="1:11" ht="18" customHeight="1">
      <c r="A146" s="5" t="s">
        <v>150</v>
      </c>
      <c r="B146" s="2" t="s">
        <v>69</v>
      </c>
      <c r="F146" s="41">
        <f t="shared" ref="F146:K146" si="20">F98</f>
        <v>0</v>
      </c>
      <c r="G146" s="41">
        <f t="shared" si="20"/>
        <v>0</v>
      </c>
      <c r="H146" s="41">
        <f t="shared" si="20"/>
        <v>70198</v>
      </c>
      <c r="I146" s="41">
        <f t="shared" si="20"/>
        <v>47187.095600000001</v>
      </c>
      <c r="J146" s="41">
        <f t="shared" si="20"/>
        <v>0</v>
      </c>
      <c r="K146" s="41">
        <f t="shared" si="20"/>
        <v>117385.0956</v>
      </c>
    </row>
    <row r="147" spans="1:11" ht="18" customHeight="1">
      <c r="A147" s="5" t="s">
        <v>153</v>
      </c>
      <c r="B147" s="2" t="s">
        <v>61</v>
      </c>
      <c r="F147" s="18">
        <f t="shared" ref="F147:K147" si="21">F108</f>
        <v>3053</v>
      </c>
      <c r="G147" s="18">
        <f t="shared" si="21"/>
        <v>0</v>
      </c>
      <c r="H147" s="18">
        <f t="shared" si="21"/>
        <v>116865</v>
      </c>
      <c r="I147" s="18">
        <f t="shared" si="21"/>
        <v>78556.653000000006</v>
      </c>
      <c r="J147" s="18">
        <f t="shared" si="21"/>
        <v>0</v>
      </c>
      <c r="K147" s="18">
        <f t="shared" si="21"/>
        <v>195421.65299999999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3134970</v>
      </c>
    </row>
    <row r="149" spans="1:11" ht="18" customHeight="1">
      <c r="A149" s="5" t="s">
        <v>163</v>
      </c>
      <c r="B149" s="2" t="s">
        <v>71</v>
      </c>
      <c r="F149" s="18">
        <f t="shared" ref="F149:K149" si="22">F137</f>
        <v>0</v>
      </c>
      <c r="G149" s="18">
        <f t="shared" si="22"/>
        <v>0</v>
      </c>
      <c r="H149" s="18">
        <f t="shared" si="22"/>
        <v>0</v>
      </c>
      <c r="I149" s="18">
        <f t="shared" si="22"/>
        <v>0</v>
      </c>
      <c r="J149" s="18">
        <f t="shared" si="22"/>
        <v>0</v>
      </c>
      <c r="K149" s="18">
        <f t="shared" si="22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6424447</v>
      </c>
      <c r="I150" s="18">
        <f>I18</f>
        <v>0</v>
      </c>
      <c r="J150" s="18">
        <f>J18</f>
        <v>5493705</v>
      </c>
      <c r="K150" s="18">
        <f>K18</f>
        <v>930742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3">SUM(F141:F150)</f>
        <v>12211</v>
      </c>
      <c r="G152" s="49">
        <f t="shared" si="23"/>
        <v>735</v>
      </c>
      <c r="H152" s="49">
        <f t="shared" si="23"/>
        <v>13542775</v>
      </c>
      <c r="I152" s="49">
        <f t="shared" si="23"/>
        <v>4732860.0421999991</v>
      </c>
      <c r="J152" s="49">
        <f t="shared" si="23"/>
        <v>5493705</v>
      </c>
      <c r="K152" s="49">
        <f t="shared" si="23"/>
        <v>15916900.042200001</v>
      </c>
    </row>
    <row r="154" spans="1:11" ht="18" customHeight="1">
      <c r="A154" s="6" t="s">
        <v>168</v>
      </c>
      <c r="B154" s="2" t="s">
        <v>28</v>
      </c>
      <c r="F154" s="64">
        <f>K152/F121</f>
        <v>7.3520187541628756E-2</v>
      </c>
    </row>
    <row r="155" spans="1:11" ht="18" customHeight="1">
      <c r="A155" s="6" t="s">
        <v>169</v>
      </c>
      <c r="B155" s="2" t="s">
        <v>72</v>
      </c>
      <c r="F155" s="64">
        <f>K152/F127</f>
        <v>1.3608840665355677</v>
      </c>
      <c r="G155" s="2"/>
    </row>
    <row r="156" spans="1:11" ht="18" customHeight="1">
      <c r="G156" s="2"/>
    </row>
  </sheetData>
  <sheetProtection password="EF72" sheet="1" objects="1" scenarios="1"/>
  <mergeCells count="33">
    <mergeCell ref="B52:C52"/>
    <mergeCell ref="B46:D46"/>
    <mergeCell ref="B47:D47"/>
    <mergeCell ref="B34:D34"/>
    <mergeCell ref="B90:C90"/>
    <mergeCell ref="B55:D55"/>
    <mergeCell ref="B56:D56"/>
    <mergeCell ref="B57:D57"/>
    <mergeCell ref="B59:D59"/>
    <mergeCell ref="B134:D134"/>
    <mergeCell ref="B135:D135"/>
    <mergeCell ref="B133:D133"/>
    <mergeCell ref="B104:D104"/>
    <mergeCell ref="B62:D62"/>
    <mergeCell ref="B105:D105"/>
    <mergeCell ref="B106:D106"/>
    <mergeCell ref="B94:D94"/>
    <mergeCell ref="B96:D96"/>
    <mergeCell ref="B95:D95"/>
    <mergeCell ref="B103:C103"/>
    <mergeCell ref="D2:H2"/>
    <mergeCell ref="B45:D45"/>
    <mergeCell ref="C5:G5"/>
    <mergeCell ref="C6:G6"/>
    <mergeCell ref="C7:G7"/>
    <mergeCell ref="C9:G9"/>
    <mergeCell ref="C11:G11"/>
    <mergeCell ref="B41:C41"/>
    <mergeCell ref="B44:D44"/>
    <mergeCell ref="B13:H13"/>
    <mergeCell ref="C10:G10"/>
    <mergeCell ref="B30:D30"/>
    <mergeCell ref="B31:D31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80" zoomScaleNormal="50" zoomScaleSheetLayoutView="80" workbookViewId="0">
      <selection activeCell="C7" sqref="C7:G7"/>
    </sheetView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84" t="s">
        <v>454</v>
      </c>
      <c r="D5" s="534"/>
      <c r="E5" s="534"/>
      <c r="F5" s="534"/>
      <c r="G5" s="535"/>
    </row>
    <row r="6" spans="1:11" ht="18" customHeight="1">
      <c r="B6" s="5" t="s">
        <v>3</v>
      </c>
      <c r="C6" s="643" t="s">
        <v>453</v>
      </c>
      <c r="D6" s="537"/>
      <c r="E6" s="537"/>
      <c r="F6" s="537"/>
      <c r="G6" s="538"/>
    </row>
    <row r="7" spans="1:11" ht="18" customHeight="1">
      <c r="B7" s="5" t="s">
        <v>4</v>
      </c>
      <c r="C7" s="640">
        <v>2725</v>
      </c>
      <c r="D7" s="641"/>
      <c r="E7" s="641"/>
      <c r="F7" s="641"/>
      <c r="G7" s="642"/>
    </row>
    <row r="9" spans="1:11" ht="18" customHeight="1">
      <c r="B9" s="5" t="s">
        <v>1</v>
      </c>
      <c r="C9" s="584" t="s">
        <v>452</v>
      </c>
      <c r="D9" s="534"/>
      <c r="E9" s="534"/>
      <c r="F9" s="534"/>
      <c r="G9" s="535"/>
    </row>
    <row r="10" spans="1:11" ht="18" customHeight="1">
      <c r="B10" s="5" t="s">
        <v>2</v>
      </c>
      <c r="C10" s="586" t="s">
        <v>451</v>
      </c>
      <c r="D10" s="543"/>
      <c r="E10" s="543"/>
      <c r="F10" s="543"/>
      <c r="G10" s="544"/>
    </row>
    <row r="11" spans="1:11" ht="18" customHeight="1">
      <c r="B11" s="5" t="s">
        <v>32</v>
      </c>
      <c r="C11" s="584" t="s">
        <v>450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11229395</v>
      </c>
      <c r="I18" s="55">
        <v>0</v>
      </c>
      <c r="J18" s="15">
        <v>9602536</v>
      </c>
      <c r="K18" s="16">
        <f>(H18+I18)-J18</f>
        <v>1626859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679</v>
      </c>
      <c r="G21" s="54">
        <v>2882</v>
      </c>
      <c r="H21" s="15">
        <v>48823.89</v>
      </c>
      <c r="I21" s="55">
        <f t="shared" ref="I21:I34" si="0">H21*F$114</f>
        <v>25193.127240000002</v>
      </c>
      <c r="J21" s="15">
        <v>15981</v>
      </c>
      <c r="K21" s="16">
        <f t="shared" ref="K21:K34" si="1">(H21+I21)-J21</f>
        <v>58036.017240000001</v>
      </c>
    </row>
    <row r="22" spans="1:11" ht="18" customHeight="1">
      <c r="A22" s="5" t="s">
        <v>76</v>
      </c>
      <c r="B22" t="s">
        <v>6</v>
      </c>
      <c r="F22" s="54">
        <v>265</v>
      </c>
      <c r="G22" s="54">
        <v>743</v>
      </c>
      <c r="H22" s="15">
        <v>13046.06</v>
      </c>
      <c r="I22" s="55">
        <f t="shared" si="0"/>
        <v>6731.7669599999999</v>
      </c>
      <c r="J22" s="15"/>
      <c r="K22" s="16">
        <f t="shared" si="1"/>
        <v>19777.826959999999</v>
      </c>
    </row>
    <row r="23" spans="1:11" ht="18" customHeight="1">
      <c r="A23" s="5" t="s">
        <v>77</v>
      </c>
      <c r="B23" t="s">
        <v>43</v>
      </c>
      <c r="F23" s="54">
        <v>16926</v>
      </c>
      <c r="G23" s="54">
        <v>38981</v>
      </c>
      <c r="H23" s="15">
        <v>777693.74</v>
      </c>
      <c r="I23" s="55">
        <f t="shared" si="0"/>
        <v>401289.96984000003</v>
      </c>
      <c r="J23" s="15">
        <v>255257</v>
      </c>
      <c r="K23" s="16">
        <f t="shared" si="1"/>
        <v>923726.70984000014</v>
      </c>
    </row>
    <row r="24" spans="1:11" ht="18" customHeight="1">
      <c r="A24" s="5" t="s">
        <v>78</v>
      </c>
      <c r="B24" t="s">
        <v>44</v>
      </c>
      <c r="F24" s="54"/>
      <c r="G24" s="54"/>
      <c r="H24" s="15"/>
      <c r="I24" s="55">
        <f t="shared" si="0"/>
        <v>0</v>
      </c>
      <c r="J24" s="15"/>
      <c r="K24" s="16">
        <f t="shared" si="1"/>
        <v>0</v>
      </c>
    </row>
    <row r="25" spans="1:11" ht="18" customHeight="1">
      <c r="A25" s="5" t="s">
        <v>79</v>
      </c>
      <c r="B25" t="s">
        <v>5</v>
      </c>
      <c r="F25" s="54">
        <v>1649</v>
      </c>
      <c r="G25" s="54">
        <v>3238</v>
      </c>
      <c r="H25" s="15">
        <v>52967</v>
      </c>
      <c r="I25" s="55">
        <f t="shared" si="0"/>
        <v>27330.972000000002</v>
      </c>
      <c r="J25" s="15">
        <v>162</v>
      </c>
      <c r="K25" s="16">
        <f t="shared" si="1"/>
        <v>80135.972000000009</v>
      </c>
    </row>
    <row r="26" spans="1:11" ht="18" customHeight="1">
      <c r="A26" s="5" t="s">
        <v>80</v>
      </c>
      <c r="B26" t="s">
        <v>45</v>
      </c>
      <c r="F26" s="54">
        <v>521</v>
      </c>
      <c r="G26" s="54">
        <v>5068</v>
      </c>
      <c r="H26" s="15">
        <v>68353.37</v>
      </c>
      <c r="I26" s="55">
        <f t="shared" si="0"/>
        <v>35270.338920000002</v>
      </c>
      <c r="J26" s="15">
        <v>45504</v>
      </c>
      <c r="K26" s="16">
        <f t="shared" si="1"/>
        <v>58119.708920000005</v>
      </c>
    </row>
    <row r="27" spans="1:11" ht="18" customHeight="1">
      <c r="A27" s="5" t="s">
        <v>81</v>
      </c>
      <c r="B27" t="s">
        <v>46</v>
      </c>
      <c r="F27" s="54"/>
      <c r="G27" s="54"/>
      <c r="H27" s="15"/>
      <c r="I27" s="55">
        <f t="shared" si="0"/>
        <v>0</v>
      </c>
      <c r="J27" s="15"/>
      <c r="K27" s="16">
        <f t="shared" si="1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15"/>
      <c r="I28" s="55">
        <f t="shared" si="0"/>
        <v>0</v>
      </c>
      <c r="J28" s="15"/>
      <c r="K28" s="16">
        <f t="shared" si="1"/>
        <v>0</v>
      </c>
    </row>
    <row r="29" spans="1:11" ht="18" customHeight="1">
      <c r="A29" s="5" t="s">
        <v>83</v>
      </c>
      <c r="B29" t="s">
        <v>48</v>
      </c>
      <c r="F29" s="54">
        <v>1778</v>
      </c>
      <c r="G29" s="54">
        <v>1960</v>
      </c>
      <c r="H29" s="15">
        <v>155645.64000000001</v>
      </c>
      <c r="I29" s="55">
        <f t="shared" si="0"/>
        <v>80313.150240000003</v>
      </c>
      <c r="J29" s="15"/>
      <c r="K29" s="16">
        <f t="shared" si="1"/>
        <v>235958.79024</v>
      </c>
    </row>
    <row r="30" spans="1:11" ht="18" customHeight="1">
      <c r="A30" s="5" t="s">
        <v>84</v>
      </c>
      <c r="B30" s="547"/>
      <c r="C30" s="548"/>
      <c r="D30" s="549"/>
      <c r="F30" s="54"/>
      <c r="G30" s="54"/>
      <c r="H30" s="15"/>
      <c r="I30" s="55">
        <f t="shared" si="0"/>
        <v>0</v>
      </c>
      <c r="J30" s="15"/>
      <c r="K30" s="16">
        <f t="shared" si="1"/>
        <v>0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 t="shared" si="0"/>
        <v>0</v>
      </c>
      <c r="J31" s="15"/>
      <c r="K31" s="16">
        <f t="shared" si="1"/>
        <v>0</v>
      </c>
    </row>
    <row r="32" spans="1:11" ht="18" customHeight="1">
      <c r="A32" s="5" t="s">
        <v>134</v>
      </c>
      <c r="B32" s="73"/>
      <c r="C32" s="74"/>
      <c r="D32" s="75"/>
      <c r="F32" s="54"/>
      <c r="G32" s="52" t="s">
        <v>85</v>
      </c>
      <c r="H32" s="15"/>
      <c r="I32" s="55">
        <f t="shared" si="0"/>
        <v>0</v>
      </c>
      <c r="J32" s="15"/>
      <c r="K32" s="16">
        <f t="shared" si="1"/>
        <v>0</v>
      </c>
    </row>
    <row r="33" spans="1:11" ht="18" customHeight="1">
      <c r="A33" s="5" t="s">
        <v>135</v>
      </c>
      <c r="B33" s="73"/>
      <c r="C33" s="74"/>
      <c r="D33" s="75"/>
      <c r="F33" s="54"/>
      <c r="G33" s="52" t="s">
        <v>85</v>
      </c>
      <c r="H33" s="15"/>
      <c r="I33" s="55">
        <f t="shared" si="0"/>
        <v>0</v>
      </c>
      <c r="J33" s="15"/>
      <c r="K33" s="16">
        <f t="shared" si="1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 t="shared" si="0"/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21818</v>
      </c>
      <c r="G36" s="18">
        <f t="shared" si="2"/>
        <v>52872</v>
      </c>
      <c r="H36" s="18">
        <f t="shared" si="2"/>
        <v>1116529.7</v>
      </c>
      <c r="I36" s="16">
        <f t="shared" si="2"/>
        <v>576129.32520000008</v>
      </c>
      <c r="J36" s="16">
        <f t="shared" si="2"/>
        <v>316904</v>
      </c>
      <c r="K36" s="16">
        <f t="shared" si="2"/>
        <v>1375755.0252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/>
      <c r="G40" s="54"/>
      <c r="H40" s="15"/>
      <c r="I40" s="55">
        <v>0</v>
      </c>
      <c r="J40" s="15"/>
      <c r="K40" s="16">
        <f t="shared" ref="K40:K47" si="3">(H40+I40)-J40</f>
        <v>0</v>
      </c>
    </row>
    <row r="41" spans="1:11" ht="18" customHeight="1">
      <c r="A41" s="5" t="s">
        <v>88</v>
      </c>
      <c r="B41" s="550" t="s">
        <v>50</v>
      </c>
      <c r="C41" s="551"/>
      <c r="F41" s="54">
        <v>2335</v>
      </c>
      <c r="G41" s="54">
        <v>473</v>
      </c>
      <c r="H41" s="15">
        <v>161486.79999999999</v>
      </c>
      <c r="I41" s="55">
        <v>0</v>
      </c>
      <c r="J41" s="15"/>
      <c r="K41" s="16">
        <f t="shared" si="3"/>
        <v>161486.79999999999</v>
      </c>
    </row>
    <row r="42" spans="1:11" ht="18" customHeight="1">
      <c r="A42" s="5" t="s">
        <v>89</v>
      </c>
      <c r="B42" s="1" t="s">
        <v>11</v>
      </c>
      <c r="F42" s="54"/>
      <c r="G42" s="54"/>
      <c r="H42" s="15"/>
      <c r="I42" s="55">
        <v>0</v>
      </c>
      <c r="J42" s="15"/>
      <c r="K42" s="16">
        <f t="shared" si="3"/>
        <v>0</v>
      </c>
    </row>
    <row r="43" spans="1:11" ht="18" customHeight="1">
      <c r="A43" s="5" t="s">
        <v>90</v>
      </c>
      <c r="B43" s="47" t="s">
        <v>10</v>
      </c>
      <c r="C43" s="10"/>
      <c r="D43" s="10"/>
      <c r="F43" s="54">
        <v>94</v>
      </c>
      <c r="G43" s="54">
        <v>21</v>
      </c>
      <c r="H43" s="15">
        <v>16357.4</v>
      </c>
      <c r="I43" s="55">
        <v>0</v>
      </c>
      <c r="J43" s="15"/>
      <c r="K43" s="16">
        <f t="shared" si="3"/>
        <v>16357.4</v>
      </c>
    </row>
    <row r="44" spans="1:11" ht="18" customHeight="1">
      <c r="A44" s="5" t="s">
        <v>91</v>
      </c>
      <c r="B44" s="618" t="s">
        <v>449</v>
      </c>
      <c r="C44" s="619"/>
      <c r="D44" s="620"/>
      <c r="F44" s="82">
        <v>105</v>
      </c>
      <c r="G44" s="82">
        <v>35</v>
      </c>
      <c r="H44" s="82">
        <v>3868.3</v>
      </c>
      <c r="I44" s="83">
        <v>0</v>
      </c>
      <c r="J44" s="82"/>
      <c r="K44" s="81">
        <f t="shared" si="3"/>
        <v>3868.3</v>
      </c>
    </row>
    <row r="45" spans="1:11" ht="18" customHeight="1">
      <c r="A45" s="5" t="s">
        <v>139</v>
      </c>
      <c r="B45" s="618" t="s">
        <v>448</v>
      </c>
      <c r="C45" s="619"/>
      <c r="D45" s="620"/>
      <c r="F45" s="54">
        <v>12377</v>
      </c>
      <c r="G45" s="54">
        <v>267</v>
      </c>
      <c r="H45" s="15">
        <v>520444.04</v>
      </c>
      <c r="I45" s="55">
        <v>0</v>
      </c>
      <c r="J45" s="15"/>
      <c r="K45" s="16">
        <f t="shared" si="3"/>
        <v>520444.04</v>
      </c>
    </row>
    <row r="46" spans="1:11" ht="18" customHeight="1">
      <c r="A46" s="5" t="s">
        <v>140</v>
      </c>
      <c r="B46" s="618" t="s">
        <v>447</v>
      </c>
      <c r="C46" s="619"/>
      <c r="D46" s="620"/>
      <c r="F46" s="54">
        <v>900</v>
      </c>
      <c r="G46" s="54">
        <v>670</v>
      </c>
      <c r="H46" s="15">
        <v>102706.25</v>
      </c>
      <c r="I46" s="55">
        <v>0</v>
      </c>
      <c r="J46" s="15">
        <v>43027.5</v>
      </c>
      <c r="K46" s="16">
        <f t="shared" si="3"/>
        <v>59678.75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3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15811</v>
      </c>
      <c r="G49" s="23">
        <f t="shared" si="4"/>
        <v>1466</v>
      </c>
      <c r="H49" s="16">
        <f t="shared" si="4"/>
        <v>804862.78999999992</v>
      </c>
      <c r="I49" s="16">
        <f t="shared" si="4"/>
        <v>0</v>
      </c>
      <c r="J49" s="16">
        <f t="shared" si="4"/>
        <v>43027.5</v>
      </c>
      <c r="K49" s="16">
        <f t="shared" si="4"/>
        <v>761835.28999999992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623" t="s">
        <v>446</v>
      </c>
      <c r="C53" s="624"/>
      <c r="D53" s="625"/>
      <c r="F53" s="54">
        <v>1583</v>
      </c>
      <c r="G53" s="54">
        <v>198</v>
      </c>
      <c r="H53" s="15">
        <v>87676.71</v>
      </c>
      <c r="I53" s="55">
        <v>54009</v>
      </c>
      <c r="J53" s="15">
        <v>18972</v>
      </c>
      <c r="K53" s="16">
        <f t="shared" ref="K53:K62" si="5">(H53+I53)-J53</f>
        <v>122713.71000000002</v>
      </c>
    </row>
    <row r="54" spans="1:11" ht="18" customHeight="1">
      <c r="A54" s="5" t="s">
        <v>93</v>
      </c>
      <c r="B54" s="139" t="s">
        <v>445</v>
      </c>
      <c r="C54" s="138"/>
      <c r="D54" s="137"/>
      <c r="F54" s="54">
        <v>520</v>
      </c>
      <c r="G54" s="54">
        <v>6405</v>
      </c>
      <c r="H54" s="15">
        <v>39379.32</v>
      </c>
      <c r="I54" s="55">
        <v>0</v>
      </c>
      <c r="J54" s="15"/>
      <c r="K54" s="16">
        <f t="shared" si="5"/>
        <v>39379.32</v>
      </c>
    </row>
    <row r="55" spans="1:11" ht="18" customHeight="1">
      <c r="A55" s="5" t="s">
        <v>94</v>
      </c>
      <c r="B55" s="626" t="s">
        <v>444</v>
      </c>
      <c r="C55" s="627"/>
      <c r="D55" s="625"/>
      <c r="F55" s="54">
        <v>0</v>
      </c>
      <c r="G55" s="54">
        <v>0</v>
      </c>
      <c r="H55" s="15">
        <v>4588454</v>
      </c>
      <c r="I55" s="55">
        <v>0</v>
      </c>
      <c r="J55" s="15">
        <v>1100080</v>
      </c>
      <c r="K55" s="16">
        <f t="shared" si="5"/>
        <v>3488374</v>
      </c>
    </row>
    <row r="56" spans="1:11" ht="18" customHeight="1">
      <c r="A56" s="5" t="s">
        <v>95</v>
      </c>
      <c r="B56" s="626" t="s">
        <v>443</v>
      </c>
      <c r="C56" s="627"/>
      <c r="D56" s="625"/>
      <c r="F56" s="54" t="s">
        <v>740</v>
      </c>
      <c r="G56" s="54">
        <v>20655</v>
      </c>
      <c r="H56" s="15">
        <v>3797974</v>
      </c>
      <c r="I56" s="55">
        <v>690100</v>
      </c>
      <c r="J56" s="15">
        <v>2117984</v>
      </c>
      <c r="K56" s="16">
        <f t="shared" si="5"/>
        <v>2370090</v>
      </c>
    </row>
    <row r="57" spans="1:11" ht="18" customHeight="1">
      <c r="A57" s="5" t="s">
        <v>96</v>
      </c>
      <c r="B57" s="626" t="s">
        <v>442</v>
      </c>
      <c r="C57" s="627"/>
      <c r="D57" s="625"/>
      <c r="F57" s="54">
        <v>0</v>
      </c>
      <c r="G57" s="54">
        <v>0</v>
      </c>
      <c r="H57" s="15">
        <v>157254.46</v>
      </c>
      <c r="I57" s="55">
        <v>0</v>
      </c>
      <c r="J57" s="15"/>
      <c r="K57" s="16">
        <f t="shared" si="5"/>
        <v>157254.46</v>
      </c>
    </row>
    <row r="58" spans="1:11" ht="18" customHeight="1">
      <c r="A58" s="5" t="s">
        <v>97</v>
      </c>
      <c r="B58" s="76"/>
      <c r="C58" s="77"/>
      <c r="D58" s="78"/>
      <c r="F58" s="54"/>
      <c r="G58" s="54"/>
      <c r="H58" s="15"/>
      <c r="I58" s="55">
        <v>0</v>
      </c>
      <c r="J58" s="15"/>
      <c r="K58" s="16">
        <f t="shared" si="5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v>0</v>
      </c>
      <c r="J59" s="15"/>
      <c r="K59" s="16">
        <f t="shared" si="5"/>
        <v>0</v>
      </c>
    </row>
    <row r="60" spans="1:11" ht="18" customHeight="1">
      <c r="A60" s="5" t="s">
        <v>99</v>
      </c>
      <c r="B60" s="76"/>
      <c r="C60" s="77"/>
      <c r="D60" s="78"/>
      <c r="F60" s="54"/>
      <c r="G60" s="54"/>
      <c r="H60" s="15"/>
      <c r="I60" s="55">
        <v>0</v>
      </c>
      <c r="J60" s="15"/>
      <c r="K60" s="16">
        <f t="shared" si="5"/>
        <v>0</v>
      </c>
    </row>
    <row r="61" spans="1:11" ht="18" customHeight="1">
      <c r="A61" s="5" t="s">
        <v>100</v>
      </c>
      <c r="B61" s="76"/>
      <c r="C61" s="77"/>
      <c r="D61" s="78"/>
      <c r="F61" s="54"/>
      <c r="G61" s="54"/>
      <c r="H61" s="15"/>
      <c r="I61" s="55">
        <v>0</v>
      </c>
      <c r="J61" s="15"/>
      <c r="K61" s="16">
        <f t="shared" si="5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5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6">SUM(F53:F62)</f>
        <v>2103</v>
      </c>
      <c r="G64" s="18">
        <f t="shared" si="6"/>
        <v>27258</v>
      </c>
      <c r="H64" s="16">
        <f t="shared" si="6"/>
        <v>8670738.4900000021</v>
      </c>
      <c r="I64" s="16">
        <f t="shared" si="6"/>
        <v>744109</v>
      </c>
      <c r="J64" s="16">
        <f t="shared" si="6"/>
        <v>3237036</v>
      </c>
      <c r="K64" s="16">
        <f t="shared" si="6"/>
        <v>6177811.4900000002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>
        <v>32</v>
      </c>
      <c r="G68" s="51">
        <v>0</v>
      </c>
      <c r="H68" s="51">
        <v>3973.23</v>
      </c>
      <c r="I68" s="55">
        <v>0</v>
      </c>
      <c r="J68" s="51"/>
      <c r="K68" s="16">
        <f>(H68+I68)-J68</f>
        <v>3973.23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76"/>
      <c r="C70" s="77"/>
      <c r="D70" s="78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76"/>
      <c r="C71" s="77"/>
      <c r="D71" s="78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79"/>
      <c r="C72" s="80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7">SUM(F68:F72)</f>
        <v>32</v>
      </c>
      <c r="G74" s="21">
        <f t="shared" si="7"/>
        <v>0</v>
      </c>
      <c r="H74" s="21">
        <f t="shared" si="7"/>
        <v>3973.23</v>
      </c>
      <c r="I74" s="53">
        <f t="shared" si="7"/>
        <v>0</v>
      </c>
      <c r="J74" s="21">
        <f t="shared" si="7"/>
        <v>0</v>
      </c>
      <c r="K74" s="56">
        <f t="shared" si="7"/>
        <v>3973.23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>
        <v>0</v>
      </c>
      <c r="G77" s="54">
        <v>0</v>
      </c>
      <c r="H77" s="15">
        <v>40650</v>
      </c>
      <c r="I77" s="55">
        <v>0</v>
      </c>
      <c r="J77" s="15"/>
      <c r="K77" s="16">
        <f>(H77+I77)-J77</f>
        <v>40650</v>
      </c>
    </row>
    <row r="78" spans="1:11" ht="18" customHeight="1">
      <c r="A78" s="5" t="s">
        <v>108</v>
      </c>
      <c r="B78" s="1" t="s">
        <v>55</v>
      </c>
      <c r="F78" s="54"/>
      <c r="G78" s="54"/>
      <c r="H78" s="15"/>
      <c r="I78" s="55"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>
        <v>4055</v>
      </c>
      <c r="G79" s="54">
        <v>5258</v>
      </c>
      <c r="H79" s="15">
        <v>104653.31</v>
      </c>
      <c r="I79" s="55">
        <v>0</v>
      </c>
      <c r="J79" s="15">
        <v>420</v>
      </c>
      <c r="K79" s="16">
        <f>(H79+I79)-J79</f>
        <v>104233.31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8">SUM(F77:F80)</f>
        <v>4055</v>
      </c>
      <c r="G82" s="21">
        <f t="shared" si="8"/>
        <v>5258</v>
      </c>
      <c r="H82" s="56">
        <f t="shared" si="8"/>
        <v>145303.31</v>
      </c>
      <c r="I82" s="56">
        <f t="shared" si="8"/>
        <v>0</v>
      </c>
      <c r="J82" s="56">
        <f t="shared" si="8"/>
        <v>420</v>
      </c>
      <c r="K82" s="56">
        <f t="shared" si="8"/>
        <v>144883.31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f t="shared" ref="I86:I96" si="9">H86*F$114</f>
        <v>0</v>
      </c>
      <c r="J86" s="15"/>
      <c r="K86" s="16">
        <f t="shared" ref="K86:K96" si="10">(H86+I86)-J86</f>
        <v>0</v>
      </c>
    </row>
    <row r="87" spans="1:11" ht="18" customHeight="1">
      <c r="A87" s="5" t="s">
        <v>114</v>
      </c>
      <c r="B87" s="1" t="s">
        <v>14</v>
      </c>
      <c r="F87" s="54">
        <v>5</v>
      </c>
      <c r="G87" s="54">
        <v>0</v>
      </c>
      <c r="H87" s="15">
        <v>600.29</v>
      </c>
      <c r="I87" s="55">
        <f t="shared" si="9"/>
        <v>309.74964</v>
      </c>
      <c r="J87" s="15"/>
      <c r="K87" s="16">
        <f t="shared" si="10"/>
        <v>910.03963999999996</v>
      </c>
    </row>
    <row r="88" spans="1:11" ht="18" customHeight="1">
      <c r="A88" s="5" t="s">
        <v>115</v>
      </c>
      <c r="B88" s="1" t="s">
        <v>116</v>
      </c>
      <c r="F88" s="54">
        <v>119</v>
      </c>
      <c r="G88" s="54">
        <v>3</v>
      </c>
      <c r="H88" s="15">
        <v>7767.82</v>
      </c>
      <c r="I88" s="55">
        <f t="shared" si="9"/>
        <v>4008.1951199999999</v>
      </c>
      <c r="J88" s="15"/>
      <c r="K88" s="16">
        <f t="shared" si="10"/>
        <v>11776.01512</v>
      </c>
    </row>
    <row r="89" spans="1:11" ht="18" customHeight="1">
      <c r="A89" s="5" t="s">
        <v>117</v>
      </c>
      <c r="B89" s="1" t="s">
        <v>58</v>
      </c>
      <c r="F89" s="54">
        <v>0</v>
      </c>
      <c r="G89" s="54">
        <v>0</v>
      </c>
      <c r="H89" s="15">
        <v>94856.25</v>
      </c>
      <c r="I89" s="55">
        <f t="shared" si="9"/>
        <v>48945.825000000004</v>
      </c>
      <c r="J89" s="15"/>
      <c r="K89" s="16">
        <f t="shared" si="10"/>
        <v>143802.07500000001</v>
      </c>
    </row>
    <row r="90" spans="1:11" ht="18" customHeight="1">
      <c r="A90" s="5" t="s">
        <v>118</v>
      </c>
      <c r="B90" s="550" t="s">
        <v>59</v>
      </c>
      <c r="C90" s="551"/>
      <c r="F90" s="54"/>
      <c r="G90" s="54"/>
      <c r="H90" s="15"/>
      <c r="I90" s="55">
        <f t="shared" si="9"/>
        <v>0</v>
      </c>
      <c r="J90" s="15"/>
      <c r="K90" s="16">
        <f t="shared" si="10"/>
        <v>0</v>
      </c>
    </row>
    <row r="91" spans="1:11" ht="18" customHeight="1">
      <c r="A91" s="5" t="s">
        <v>119</v>
      </c>
      <c r="B91" s="1" t="s">
        <v>60</v>
      </c>
      <c r="F91" s="54">
        <v>133</v>
      </c>
      <c r="G91" s="54">
        <v>0</v>
      </c>
      <c r="H91" s="15">
        <v>11547.2</v>
      </c>
      <c r="I91" s="55">
        <f t="shared" si="9"/>
        <v>5958.3552000000009</v>
      </c>
      <c r="J91" s="15"/>
      <c r="K91" s="16">
        <f t="shared" si="10"/>
        <v>17505.555200000003</v>
      </c>
    </row>
    <row r="92" spans="1:11" ht="18" customHeight="1">
      <c r="A92" s="5" t="s">
        <v>120</v>
      </c>
      <c r="B92" s="1" t="s">
        <v>121</v>
      </c>
      <c r="F92" s="38"/>
      <c r="G92" s="38"/>
      <c r="H92" s="39"/>
      <c r="I92" s="55">
        <f t="shared" si="9"/>
        <v>0</v>
      </c>
      <c r="J92" s="39"/>
      <c r="K92" s="16">
        <f t="shared" si="10"/>
        <v>0</v>
      </c>
    </row>
    <row r="93" spans="1:11" ht="18" customHeight="1">
      <c r="A93" s="5" t="s">
        <v>122</v>
      </c>
      <c r="B93" s="1" t="s">
        <v>123</v>
      </c>
      <c r="F93" s="54">
        <v>31</v>
      </c>
      <c r="G93" s="54">
        <v>134</v>
      </c>
      <c r="H93" s="15">
        <v>1337.55</v>
      </c>
      <c r="I93" s="55">
        <f t="shared" si="9"/>
        <v>690.17579999999998</v>
      </c>
      <c r="J93" s="15"/>
      <c r="K93" s="16">
        <f t="shared" si="10"/>
        <v>2027.7257999999999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f t="shared" si="9"/>
        <v>0</v>
      </c>
      <c r="J94" s="15"/>
      <c r="K94" s="16">
        <f t="shared" si="10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9"/>
        <v>0</v>
      </c>
      <c r="J95" s="15"/>
      <c r="K95" s="16">
        <f t="shared" si="10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9"/>
        <v>0</v>
      </c>
      <c r="J96" s="15"/>
      <c r="K96" s="16">
        <f t="shared" si="10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1">SUM(F86:F96)</f>
        <v>288</v>
      </c>
      <c r="G98" s="18">
        <f t="shared" si="11"/>
        <v>137</v>
      </c>
      <c r="H98" s="18">
        <f t="shared" si="11"/>
        <v>116109.11</v>
      </c>
      <c r="I98" s="18">
        <f t="shared" si="11"/>
        <v>59912.300759999998</v>
      </c>
      <c r="J98" s="18">
        <f t="shared" si="11"/>
        <v>0</v>
      </c>
      <c r="K98" s="18">
        <f t="shared" si="11"/>
        <v>176021.41076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/>
      <c r="G102" s="54"/>
      <c r="H102" s="15"/>
      <c r="I102" s="55">
        <f>H102*F$114</f>
        <v>0</v>
      </c>
      <c r="J102" s="15"/>
      <c r="K102" s="16">
        <f>(H102+I102)-J102</f>
        <v>0</v>
      </c>
    </row>
    <row r="103" spans="1:11" ht="18" customHeight="1">
      <c r="A103" s="5" t="s">
        <v>132</v>
      </c>
      <c r="B103" s="550" t="s">
        <v>62</v>
      </c>
      <c r="C103" s="550"/>
      <c r="F103" s="54"/>
      <c r="G103" s="54"/>
      <c r="H103" s="15"/>
      <c r="I103" s="55">
        <f>H103*F$114</f>
        <v>0</v>
      </c>
      <c r="J103" s="15"/>
      <c r="K103" s="16">
        <f>(H103+I103)-J103</f>
        <v>0</v>
      </c>
    </row>
    <row r="104" spans="1:11" ht="18" customHeight="1">
      <c r="A104" s="5" t="s">
        <v>128</v>
      </c>
      <c r="B104" s="626" t="s">
        <v>441</v>
      </c>
      <c r="C104" s="627"/>
      <c r="D104" s="625"/>
      <c r="F104" s="54">
        <v>171</v>
      </c>
      <c r="G104" s="54">
        <v>0</v>
      </c>
      <c r="H104" s="15">
        <v>5495.97</v>
      </c>
      <c r="I104" s="55">
        <f>H104*F$114</f>
        <v>2835.9205200000001</v>
      </c>
      <c r="J104" s="15"/>
      <c r="K104" s="16">
        <f>(H104+I104)-J104</f>
        <v>8331.8905200000008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2">SUM(F102:F106)</f>
        <v>171</v>
      </c>
      <c r="G108" s="18">
        <f t="shared" si="12"/>
        <v>0</v>
      </c>
      <c r="H108" s="16">
        <f t="shared" si="12"/>
        <v>5495.97</v>
      </c>
      <c r="I108" s="16">
        <f t="shared" si="12"/>
        <v>2835.9205200000001</v>
      </c>
      <c r="J108" s="16">
        <f t="shared" si="12"/>
        <v>0</v>
      </c>
      <c r="K108" s="16">
        <f t="shared" si="12"/>
        <v>8331.8905200000008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13903600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0.51600000000000001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378035000</v>
      </c>
    </row>
    <row r="118" spans="1:6" ht="18" customHeight="1">
      <c r="A118" s="5" t="s">
        <v>173</v>
      </c>
      <c r="B118" t="s">
        <v>18</v>
      </c>
      <c r="F118" s="15">
        <v>2360000</v>
      </c>
    </row>
    <row r="119" spans="1:6" ht="18" customHeight="1">
      <c r="A119" s="5" t="s">
        <v>174</v>
      </c>
      <c r="B119" s="2" t="s">
        <v>19</v>
      </c>
      <c r="F119" s="56">
        <f>SUM(F117:F118)</f>
        <v>380395000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374161000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v>6234000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9603000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v>15837000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3">SUM(F131:F135)</f>
        <v>0</v>
      </c>
      <c r="G137" s="18">
        <f t="shared" si="13"/>
        <v>0</v>
      </c>
      <c r="H137" s="16">
        <f t="shared" si="13"/>
        <v>0</v>
      </c>
      <c r="I137" s="16">
        <f t="shared" si="13"/>
        <v>0</v>
      </c>
      <c r="J137" s="16">
        <f t="shared" si="13"/>
        <v>0</v>
      </c>
      <c r="K137" s="16">
        <f t="shared" si="13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4">F36</f>
        <v>21818</v>
      </c>
      <c r="G141" s="41">
        <f t="shared" si="14"/>
        <v>52872</v>
      </c>
      <c r="H141" s="41">
        <f t="shared" si="14"/>
        <v>1116529.7</v>
      </c>
      <c r="I141" s="41">
        <f t="shared" si="14"/>
        <v>576129.32520000008</v>
      </c>
      <c r="J141" s="41">
        <f t="shared" si="14"/>
        <v>316904</v>
      </c>
      <c r="K141" s="41">
        <f t="shared" si="14"/>
        <v>1375755.0252</v>
      </c>
    </row>
    <row r="142" spans="1:11" ht="18" customHeight="1">
      <c r="A142" s="5" t="s">
        <v>142</v>
      </c>
      <c r="B142" s="2" t="s">
        <v>65</v>
      </c>
      <c r="F142" s="41">
        <f t="shared" ref="F142:K142" si="15">F49</f>
        <v>15811</v>
      </c>
      <c r="G142" s="41">
        <f t="shared" si="15"/>
        <v>1466</v>
      </c>
      <c r="H142" s="41">
        <f t="shared" si="15"/>
        <v>804862.78999999992</v>
      </c>
      <c r="I142" s="41">
        <f t="shared" si="15"/>
        <v>0</v>
      </c>
      <c r="J142" s="41">
        <f t="shared" si="15"/>
        <v>43027.5</v>
      </c>
      <c r="K142" s="41">
        <f t="shared" si="15"/>
        <v>761835.28999999992</v>
      </c>
    </row>
    <row r="143" spans="1:11" ht="18" customHeight="1">
      <c r="A143" s="5" t="s">
        <v>144</v>
      </c>
      <c r="B143" s="2" t="s">
        <v>66</v>
      </c>
      <c r="F143" s="41">
        <f t="shared" ref="F143:K143" si="16">F64</f>
        <v>2103</v>
      </c>
      <c r="G143" s="41">
        <f t="shared" si="16"/>
        <v>27258</v>
      </c>
      <c r="H143" s="41">
        <f t="shared" si="16"/>
        <v>8670738.4900000021</v>
      </c>
      <c r="I143" s="41">
        <f t="shared" si="16"/>
        <v>744109</v>
      </c>
      <c r="J143" s="41">
        <f t="shared" si="16"/>
        <v>3237036</v>
      </c>
      <c r="K143" s="41">
        <f t="shared" si="16"/>
        <v>6177811.4900000002</v>
      </c>
    </row>
    <row r="144" spans="1:11" ht="18" customHeight="1">
      <c r="A144" s="5" t="s">
        <v>146</v>
      </c>
      <c r="B144" s="2" t="s">
        <v>67</v>
      </c>
      <c r="F144" s="41">
        <f t="shared" ref="F144:K144" si="17">F74</f>
        <v>32</v>
      </c>
      <c r="G144" s="41">
        <f t="shared" si="17"/>
        <v>0</v>
      </c>
      <c r="H144" s="41">
        <f t="shared" si="17"/>
        <v>3973.23</v>
      </c>
      <c r="I144" s="41">
        <f t="shared" si="17"/>
        <v>0</v>
      </c>
      <c r="J144" s="41">
        <f t="shared" si="17"/>
        <v>0</v>
      </c>
      <c r="K144" s="41">
        <f t="shared" si="17"/>
        <v>3973.23</v>
      </c>
    </row>
    <row r="145" spans="1:11" ht="18" customHeight="1">
      <c r="A145" s="5" t="s">
        <v>148</v>
      </c>
      <c r="B145" s="2" t="s">
        <v>68</v>
      </c>
      <c r="F145" s="41">
        <f t="shared" ref="F145:K145" si="18">F82</f>
        <v>4055</v>
      </c>
      <c r="G145" s="41">
        <f t="shared" si="18"/>
        <v>5258</v>
      </c>
      <c r="H145" s="41">
        <f t="shared" si="18"/>
        <v>145303.31</v>
      </c>
      <c r="I145" s="41">
        <f t="shared" si="18"/>
        <v>0</v>
      </c>
      <c r="J145" s="41">
        <f t="shared" si="18"/>
        <v>420</v>
      </c>
      <c r="K145" s="41">
        <f t="shared" si="18"/>
        <v>144883.31</v>
      </c>
    </row>
    <row r="146" spans="1:11" ht="18" customHeight="1">
      <c r="A146" s="5" t="s">
        <v>150</v>
      </c>
      <c r="B146" s="2" t="s">
        <v>69</v>
      </c>
      <c r="F146" s="41">
        <f t="shared" ref="F146:K146" si="19">F98</f>
        <v>288</v>
      </c>
      <c r="G146" s="41">
        <f t="shared" si="19"/>
        <v>137</v>
      </c>
      <c r="H146" s="41">
        <f t="shared" si="19"/>
        <v>116109.11</v>
      </c>
      <c r="I146" s="41">
        <f t="shared" si="19"/>
        <v>59912.300759999998</v>
      </c>
      <c r="J146" s="41">
        <f t="shared" si="19"/>
        <v>0</v>
      </c>
      <c r="K146" s="41">
        <f t="shared" si="19"/>
        <v>176021.41076</v>
      </c>
    </row>
    <row r="147" spans="1:11" ht="18" customHeight="1">
      <c r="A147" s="5" t="s">
        <v>153</v>
      </c>
      <c r="B147" s="2" t="s">
        <v>61</v>
      </c>
      <c r="F147" s="18">
        <f t="shared" ref="F147:K147" si="20">F108</f>
        <v>171</v>
      </c>
      <c r="G147" s="18">
        <f t="shared" si="20"/>
        <v>0</v>
      </c>
      <c r="H147" s="18">
        <f t="shared" si="20"/>
        <v>5495.97</v>
      </c>
      <c r="I147" s="18">
        <f t="shared" si="20"/>
        <v>2835.9205200000001</v>
      </c>
      <c r="J147" s="18">
        <f t="shared" si="20"/>
        <v>0</v>
      </c>
      <c r="K147" s="18">
        <f t="shared" si="20"/>
        <v>8331.8905200000008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13903600</v>
      </c>
    </row>
    <row r="149" spans="1:11" ht="18" customHeight="1">
      <c r="A149" s="5" t="s">
        <v>163</v>
      </c>
      <c r="B149" s="2" t="s">
        <v>71</v>
      </c>
      <c r="F149" s="18">
        <f t="shared" ref="F149:K149" si="21">F137</f>
        <v>0</v>
      </c>
      <c r="G149" s="18">
        <f t="shared" si="21"/>
        <v>0</v>
      </c>
      <c r="H149" s="18">
        <f t="shared" si="21"/>
        <v>0</v>
      </c>
      <c r="I149" s="18">
        <f t="shared" si="21"/>
        <v>0</v>
      </c>
      <c r="J149" s="18">
        <f t="shared" si="21"/>
        <v>0</v>
      </c>
      <c r="K149" s="18">
        <f t="shared" si="21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11229395</v>
      </c>
      <c r="I150" s="18">
        <f>I18</f>
        <v>0</v>
      </c>
      <c r="J150" s="18">
        <f>J18</f>
        <v>9602536</v>
      </c>
      <c r="K150" s="18">
        <f>K18</f>
        <v>1626859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2">SUM(F141:F150)</f>
        <v>44278</v>
      </c>
      <c r="G152" s="49">
        <f t="shared" si="22"/>
        <v>86991</v>
      </c>
      <c r="H152" s="49">
        <f t="shared" si="22"/>
        <v>22092407.600000001</v>
      </c>
      <c r="I152" s="49">
        <f t="shared" si="22"/>
        <v>1382986.54648</v>
      </c>
      <c r="J152" s="49">
        <f t="shared" si="22"/>
        <v>13199923.5</v>
      </c>
      <c r="K152" s="49">
        <f t="shared" si="22"/>
        <v>24179070.646480002</v>
      </c>
    </row>
    <row r="154" spans="1:11" ht="18" customHeight="1">
      <c r="A154" s="6" t="s">
        <v>168</v>
      </c>
      <c r="B154" s="2" t="s">
        <v>28</v>
      </c>
      <c r="F154" s="64">
        <f>K152/F121</f>
        <v>6.4622102908854742E-2</v>
      </c>
    </row>
    <row r="155" spans="1:11" ht="18" customHeight="1">
      <c r="A155" s="6" t="s">
        <v>169</v>
      </c>
      <c r="B155" s="2" t="s">
        <v>72</v>
      </c>
      <c r="F155" s="64">
        <f>K152/F127</f>
        <v>1.5267456365776348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B106:D106"/>
    <mergeCell ref="B94:D94"/>
    <mergeCell ref="B96:D96"/>
    <mergeCell ref="C5:G5"/>
    <mergeCell ref="C6:G6"/>
    <mergeCell ref="C7:G7"/>
    <mergeCell ref="C9:G9"/>
    <mergeCell ref="C10:G10"/>
    <mergeCell ref="B56:D56"/>
    <mergeCell ref="B62:D62"/>
    <mergeCell ref="B103:C103"/>
    <mergeCell ref="B105:D105"/>
    <mergeCell ref="D2:H2"/>
    <mergeCell ref="B47:D47"/>
    <mergeCell ref="B34:D34"/>
    <mergeCell ref="C11:G11"/>
    <mergeCell ref="B41:C41"/>
    <mergeCell ref="B31:D31"/>
    <mergeCell ref="B135:D135"/>
    <mergeCell ref="B133:D133"/>
    <mergeCell ref="B13:H13"/>
    <mergeCell ref="B52:C52"/>
    <mergeCell ref="B90:C90"/>
    <mergeCell ref="B45:D45"/>
    <mergeCell ref="B46:D46"/>
    <mergeCell ref="B44:D44"/>
    <mergeCell ref="B53:D53"/>
    <mergeCell ref="B59:D59"/>
    <mergeCell ref="B134:D134"/>
    <mergeCell ref="B30:D30"/>
    <mergeCell ref="B95:D95"/>
    <mergeCell ref="B55:D55"/>
    <mergeCell ref="B57:D57"/>
    <mergeCell ref="B104:D104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90" zoomScaleNormal="50" zoomScaleSheetLayoutView="9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678</v>
      </c>
      <c r="D5" s="534"/>
      <c r="E5" s="534"/>
      <c r="F5" s="534"/>
      <c r="G5" s="535"/>
    </row>
    <row r="6" spans="1:11" ht="18" customHeight="1">
      <c r="B6" s="5" t="s">
        <v>3</v>
      </c>
      <c r="C6" s="658">
        <v>3</v>
      </c>
      <c r="D6" s="656"/>
      <c r="E6" s="656"/>
      <c r="F6" s="656"/>
      <c r="G6" s="657"/>
    </row>
    <row r="7" spans="1:11" ht="18" customHeight="1">
      <c r="B7" s="5" t="s">
        <v>4</v>
      </c>
      <c r="C7" s="640">
        <v>1893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677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676</v>
      </c>
      <c r="D10" s="543"/>
      <c r="E10" s="543"/>
      <c r="F10" s="543"/>
      <c r="G10" s="544"/>
    </row>
    <row r="11" spans="1:11" ht="18" customHeight="1">
      <c r="B11" s="5" t="s">
        <v>32</v>
      </c>
      <c r="C11" s="652" t="s">
        <v>675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7820499</v>
      </c>
      <c r="I18" s="55">
        <v>0</v>
      </c>
      <c r="J18" s="15">
        <v>6687504</v>
      </c>
      <c r="K18" s="16">
        <f>(H18+I18)-J18</f>
        <v>1132995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642</v>
      </c>
      <c r="G21" s="54">
        <v>3540</v>
      </c>
      <c r="H21" s="15">
        <v>45879</v>
      </c>
      <c r="I21" s="55">
        <f t="shared" ref="I21:I34" si="0">H21*F$114</f>
        <v>24347.985299999997</v>
      </c>
      <c r="J21" s="15">
        <v>13030</v>
      </c>
      <c r="K21" s="16">
        <f t="shared" ref="K21:K34" si="1">(H21+I21)-J21</f>
        <v>57196.9853</v>
      </c>
    </row>
    <row r="22" spans="1:11" ht="18" customHeight="1">
      <c r="A22" s="5" t="s">
        <v>76</v>
      </c>
      <c r="B22" t="s">
        <v>6</v>
      </c>
      <c r="F22" s="54"/>
      <c r="G22" s="54"/>
      <c r="H22" s="15"/>
      <c r="I22" s="55">
        <f t="shared" si="0"/>
        <v>0</v>
      </c>
      <c r="J22" s="15"/>
      <c r="K22" s="16">
        <f t="shared" si="1"/>
        <v>0</v>
      </c>
    </row>
    <row r="23" spans="1:11" ht="18" customHeight="1">
      <c r="A23" s="5" t="s">
        <v>77</v>
      </c>
      <c r="B23" t="s">
        <v>43</v>
      </c>
      <c r="F23" s="54"/>
      <c r="G23" s="54"/>
      <c r="H23" s="15"/>
      <c r="I23" s="55">
        <f t="shared" si="0"/>
        <v>0</v>
      </c>
      <c r="J23" s="15"/>
      <c r="K23" s="16">
        <f t="shared" si="1"/>
        <v>0</v>
      </c>
    </row>
    <row r="24" spans="1:11" ht="18" customHeight="1">
      <c r="A24" s="5" t="s">
        <v>78</v>
      </c>
      <c r="B24" t="s">
        <v>44</v>
      </c>
      <c r="F24" s="54"/>
      <c r="G24" s="54"/>
      <c r="H24" s="15"/>
      <c r="I24" s="55">
        <f t="shared" si="0"/>
        <v>0</v>
      </c>
      <c r="J24" s="15"/>
      <c r="K24" s="16">
        <f t="shared" si="1"/>
        <v>0</v>
      </c>
    </row>
    <row r="25" spans="1:11" ht="18" customHeight="1">
      <c r="A25" s="5" t="s">
        <v>79</v>
      </c>
      <c r="B25" t="s">
        <v>5</v>
      </c>
      <c r="F25" s="54"/>
      <c r="G25" s="54"/>
      <c r="H25" s="15"/>
      <c r="I25" s="55">
        <f t="shared" si="0"/>
        <v>0</v>
      </c>
      <c r="J25" s="15"/>
      <c r="K25" s="16">
        <f t="shared" si="1"/>
        <v>0</v>
      </c>
    </row>
    <row r="26" spans="1:11" ht="18" customHeight="1">
      <c r="A26" s="5" t="s">
        <v>80</v>
      </c>
      <c r="B26" t="s">
        <v>45</v>
      </c>
      <c r="F26" s="54"/>
      <c r="G26" s="54"/>
      <c r="H26" s="15"/>
      <c r="I26" s="55">
        <f t="shared" si="0"/>
        <v>0</v>
      </c>
      <c r="J26" s="15"/>
      <c r="K26" s="16">
        <f t="shared" si="1"/>
        <v>0</v>
      </c>
    </row>
    <row r="27" spans="1:11" ht="18" customHeight="1">
      <c r="A27" s="5" t="s">
        <v>81</v>
      </c>
      <c r="B27" t="s">
        <v>46</v>
      </c>
      <c r="F27" s="54"/>
      <c r="G27" s="54"/>
      <c r="H27" s="15"/>
      <c r="I27" s="55">
        <f t="shared" si="0"/>
        <v>0</v>
      </c>
      <c r="J27" s="15"/>
      <c r="K27" s="16">
        <f t="shared" si="1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15"/>
      <c r="I28" s="55">
        <f t="shared" si="0"/>
        <v>0</v>
      </c>
      <c r="J28" s="15"/>
      <c r="K28" s="16">
        <f t="shared" si="1"/>
        <v>0</v>
      </c>
    </row>
    <row r="29" spans="1:11" ht="18" customHeight="1">
      <c r="A29" s="5" t="s">
        <v>83</v>
      </c>
      <c r="B29" t="s">
        <v>48</v>
      </c>
      <c r="F29" s="54"/>
      <c r="G29" s="54"/>
      <c r="H29" s="15"/>
      <c r="I29" s="55">
        <f t="shared" si="0"/>
        <v>0</v>
      </c>
      <c r="J29" s="15"/>
      <c r="K29" s="16">
        <f t="shared" si="1"/>
        <v>0</v>
      </c>
    </row>
    <row r="30" spans="1:11" ht="18" customHeight="1">
      <c r="A30" s="5" t="s">
        <v>84</v>
      </c>
      <c r="B30" s="547" t="s">
        <v>674</v>
      </c>
      <c r="C30" s="548"/>
      <c r="D30" s="549"/>
      <c r="F30" s="54"/>
      <c r="G30" s="54"/>
      <c r="H30" s="15">
        <v>135288</v>
      </c>
      <c r="I30" s="55">
        <f t="shared" si="0"/>
        <v>71797.3416</v>
      </c>
      <c r="J30" s="15"/>
      <c r="K30" s="16">
        <f t="shared" si="1"/>
        <v>207085.34159999999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 t="shared" si="0"/>
        <v>0</v>
      </c>
      <c r="J31" s="15"/>
      <c r="K31" s="16">
        <f t="shared" si="1"/>
        <v>0</v>
      </c>
    </row>
    <row r="32" spans="1:11" ht="18" customHeight="1">
      <c r="A32" s="5" t="s">
        <v>134</v>
      </c>
      <c r="B32" s="367"/>
      <c r="C32" s="368"/>
      <c r="D32" s="369"/>
      <c r="F32" s="54"/>
      <c r="G32" s="52" t="s">
        <v>85</v>
      </c>
      <c r="H32" s="15"/>
      <c r="I32" s="55">
        <f t="shared" si="0"/>
        <v>0</v>
      </c>
      <c r="J32" s="15"/>
      <c r="K32" s="16">
        <f t="shared" si="1"/>
        <v>0</v>
      </c>
    </row>
    <row r="33" spans="1:11" ht="18" customHeight="1">
      <c r="A33" s="5" t="s">
        <v>135</v>
      </c>
      <c r="B33" s="367"/>
      <c r="C33" s="368"/>
      <c r="D33" s="369"/>
      <c r="F33" s="54"/>
      <c r="G33" s="52" t="s">
        <v>85</v>
      </c>
      <c r="H33" s="15"/>
      <c r="I33" s="55">
        <f t="shared" si="0"/>
        <v>0</v>
      </c>
      <c r="J33" s="15"/>
      <c r="K33" s="16">
        <f t="shared" si="1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 t="shared" si="0"/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642</v>
      </c>
      <c r="G36" s="18">
        <f t="shared" si="2"/>
        <v>3540</v>
      </c>
      <c r="H36" s="18">
        <f t="shared" si="2"/>
        <v>181167</v>
      </c>
      <c r="I36" s="16">
        <f t="shared" si="2"/>
        <v>96145.3269</v>
      </c>
      <c r="J36" s="16">
        <f t="shared" si="2"/>
        <v>13030</v>
      </c>
      <c r="K36" s="16">
        <f t="shared" si="2"/>
        <v>264282.32689999999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/>
      <c r="G40" s="54"/>
      <c r="H40" s="15"/>
      <c r="I40" s="55">
        <v>0</v>
      </c>
      <c r="J40" s="15"/>
      <c r="K40" s="16">
        <f t="shared" ref="K40:K47" si="3">(H40+I40)-J40</f>
        <v>0</v>
      </c>
    </row>
    <row r="41" spans="1:11" ht="18" customHeight="1">
      <c r="A41" s="5" t="s">
        <v>88</v>
      </c>
      <c r="B41" s="550" t="s">
        <v>50</v>
      </c>
      <c r="C41" s="551"/>
      <c r="F41" s="54"/>
      <c r="G41" s="54"/>
      <c r="H41" s="15"/>
      <c r="I41" s="55">
        <v>0</v>
      </c>
      <c r="J41" s="15"/>
      <c r="K41" s="16">
        <f t="shared" si="3"/>
        <v>0</v>
      </c>
    </row>
    <row r="42" spans="1:11" ht="18" customHeight="1">
      <c r="A42" s="5" t="s">
        <v>89</v>
      </c>
      <c r="B42" s="1" t="s">
        <v>11</v>
      </c>
      <c r="F42" s="54"/>
      <c r="G42" s="54"/>
      <c r="H42" s="15"/>
      <c r="I42" s="55">
        <v>0</v>
      </c>
      <c r="J42" s="15"/>
      <c r="K42" s="16">
        <f t="shared" si="3"/>
        <v>0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/>
      <c r="I43" s="55">
        <v>0</v>
      </c>
      <c r="J43" s="15"/>
      <c r="K43" s="16">
        <f t="shared" si="3"/>
        <v>0</v>
      </c>
    </row>
    <row r="44" spans="1:11" ht="18" customHeight="1">
      <c r="A44" s="5" t="s">
        <v>91</v>
      </c>
      <c r="B44" s="547" t="s">
        <v>673</v>
      </c>
      <c r="C44" s="548"/>
      <c r="D44" s="549"/>
      <c r="F44" s="54">
        <v>352</v>
      </c>
      <c r="G44" s="54">
        <v>450</v>
      </c>
      <c r="H44" s="54">
        <v>12945</v>
      </c>
      <c r="I44" s="55">
        <f>H44*F$114</f>
        <v>6869.9114999999993</v>
      </c>
      <c r="J44" s="54"/>
      <c r="K44" s="56">
        <f t="shared" si="3"/>
        <v>19814.911499999998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3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3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3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352</v>
      </c>
      <c r="G49" s="23">
        <f t="shared" si="4"/>
        <v>450</v>
      </c>
      <c r="H49" s="16">
        <f t="shared" si="4"/>
        <v>12945</v>
      </c>
      <c r="I49" s="16">
        <f t="shared" si="4"/>
        <v>6869.9114999999993</v>
      </c>
      <c r="J49" s="16">
        <f t="shared" si="4"/>
        <v>0</v>
      </c>
      <c r="K49" s="16">
        <f t="shared" si="4"/>
        <v>19814.911499999998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 t="s">
        <v>256</v>
      </c>
      <c r="C53" s="559"/>
      <c r="D53" s="532"/>
      <c r="F53" s="54"/>
      <c r="G53" s="54"/>
      <c r="H53" s="15">
        <v>22339000</v>
      </c>
      <c r="I53" s="55">
        <f>H53*F$114</f>
        <v>11855307.299999999</v>
      </c>
      <c r="J53" s="15">
        <v>6209900</v>
      </c>
      <c r="K53" s="16">
        <f t="shared" ref="K53:K62" si="5">(H53+I53)-J53</f>
        <v>27984407.299999997</v>
      </c>
    </row>
    <row r="54" spans="1:11" ht="18" customHeight="1">
      <c r="A54" s="5" t="s">
        <v>93</v>
      </c>
      <c r="B54" s="362" t="s">
        <v>415</v>
      </c>
      <c r="C54" s="363"/>
      <c r="D54" s="364"/>
      <c r="F54" s="54"/>
      <c r="G54" s="54"/>
      <c r="H54" s="15">
        <v>46415</v>
      </c>
      <c r="I54" s="55">
        <v>0</v>
      </c>
      <c r="J54" s="15">
        <v>25080</v>
      </c>
      <c r="K54" s="16">
        <f t="shared" si="5"/>
        <v>21335</v>
      </c>
    </row>
    <row r="55" spans="1:11" ht="18" customHeight="1">
      <c r="A55" s="5" t="s">
        <v>94</v>
      </c>
      <c r="B55" s="530"/>
      <c r="C55" s="531"/>
      <c r="D55" s="532"/>
      <c r="F55" s="54"/>
      <c r="G55" s="54"/>
      <c r="H55" s="15"/>
      <c r="I55" s="55">
        <v>0</v>
      </c>
      <c r="J55" s="15"/>
      <c r="K55" s="16">
        <f t="shared" si="5"/>
        <v>0</v>
      </c>
    </row>
    <row r="56" spans="1:11" ht="18" customHeight="1">
      <c r="A56" s="5" t="s">
        <v>95</v>
      </c>
      <c r="B56" s="530"/>
      <c r="C56" s="531"/>
      <c r="D56" s="532"/>
      <c r="F56" s="54" t="s">
        <v>740</v>
      </c>
      <c r="G56" s="54"/>
      <c r="H56" s="15"/>
      <c r="I56" s="55">
        <v>0</v>
      </c>
      <c r="J56" s="15"/>
      <c r="K56" s="16">
        <f t="shared" si="5"/>
        <v>0</v>
      </c>
    </row>
    <row r="57" spans="1:11" ht="18" customHeight="1">
      <c r="A57" s="5" t="s">
        <v>96</v>
      </c>
      <c r="B57" s="530"/>
      <c r="C57" s="531"/>
      <c r="D57" s="532"/>
      <c r="F57" s="54"/>
      <c r="G57" s="54"/>
      <c r="H57" s="15"/>
      <c r="I57" s="55">
        <v>0</v>
      </c>
      <c r="J57" s="15"/>
      <c r="K57" s="16">
        <f t="shared" si="5"/>
        <v>0</v>
      </c>
    </row>
    <row r="58" spans="1:11" ht="18" customHeight="1">
      <c r="A58" s="5" t="s">
        <v>97</v>
      </c>
      <c r="B58" s="362"/>
      <c r="C58" s="363"/>
      <c r="D58" s="364"/>
      <c r="F58" s="54"/>
      <c r="G58" s="54"/>
      <c r="H58" s="15"/>
      <c r="I58" s="55">
        <v>0</v>
      </c>
      <c r="J58" s="15"/>
      <c r="K58" s="16">
        <f t="shared" si="5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v>0</v>
      </c>
      <c r="J59" s="15"/>
      <c r="K59" s="16">
        <f t="shared" si="5"/>
        <v>0</v>
      </c>
    </row>
    <row r="60" spans="1:11" ht="18" customHeight="1">
      <c r="A60" s="5" t="s">
        <v>99</v>
      </c>
      <c r="B60" s="362"/>
      <c r="C60" s="363"/>
      <c r="D60" s="364"/>
      <c r="F60" s="54"/>
      <c r="G60" s="54"/>
      <c r="H60" s="15"/>
      <c r="I60" s="55">
        <v>0</v>
      </c>
      <c r="J60" s="15"/>
      <c r="K60" s="16">
        <f t="shared" si="5"/>
        <v>0</v>
      </c>
    </row>
    <row r="61" spans="1:11" ht="18" customHeight="1">
      <c r="A61" s="5" t="s">
        <v>100</v>
      </c>
      <c r="B61" s="362"/>
      <c r="C61" s="363"/>
      <c r="D61" s="364"/>
      <c r="F61" s="54"/>
      <c r="G61" s="54"/>
      <c r="H61" s="15"/>
      <c r="I61" s="55">
        <v>0</v>
      </c>
      <c r="J61" s="15"/>
      <c r="K61" s="16">
        <f t="shared" si="5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5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6">SUM(F53:F62)</f>
        <v>0</v>
      </c>
      <c r="G64" s="18">
        <f t="shared" si="6"/>
        <v>0</v>
      </c>
      <c r="H64" s="16">
        <f t="shared" si="6"/>
        <v>22385415</v>
      </c>
      <c r="I64" s="16">
        <f t="shared" si="6"/>
        <v>11855307.299999999</v>
      </c>
      <c r="J64" s="16">
        <f t="shared" si="6"/>
        <v>6234980</v>
      </c>
      <c r="K64" s="16">
        <f t="shared" si="6"/>
        <v>28005742.299999997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/>
      <c r="G68" s="51"/>
      <c r="H68" s="51"/>
      <c r="I68" s="55">
        <v>0</v>
      </c>
      <c r="J68" s="51"/>
      <c r="K68" s="16">
        <f>(H68+I68)-J68</f>
        <v>0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362"/>
      <c r="C70" s="363"/>
      <c r="D70" s="364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362"/>
      <c r="C71" s="363"/>
      <c r="D71" s="364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365"/>
      <c r="C72" s="366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7">SUM(F68:F72)</f>
        <v>0</v>
      </c>
      <c r="G74" s="21">
        <f t="shared" si="7"/>
        <v>0</v>
      </c>
      <c r="H74" s="21">
        <f t="shared" si="7"/>
        <v>0</v>
      </c>
      <c r="I74" s="53">
        <f t="shared" si="7"/>
        <v>0</v>
      </c>
      <c r="J74" s="21">
        <f t="shared" si="7"/>
        <v>0</v>
      </c>
      <c r="K74" s="56">
        <f t="shared" si="7"/>
        <v>0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/>
      <c r="G77" s="54"/>
      <c r="H77" s="15"/>
      <c r="I77" s="55">
        <v>0</v>
      </c>
      <c r="J77" s="15"/>
      <c r="K77" s="16">
        <f>(H77+I77)-J77</f>
        <v>0</v>
      </c>
    </row>
    <row r="78" spans="1:11" ht="18" customHeight="1">
      <c r="A78" s="5" t="s">
        <v>108</v>
      </c>
      <c r="B78" s="1" t="s">
        <v>55</v>
      </c>
      <c r="F78" s="54"/>
      <c r="G78" s="54"/>
      <c r="H78" s="15"/>
      <c r="I78" s="55"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/>
      <c r="G79" s="54"/>
      <c r="H79" s="15">
        <v>4650</v>
      </c>
      <c r="I79" s="55">
        <v>0</v>
      </c>
      <c r="J79" s="15"/>
      <c r="K79" s="16">
        <f>(H79+I79)-J79</f>
        <v>4650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8">SUM(F77:F80)</f>
        <v>0</v>
      </c>
      <c r="G82" s="21">
        <f t="shared" si="8"/>
        <v>0</v>
      </c>
      <c r="H82" s="56">
        <f t="shared" si="8"/>
        <v>4650</v>
      </c>
      <c r="I82" s="56">
        <f t="shared" si="8"/>
        <v>0</v>
      </c>
      <c r="J82" s="56">
        <f t="shared" si="8"/>
        <v>0</v>
      </c>
      <c r="K82" s="56">
        <f t="shared" si="8"/>
        <v>4650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f t="shared" ref="I86:I96" si="9">H86*F$114</f>
        <v>0</v>
      </c>
      <c r="J86" s="15"/>
      <c r="K86" s="16">
        <f t="shared" ref="K86:K96" si="10">(H86+I86)-J86</f>
        <v>0</v>
      </c>
    </row>
    <row r="87" spans="1:11" ht="18" customHeight="1">
      <c r="A87" s="5" t="s">
        <v>114</v>
      </c>
      <c r="B87" s="1" t="s">
        <v>14</v>
      </c>
      <c r="F87" s="54"/>
      <c r="G87" s="54"/>
      <c r="H87" s="15"/>
      <c r="I87" s="55">
        <f t="shared" si="9"/>
        <v>0</v>
      </c>
      <c r="J87" s="15"/>
      <c r="K87" s="16">
        <f t="shared" si="10"/>
        <v>0</v>
      </c>
    </row>
    <row r="88" spans="1:11" ht="18" customHeight="1">
      <c r="A88" s="5" t="s">
        <v>115</v>
      </c>
      <c r="B88" s="1" t="s">
        <v>116</v>
      </c>
      <c r="F88" s="54"/>
      <c r="G88" s="54"/>
      <c r="H88" s="15"/>
      <c r="I88" s="55">
        <f t="shared" si="9"/>
        <v>0</v>
      </c>
      <c r="J88" s="15"/>
      <c r="K88" s="16">
        <f t="shared" si="10"/>
        <v>0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 t="shared" si="9"/>
        <v>0</v>
      </c>
      <c r="J89" s="15"/>
      <c r="K89" s="16">
        <f t="shared" si="10"/>
        <v>0</v>
      </c>
    </row>
    <row r="90" spans="1:11" ht="18" customHeight="1">
      <c r="A90" s="5" t="s">
        <v>118</v>
      </c>
      <c r="B90" s="550" t="s">
        <v>59</v>
      </c>
      <c r="C90" s="551"/>
      <c r="F90" s="54"/>
      <c r="G90" s="54"/>
      <c r="H90" s="15"/>
      <c r="I90" s="55">
        <f t="shared" si="9"/>
        <v>0</v>
      </c>
      <c r="J90" s="15"/>
      <c r="K90" s="16">
        <f t="shared" si="10"/>
        <v>0</v>
      </c>
    </row>
    <row r="91" spans="1:11" ht="18" customHeight="1">
      <c r="A91" s="5" t="s">
        <v>119</v>
      </c>
      <c r="B91" s="1" t="s">
        <v>60</v>
      </c>
      <c r="F91" s="54"/>
      <c r="G91" s="54"/>
      <c r="H91" s="15"/>
      <c r="I91" s="55">
        <f t="shared" si="9"/>
        <v>0</v>
      </c>
      <c r="J91" s="15"/>
      <c r="K91" s="16">
        <f t="shared" si="10"/>
        <v>0</v>
      </c>
    </row>
    <row r="92" spans="1:11" ht="18" customHeight="1">
      <c r="A92" s="5" t="s">
        <v>120</v>
      </c>
      <c r="B92" s="1" t="s">
        <v>121</v>
      </c>
      <c r="F92" s="38"/>
      <c r="G92" s="38"/>
      <c r="H92" s="39"/>
      <c r="I92" s="55">
        <f t="shared" si="9"/>
        <v>0</v>
      </c>
      <c r="J92" s="39"/>
      <c r="K92" s="16">
        <f t="shared" si="10"/>
        <v>0</v>
      </c>
    </row>
    <row r="93" spans="1:11" ht="18" customHeight="1">
      <c r="A93" s="5" t="s">
        <v>122</v>
      </c>
      <c r="B93" s="1" t="s">
        <v>123</v>
      </c>
      <c r="F93" s="54"/>
      <c r="G93" s="54"/>
      <c r="H93" s="15"/>
      <c r="I93" s="55">
        <f t="shared" si="9"/>
        <v>0</v>
      </c>
      <c r="J93" s="15"/>
      <c r="K93" s="16">
        <f t="shared" si="10"/>
        <v>0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f t="shared" si="9"/>
        <v>0</v>
      </c>
      <c r="J94" s="15"/>
      <c r="K94" s="16">
        <f t="shared" si="10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9"/>
        <v>0</v>
      </c>
      <c r="J95" s="15"/>
      <c r="K95" s="16">
        <f t="shared" si="10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9"/>
        <v>0</v>
      </c>
      <c r="J96" s="15"/>
      <c r="K96" s="16">
        <f t="shared" si="10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1">SUM(F86:F96)</f>
        <v>0</v>
      </c>
      <c r="G98" s="18">
        <f t="shared" si="11"/>
        <v>0</v>
      </c>
      <c r="H98" s="18">
        <f t="shared" si="11"/>
        <v>0</v>
      </c>
      <c r="I98" s="18">
        <f t="shared" si="11"/>
        <v>0</v>
      </c>
      <c r="J98" s="18">
        <f t="shared" si="11"/>
        <v>0</v>
      </c>
      <c r="K98" s="18">
        <f t="shared" si="11"/>
        <v>0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>
        <f>190+120</f>
        <v>310</v>
      </c>
      <c r="G102" s="54"/>
      <c r="H102" s="15">
        <f>9230+6689</f>
        <v>15919</v>
      </c>
      <c r="I102" s="55">
        <f>H102*F$114</f>
        <v>8448.2132999999994</v>
      </c>
      <c r="J102" s="15"/>
      <c r="K102" s="16">
        <f>(H102+I102)-J102</f>
        <v>24367.213299999999</v>
      </c>
    </row>
    <row r="103" spans="1:11" ht="18" customHeight="1">
      <c r="A103" s="5" t="s">
        <v>132</v>
      </c>
      <c r="B103" s="550" t="s">
        <v>62</v>
      </c>
      <c r="C103" s="550"/>
      <c r="F103" s="54"/>
      <c r="G103" s="54"/>
      <c r="H103" s="15">
        <v>41000</v>
      </c>
      <c r="I103" s="55">
        <f>H103*F$114</f>
        <v>21758.699999999997</v>
      </c>
      <c r="J103" s="15"/>
      <c r="K103" s="16">
        <f>(H103+I103)-J103</f>
        <v>62758.7</v>
      </c>
    </row>
    <row r="104" spans="1:11" ht="18" customHeight="1">
      <c r="A104" s="5" t="s">
        <v>128</v>
      </c>
      <c r="B104" s="530"/>
      <c r="C104" s="531"/>
      <c r="D104" s="532"/>
      <c r="F104" s="54"/>
      <c r="G104" s="54"/>
      <c r="H104" s="15"/>
      <c r="I104" s="55">
        <f>H104*F$114</f>
        <v>0</v>
      </c>
      <c r="J104" s="15"/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2">SUM(F102:F106)</f>
        <v>310</v>
      </c>
      <c r="G108" s="18">
        <f t="shared" si="12"/>
        <v>0</v>
      </c>
      <c r="H108" s="16">
        <f t="shared" si="12"/>
        <v>56919</v>
      </c>
      <c r="I108" s="16">
        <f t="shared" si="12"/>
        <v>30206.913299999997</v>
      </c>
      <c r="J108" s="16">
        <f t="shared" si="12"/>
        <v>0</v>
      </c>
      <c r="K108" s="16">
        <f t="shared" si="12"/>
        <v>87125.9133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24104900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0.53069999999999995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204531200</v>
      </c>
    </row>
    <row r="118" spans="1:6" ht="18" customHeight="1">
      <c r="A118" s="5" t="s">
        <v>173</v>
      </c>
      <c r="B118" t="s">
        <v>18</v>
      </c>
      <c r="F118" s="15">
        <v>1273500</v>
      </c>
    </row>
    <row r="119" spans="1:6" ht="18" customHeight="1">
      <c r="A119" s="5" t="s">
        <v>174</v>
      </c>
      <c r="B119" s="2" t="s">
        <v>19</v>
      </c>
      <c r="F119" s="56">
        <f>SUM(F117:F118)</f>
        <v>205804700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203825100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v>1979500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0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v>1979500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3">SUM(F131:F135)</f>
        <v>0</v>
      </c>
      <c r="G137" s="18">
        <f t="shared" si="13"/>
        <v>0</v>
      </c>
      <c r="H137" s="16">
        <f t="shared" si="13"/>
        <v>0</v>
      </c>
      <c r="I137" s="16">
        <f t="shared" si="13"/>
        <v>0</v>
      </c>
      <c r="J137" s="16">
        <f t="shared" si="13"/>
        <v>0</v>
      </c>
      <c r="K137" s="16">
        <f t="shared" si="13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4">F36</f>
        <v>642</v>
      </c>
      <c r="G141" s="41">
        <f t="shared" si="14"/>
        <v>3540</v>
      </c>
      <c r="H141" s="41">
        <f t="shared" si="14"/>
        <v>181167</v>
      </c>
      <c r="I141" s="41">
        <f t="shared" si="14"/>
        <v>96145.3269</v>
      </c>
      <c r="J141" s="41">
        <f t="shared" si="14"/>
        <v>13030</v>
      </c>
      <c r="K141" s="41">
        <f t="shared" si="14"/>
        <v>264282.32689999999</v>
      </c>
    </row>
    <row r="142" spans="1:11" ht="18" customHeight="1">
      <c r="A142" s="5" t="s">
        <v>142</v>
      </c>
      <c r="B142" s="2" t="s">
        <v>65</v>
      </c>
      <c r="F142" s="41">
        <f t="shared" ref="F142:K142" si="15">F49</f>
        <v>352</v>
      </c>
      <c r="G142" s="41">
        <f t="shared" si="15"/>
        <v>450</v>
      </c>
      <c r="H142" s="41">
        <f t="shared" si="15"/>
        <v>12945</v>
      </c>
      <c r="I142" s="41">
        <f t="shared" si="15"/>
        <v>6869.9114999999993</v>
      </c>
      <c r="J142" s="41">
        <f t="shared" si="15"/>
        <v>0</v>
      </c>
      <c r="K142" s="41">
        <f t="shared" si="15"/>
        <v>19814.911499999998</v>
      </c>
    </row>
    <row r="143" spans="1:11" ht="18" customHeight="1">
      <c r="A143" s="5" t="s">
        <v>144</v>
      </c>
      <c r="B143" s="2" t="s">
        <v>66</v>
      </c>
      <c r="F143" s="41">
        <f t="shared" ref="F143:K143" si="16">F64</f>
        <v>0</v>
      </c>
      <c r="G143" s="41">
        <f t="shared" si="16"/>
        <v>0</v>
      </c>
      <c r="H143" s="41">
        <f t="shared" si="16"/>
        <v>22385415</v>
      </c>
      <c r="I143" s="41">
        <f t="shared" si="16"/>
        <v>11855307.299999999</v>
      </c>
      <c r="J143" s="41">
        <f t="shared" si="16"/>
        <v>6234980</v>
      </c>
      <c r="K143" s="41">
        <f t="shared" si="16"/>
        <v>28005742.299999997</v>
      </c>
    </row>
    <row r="144" spans="1:11" ht="18" customHeight="1">
      <c r="A144" s="5" t="s">
        <v>146</v>
      </c>
      <c r="B144" s="2" t="s">
        <v>67</v>
      </c>
      <c r="F144" s="41">
        <f t="shared" ref="F144:K144" si="17">F74</f>
        <v>0</v>
      </c>
      <c r="G144" s="41">
        <f t="shared" si="17"/>
        <v>0</v>
      </c>
      <c r="H144" s="41">
        <f t="shared" si="17"/>
        <v>0</v>
      </c>
      <c r="I144" s="41">
        <f t="shared" si="17"/>
        <v>0</v>
      </c>
      <c r="J144" s="41">
        <f t="shared" si="17"/>
        <v>0</v>
      </c>
      <c r="K144" s="41">
        <f t="shared" si="17"/>
        <v>0</v>
      </c>
    </row>
    <row r="145" spans="1:11" ht="18" customHeight="1">
      <c r="A145" s="5" t="s">
        <v>148</v>
      </c>
      <c r="B145" s="2" t="s">
        <v>68</v>
      </c>
      <c r="F145" s="41">
        <f t="shared" ref="F145:K145" si="18">F82</f>
        <v>0</v>
      </c>
      <c r="G145" s="41">
        <f t="shared" si="18"/>
        <v>0</v>
      </c>
      <c r="H145" s="41">
        <f t="shared" si="18"/>
        <v>4650</v>
      </c>
      <c r="I145" s="41">
        <f t="shared" si="18"/>
        <v>0</v>
      </c>
      <c r="J145" s="41">
        <f t="shared" si="18"/>
        <v>0</v>
      </c>
      <c r="K145" s="41">
        <f t="shared" si="18"/>
        <v>4650</v>
      </c>
    </row>
    <row r="146" spans="1:11" ht="18" customHeight="1">
      <c r="A146" s="5" t="s">
        <v>150</v>
      </c>
      <c r="B146" s="2" t="s">
        <v>69</v>
      </c>
      <c r="F146" s="41">
        <f t="shared" ref="F146:K146" si="19">F98</f>
        <v>0</v>
      </c>
      <c r="G146" s="41">
        <f t="shared" si="19"/>
        <v>0</v>
      </c>
      <c r="H146" s="41">
        <f t="shared" si="19"/>
        <v>0</v>
      </c>
      <c r="I146" s="41">
        <f t="shared" si="19"/>
        <v>0</v>
      </c>
      <c r="J146" s="41">
        <f t="shared" si="19"/>
        <v>0</v>
      </c>
      <c r="K146" s="41">
        <f t="shared" si="19"/>
        <v>0</v>
      </c>
    </row>
    <row r="147" spans="1:11" ht="18" customHeight="1">
      <c r="A147" s="5" t="s">
        <v>153</v>
      </c>
      <c r="B147" s="2" t="s">
        <v>61</v>
      </c>
      <c r="F147" s="18">
        <f t="shared" ref="F147:K147" si="20">F108</f>
        <v>310</v>
      </c>
      <c r="G147" s="18">
        <f t="shared" si="20"/>
        <v>0</v>
      </c>
      <c r="H147" s="18">
        <f t="shared" si="20"/>
        <v>56919</v>
      </c>
      <c r="I147" s="18">
        <f t="shared" si="20"/>
        <v>30206.913299999997</v>
      </c>
      <c r="J147" s="18">
        <f t="shared" si="20"/>
        <v>0</v>
      </c>
      <c r="K147" s="18">
        <f t="shared" si="20"/>
        <v>87125.9133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24104900</v>
      </c>
    </row>
    <row r="149" spans="1:11" ht="18" customHeight="1">
      <c r="A149" s="5" t="s">
        <v>163</v>
      </c>
      <c r="B149" s="2" t="s">
        <v>71</v>
      </c>
      <c r="F149" s="18">
        <f t="shared" ref="F149:K149" si="21">F137</f>
        <v>0</v>
      </c>
      <c r="G149" s="18">
        <f t="shared" si="21"/>
        <v>0</v>
      </c>
      <c r="H149" s="18">
        <f t="shared" si="21"/>
        <v>0</v>
      </c>
      <c r="I149" s="18">
        <f t="shared" si="21"/>
        <v>0</v>
      </c>
      <c r="J149" s="18">
        <f t="shared" si="21"/>
        <v>0</v>
      </c>
      <c r="K149" s="18">
        <f t="shared" si="21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7820499</v>
      </c>
      <c r="I150" s="18">
        <f>I18</f>
        <v>0</v>
      </c>
      <c r="J150" s="18">
        <f>J18</f>
        <v>6687504</v>
      </c>
      <c r="K150" s="18">
        <f>K18</f>
        <v>1132995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2">SUM(F141:F150)</f>
        <v>1304</v>
      </c>
      <c r="G152" s="49">
        <f t="shared" si="22"/>
        <v>3990</v>
      </c>
      <c r="H152" s="49">
        <f t="shared" si="22"/>
        <v>30461595</v>
      </c>
      <c r="I152" s="49">
        <f t="shared" si="22"/>
        <v>11988529.451699998</v>
      </c>
      <c r="J152" s="49">
        <f t="shared" si="22"/>
        <v>12935514</v>
      </c>
      <c r="K152" s="49">
        <f t="shared" si="22"/>
        <v>53619510.451700002</v>
      </c>
    </row>
    <row r="154" spans="1:11" ht="18" customHeight="1">
      <c r="A154" s="6" t="s">
        <v>168</v>
      </c>
      <c r="B154" s="2" t="s">
        <v>28</v>
      </c>
      <c r="F154" s="64">
        <f>K152/F121</f>
        <v>0.26306627815563444</v>
      </c>
    </row>
    <row r="155" spans="1:11" ht="18" customHeight="1">
      <c r="A155" s="6" t="s">
        <v>169</v>
      </c>
      <c r="B155" s="2" t="s">
        <v>72</v>
      </c>
      <c r="F155" s="64">
        <f>K152/F127</f>
        <v>27.087401086991665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D2:H2"/>
    <mergeCell ref="B45:D45"/>
    <mergeCell ref="C5:G5"/>
    <mergeCell ref="C6:G6"/>
    <mergeCell ref="C7:G7"/>
    <mergeCell ref="C9:G9"/>
    <mergeCell ref="C11:G11"/>
    <mergeCell ref="B41:C41"/>
    <mergeCell ref="B44:D44"/>
    <mergeCell ref="B13:H13"/>
    <mergeCell ref="C10:G10"/>
    <mergeCell ref="B30:D30"/>
    <mergeCell ref="B31:D31"/>
    <mergeCell ref="B57:D57"/>
    <mergeCell ref="B52:C52"/>
    <mergeCell ref="B46:D46"/>
    <mergeCell ref="B47:D47"/>
    <mergeCell ref="B34:D34"/>
    <mergeCell ref="B90:C90"/>
    <mergeCell ref="B53:D53"/>
    <mergeCell ref="B55:D55"/>
    <mergeCell ref="B134:D134"/>
    <mergeCell ref="B135:D135"/>
    <mergeCell ref="B133:D133"/>
    <mergeCell ref="B104:D104"/>
    <mergeCell ref="B56:D56"/>
    <mergeCell ref="B59:D59"/>
    <mergeCell ref="B62:D62"/>
    <mergeCell ref="B105:D105"/>
    <mergeCell ref="B106:D106"/>
    <mergeCell ref="B94:D94"/>
    <mergeCell ref="B96:D96"/>
    <mergeCell ref="B95:D95"/>
    <mergeCell ref="B103:C103"/>
  </mergeCells>
  <hyperlinks>
    <hyperlink ref="C11" r:id="rId1"/>
  </hyperlinks>
  <printOptions headings="1" gridLines="1"/>
  <pageMargins left="0.17" right="0.16" top="0.35" bottom="0.32" header="0.17" footer="0.17"/>
  <pageSetup scale="59" fitToHeight="3" orientation="landscape" horizontalDpi="200" verticalDpi="200" r:id="rId2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80" zoomScaleNormal="80" zoomScaleSheetLayoutView="80" workbookViewId="0">
      <selection activeCell="C7" sqref="C7:G7"/>
    </sheetView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602</v>
      </c>
      <c r="D5" s="534"/>
      <c r="E5" s="534"/>
      <c r="F5" s="534"/>
      <c r="G5" s="535"/>
    </row>
    <row r="6" spans="1:11" ht="18" customHeight="1">
      <c r="B6" s="5" t="s">
        <v>3</v>
      </c>
      <c r="C6" s="655">
        <v>5050</v>
      </c>
      <c r="D6" s="656"/>
      <c r="E6" s="656"/>
      <c r="F6" s="656"/>
      <c r="G6" s="657"/>
    </row>
    <row r="7" spans="1:11" ht="18" customHeight="1">
      <c r="B7" s="5" t="s">
        <v>4</v>
      </c>
      <c r="C7" s="640">
        <v>2085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601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600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599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9484179</v>
      </c>
      <c r="I18" s="55">
        <v>0</v>
      </c>
      <c r="J18" s="15">
        <v>8110159</v>
      </c>
      <c r="K18" s="16">
        <f>(H18+I18)-J18</f>
        <v>1374020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24959.652499999993</v>
      </c>
      <c r="G21" s="54">
        <v>27372</v>
      </c>
      <c r="H21" s="15">
        <v>1413340.1025</v>
      </c>
      <c r="I21" s="55">
        <v>902039.46127393283</v>
      </c>
      <c r="J21" s="15">
        <v>165155.10800000001</v>
      </c>
      <c r="K21" s="16">
        <f t="shared" ref="K21:K34" si="0">(H21+I21)-J21</f>
        <v>2150224.4557739329</v>
      </c>
    </row>
    <row r="22" spans="1:11" ht="18" customHeight="1">
      <c r="A22" s="5" t="s">
        <v>76</v>
      </c>
      <c r="B22" t="s">
        <v>6</v>
      </c>
      <c r="F22" s="54">
        <v>2968.1000000000004</v>
      </c>
      <c r="G22" s="54">
        <v>0</v>
      </c>
      <c r="H22" s="15">
        <v>78206.993000000002</v>
      </c>
      <c r="I22" s="55">
        <v>49914.237704561448</v>
      </c>
      <c r="J22" s="15">
        <v>10931.738500000001</v>
      </c>
      <c r="K22" s="16">
        <f t="shared" si="0"/>
        <v>117189.49220456145</v>
      </c>
    </row>
    <row r="23" spans="1:11" ht="18" customHeight="1">
      <c r="A23" s="5" t="s">
        <v>77</v>
      </c>
      <c r="B23" t="s">
        <v>43</v>
      </c>
      <c r="F23" s="54">
        <v>0</v>
      </c>
      <c r="G23" s="54">
        <v>0</v>
      </c>
      <c r="H23" s="15">
        <v>0</v>
      </c>
      <c r="I23" s="55">
        <v>0</v>
      </c>
      <c r="J23" s="15">
        <v>0</v>
      </c>
      <c r="K23" s="16">
        <f t="shared" si="0"/>
        <v>0</v>
      </c>
    </row>
    <row r="24" spans="1:11" ht="18" customHeight="1">
      <c r="A24" s="5" t="s">
        <v>78</v>
      </c>
      <c r="B24" t="s">
        <v>44</v>
      </c>
      <c r="F24" s="54">
        <v>4452.8400000000011</v>
      </c>
      <c r="G24" s="54">
        <v>590.5</v>
      </c>
      <c r="H24" s="15">
        <v>362150.90999999992</v>
      </c>
      <c r="I24" s="55">
        <v>231136.44845881281</v>
      </c>
      <c r="J24" s="15">
        <v>48281.610000000008</v>
      </c>
      <c r="K24" s="16">
        <f t="shared" si="0"/>
        <v>545005.74845881271</v>
      </c>
    </row>
    <row r="25" spans="1:11" ht="18" customHeight="1">
      <c r="A25" s="5" t="s">
        <v>79</v>
      </c>
      <c r="B25" t="s">
        <v>5</v>
      </c>
      <c r="F25" s="54">
        <v>5738.8562499999998</v>
      </c>
      <c r="G25" s="54">
        <v>6789.9320706249991</v>
      </c>
      <c r="H25" s="15">
        <v>157114.81625</v>
      </c>
      <c r="I25" s="55">
        <v>100275.76798932793</v>
      </c>
      <c r="J25" s="15">
        <v>49130.95</v>
      </c>
      <c r="K25" s="16">
        <f t="shared" si="0"/>
        <v>208259.63423932792</v>
      </c>
    </row>
    <row r="26" spans="1:11" ht="18" customHeight="1">
      <c r="A26" s="5" t="s">
        <v>80</v>
      </c>
      <c r="B26" t="s">
        <v>45</v>
      </c>
      <c r="F26" s="54">
        <v>0</v>
      </c>
      <c r="G26" s="54">
        <v>0</v>
      </c>
      <c r="H26" s="15">
        <v>0</v>
      </c>
      <c r="I26" s="55">
        <v>0</v>
      </c>
      <c r="J26" s="15">
        <v>0</v>
      </c>
      <c r="K26" s="16">
        <f t="shared" si="0"/>
        <v>0</v>
      </c>
    </row>
    <row r="27" spans="1:11" ht="18" customHeight="1">
      <c r="A27" s="5" t="s">
        <v>81</v>
      </c>
      <c r="B27" t="s">
        <v>46</v>
      </c>
      <c r="F27" s="54">
        <v>0</v>
      </c>
      <c r="G27" s="54">
        <v>0</v>
      </c>
      <c r="H27" s="15">
        <v>0</v>
      </c>
      <c r="I27" s="55">
        <v>0</v>
      </c>
      <c r="J27" s="15">
        <v>0</v>
      </c>
      <c r="K27" s="16">
        <f t="shared" si="0"/>
        <v>0</v>
      </c>
    </row>
    <row r="28" spans="1:11" ht="18" customHeight="1">
      <c r="A28" s="5" t="s">
        <v>82</v>
      </c>
      <c r="B28" t="s">
        <v>47</v>
      </c>
      <c r="F28" s="54">
        <v>0</v>
      </c>
      <c r="G28" s="54">
        <v>0</v>
      </c>
      <c r="H28" s="15">
        <v>0</v>
      </c>
      <c r="I28" s="55">
        <v>0</v>
      </c>
      <c r="J28" s="15">
        <v>0</v>
      </c>
      <c r="K28" s="16">
        <f t="shared" si="0"/>
        <v>0</v>
      </c>
    </row>
    <row r="29" spans="1:11" ht="18" customHeight="1">
      <c r="A29" s="5" t="s">
        <v>83</v>
      </c>
      <c r="B29" t="s">
        <v>48</v>
      </c>
      <c r="F29" s="54">
        <v>6828</v>
      </c>
      <c r="G29" s="54">
        <v>885.75</v>
      </c>
      <c r="H29" s="15">
        <v>1293728.5587500003</v>
      </c>
      <c r="I29" s="55">
        <v>825699.49731512123</v>
      </c>
      <c r="J29" s="15">
        <v>44620.563750000001</v>
      </c>
      <c r="K29" s="16">
        <f t="shared" si="0"/>
        <v>2074807.4923151217</v>
      </c>
    </row>
    <row r="30" spans="1:11" ht="18" customHeight="1">
      <c r="A30" s="5" t="s">
        <v>84</v>
      </c>
      <c r="B30" s="547" t="s">
        <v>598</v>
      </c>
      <c r="C30" s="548"/>
      <c r="D30" s="549"/>
      <c r="F30" s="54">
        <v>2114.6912499999999</v>
      </c>
      <c r="G30" s="54">
        <v>5578.3065562499996</v>
      </c>
      <c r="H30" s="15">
        <v>80347.017749999999</v>
      </c>
      <c r="I30" s="55">
        <v>51280.070860493484</v>
      </c>
      <c r="J30" s="15">
        <v>6689.3885000000009</v>
      </c>
      <c r="K30" s="16">
        <f t="shared" si="0"/>
        <v>124937.70011049349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v>0</v>
      </c>
      <c r="J31" s="15">
        <v>0</v>
      </c>
      <c r="K31" s="16">
        <f t="shared" si="0"/>
        <v>0</v>
      </c>
    </row>
    <row r="32" spans="1:11" ht="18" customHeight="1">
      <c r="A32" s="5" t="s">
        <v>134</v>
      </c>
      <c r="B32" s="284"/>
      <c r="C32" s="285"/>
      <c r="D32" s="286"/>
      <c r="F32" s="54"/>
      <c r="G32" s="52" t="s">
        <v>85</v>
      </c>
      <c r="H32" s="15"/>
      <c r="I32" s="55">
        <v>0</v>
      </c>
      <c r="J32" s="15"/>
      <c r="K32" s="16">
        <f t="shared" si="0"/>
        <v>0</v>
      </c>
    </row>
    <row r="33" spans="1:11" ht="18" customHeight="1">
      <c r="A33" s="5" t="s">
        <v>135</v>
      </c>
      <c r="B33" s="284"/>
      <c r="C33" s="285"/>
      <c r="D33" s="286"/>
      <c r="F33" s="54"/>
      <c r="G33" s="52" t="s">
        <v>85</v>
      </c>
      <c r="H33" s="15"/>
      <c r="I33" s="55">
        <v>0</v>
      </c>
      <c r="J33" s="15"/>
      <c r="K33" s="16">
        <f t="shared" si="0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v>0</v>
      </c>
      <c r="J34" s="15"/>
      <c r="K34" s="16">
        <f t="shared" si="0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1">SUM(F21:F34)</f>
        <v>47062.14</v>
      </c>
      <c r="G36" s="18">
        <f t="shared" si="1"/>
        <v>41216.488626874998</v>
      </c>
      <c r="H36" s="18">
        <f t="shared" si="1"/>
        <v>3384888.3982500001</v>
      </c>
      <c r="I36" s="16">
        <f t="shared" si="1"/>
        <v>2160345.4836022495</v>
      </c>
      <c r="J36" s="16">
        <f t="shared" si="1"/>
        <v>324809.35875000001</v>
      </c>
      <c r="K36" s="16">
        <f t="shared" si="1"/>
        <v>5220424.52310225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>
        <v>2080</v>
      </c>
      <c r="G40" s="54">
        <v>8209.76</v>
      </c>
      <c r="H40" s="15">
        <v>202702.01899999997</v>
      </c>
      <c r="I40" s="83">
        <v>0</v>
      </c>
      <c r="J40" s="15">
        <v>0</v>
      </c>
      <c r="K40" s="16">
        <f t="shared" ref="K40:K47" si="2">(H40+I40)-J40</f>
        <v>202702.01899999997</v>
      </c>
    </row>
    <row r="41" spans="1:11" ht="18" customHeight="1">
      <c r="A41" s="5" t="s">
        <v>88</v>
      </c>
      <c r="B41" s="550" t="s">
        <v>50</v>
      </c>
      <c r="C41" s="551"/>
      <c r="F41" s="54">
        <v>6349.25</v>
      </c>
      <c r="G41" s="54">
        <v>1032</v>
      </c>
      <c r="H41" s="15">
        <v>412701.25</v>
      </c>
      <c r="I41" s="55">
        <v>0</v>
      </c>
      <c r="J41" s="15">
        <v>0</v>
      </c>
      <c r="K41" s="16">
        <f t="shared" si="2"/>
        <v>412701.25</v>
      </c>
    </row>
    <row r="42" spans="1:11" ht="18" customHeight="1">
      <c r="A42" s="5" t="s">
        <v>89</v>
      </c>
      <c r="B42" s="1" t="s">
        <v>11</v>
      </c>
      <c r="F42" s="54">
        <v>2367.5</v>
      </c>
      <c r="G42" s="54">
        <v>252.25</v>
      </c>
      <c r="H42" s="15">
        <v>79276.036250000034</v>
      </c>
      <c r="I42" s="55">
        <v>0</v>
      </c>
      <c r="J42" s="15">
        <v>14873.52125</v>
      </c>
      <c r="K42" s="16">
        <f t="shared" si="2"/>
        <v>64402.515000000036</v>
      </c>
    </row>
    <row r="43" spans="1:11" ht="18" customHeight="1">
      <c r="A43" s="5" t="s">
        <v>90</v>
      </c>
      <c r="B43" s="47" t="s">
        <v>10</v>
      </c>
      <c r="C43" s="10"/>
      <c r="D43" s="10"/>
      <c r="F43" s="54">
        <v>0</v>
      </c>
      <c r="G43" s="54">
        <v>0</v>
      </c>
      <c r="H43" s="15">
        <v>0</v>
      </c>
      <c r="I43" s="55">
        <v>0</v>
      </c>
      <c r="J43" s="15">
        <v>0</v>
      </c>
      <c r="K43" s="16">
        <f t="shared" si="2"/>
        <v>0</v>
      </c>
    </row>
    <row r="44" spans="1:11" ht="18" customHeight="1">
      <c r="A44" s="5" t="s">
        <v>91</v>
      </c>
      <c r="B44" s="547" t="s">
        <v>11</v>
      </c>
      <c r="C44" s="548"/>
      <c r="D44" s="549"/>
      <c r="F44" s="54">
        <v>3111.0999999999995</v>
      </c>
      <c r="G44" s="54">
        <v>10888.849999999999</v>
      </c>
      <c r="H44" s="15">
        <v>109560.94</v>
      </c>
      <c r="I44" s="83">
        <v>0</v>
      </c>
      <c r="J44" s="15">
        <v>0</v>
      </c>
      <c r="K44" s="81">
        <f t="shared" si="2"/>
        <v>109560.94</v>
      </c>
    </row>
    <row r="45" spans="1:11" ht="18" customHeight="1">
      <c r="A45" s="5" t="s">
        <v>139</v>
      </c>
      <c r="B45" s="547"/>
      <c r="C45" s="548"/>
      <c r="D45" s="549"/>
      <c r="F45" s="54">
        <v>0</v>
      </c>
      <c r="G45" s="54">
        <v>0</v>
      </c>
      <c r="H45" s="15">
        <v>0</v>
      </c>
      <c r="I45" s="55">
        <v>0</v>
      </c>
      <c r="J45" s="15">
        <v>0</v>
      </c>
      <c r="K45" s="16">
        <f t="shared" si="2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2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2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3">SUM(F40:F47)</f>
        <v>13907.849999999999</v>
      </c>
      <c r="G49" s="23">
        <f t="shared" si="3"/>
        <v>20382.86</v>
      </c>
      <c r="H49" s="16">
        <f t="shared" si="3"/>
        <v>804240.24524999992</v>
      </c>
      <c r="I49" s="16">
        <f t="shared" si="3"/>
        <v>0</v>
      </c>
      <c r="J49" s="16">
        <f t="shared" si="3"/>
        <v>14873.52125</v>
      </c>
      <c r="K49" s="16">
        <f t="shared" si="3"/>
        <v>789366.72399999993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 t="s">
        <v>597</v>
      </c>
      <c r="C53" s="559"/>
      <c r="D53" s="532"/>
      <c r="F53" s="54">
        <v>0</v>
      </c>
      <c r="G53" s="54">
        <v>0</v>
      </c>
      <c r="H53" s="15">
        <v>0</v>
      </c>
      <c r="I53" s="55">
        <v>0</v>
      </c>
      <c r="J53" s="15">
        <v>0</v>
      </c>
      <c r="K53" s="16">
        <f t="shared" ref="K53:K62" si="4">(H53+I53)-J53</f>
        <v>0</v>
      </c>
    </row>
    <row r="54" spans="1:11" ht="18" customHeight="1">
      <c r="A54" s="5" t="s">
        <v>93</v>
      </c>
      <c r="B54" s="281" t="s">
        <v>596</v>
      </c>
      <c r="C54" s="282"/>
      <c r="D54" s="283"/>
      <c r="F54" s="54">
        <v>69245.76999999999</v>
      </c>
      <c r="G54" s="54">
        <v>4149.7436999999991</v>
      </c>
      <c r="H54" s="15">
        <v>6342489.2366666673</v>
      </c>
      <c r="I54" s="55">
        <v>0</v>
      </c>
      <c r="J54" s="15">
        <v>10293.09</v>
      </c>
      <c r="K54" s="16">
        <f t="shared" si="4"/>
        <v>6332196.1466666674</v>
      </c>
    </row>
    <row r="55" spans="1:11" ht="18" customHeight="1">
      <c r="A55" s="5" t="s">
        <v>94</v>
      </c>
      <c r="B55" s="530" t="s">
        <v>595</v>
      </c>
      <c r="C55" s="531"/>
      <c r="D55" s="532"/>
      <c r="F55" s="54">
        <v>8760</v>
      </c>
      <c r="G55" s="54">
        <v>0</v>
      </c>
      <c r="H55" s="15">
        <v>333524.17000000004</v>
      </c>
      <c r="I55" s="55">
        <v>0</v>
      </c>
      <c r="J55" s="15">
        <v>0</v>
      </c>
      <c r="K55" s="16">
        <f t="shared" si="4"/>
        <v>333524.17000000004</v>
      </c>
    </row>
    <row r="56" spans="1:11" ht="18" customHeight="1">
      <c r="A56" s="5" t="s">
        <v>95</v>
      </c>
      <c r="B56" s="530" t="s">
        <v>594</v>
      </c>
      <c r="C56" s="531"/>
      <c r="D56" s="532"/>
      <c r="F56" s="54" t="s">
        <v>740</v>
      </c>
      <c r="G56" s="54">
        <v>0</v>
      </c>
      <c r="H56" s="15">
        <v>0</v>
      </c>
      <c r="I56" s="55">
        <v>0</v>
      </c>
      <c r="J56" s="15">
        <v>0</v>
      </c>
      <c r="K56" s="16">
        <f t="shared" si="4"/>
        <v>0</v>
      </c>
    </row>
    <row r="57" spans="1:11" ht="18" customHeight="1">
      <c r="A57" s="5" t="s">
        <v>96</v>
      </c>
      <c r="B57" s="530" t="s">
        <v>593</v>
      </c>
      <c r="C57" s="531"/>
      <c r="D57" s="532"/>
      <c r="F57" s="54">
        <v>0</v>
      </c>
      <c r="G57" s="54">
        <v>0</v>
      </c>
      <c r="H57" s="15">
        <v>1876825.264</v>
      </c>
      <c r="I57" s="55">
        <v>0</v>
      </c>
      <c r="J57" s="15">
        <v>0</v>
      </c>
      <c r="K57" s="16">
        <f t="shared" si="4"/>
        <v>1876825.264</v>
      </c>
    </row>
    <row r="58" spans="1:11" ht="18" customHeight="1">
      <c r="A58" s="5" t="s">
        <v>97</v>
      </c>
      <c r="B58" s="281" t="s">
        <v>592</v>
      </c>
      <c r="C58" s="282"/>
      <c r="D58" s="283"/>
      <c r="F58" s="54">
        <v>0</v>
      </c>
      <c r="G58" s="54">
        <v>0</v>
      </c>
      <c r="H58" s="15">
        <v>0</v>
      </c>
      <c r="I58" s="55">
        <v>0</v>
      </c>
      <c r="J58" s="15">
        <v>0</v>
      </c>
      <c r="K58" s="16">
        <f t="shared" si="4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v>0</v>
      </c>
      <c r="J59" s="15"/>
      <c r="K59" s="16">
        <f t="shared" si="4"/>
        <v>0</v>
      </c>
    </row>
    <row r="60" spans="1:11" ht="18" customHeight="1">
      <c r="A60" s="5" t="s">
        <v>99</v>
      </c>
      <c r="B60" s="281"/>
      <c r="C60" s="282"/>
      <c r="D60" s="283"/>
      <c r="F60" s="54"/>
      <c r="G60" s="54"/>
      <c r="H60" s="15"/>
      <c r="I60" s="55">
        <v>0</v>
      </c>
      <c r="J60" s="15"/>
      <c r="K60" s="16">
        <f t="shared" si="4"/>
        <v>0</v>
      </c>
    </row>
    <row r="61" spans="1:11" ht="18" customHeight="1">
      <c r="A61" s="5" t="s">
        <v>100</v>
      </c>
      <c r="B61" s="281"/>
      <c r="C61" s="282"/>
      <c r="D61" s="283"/>
      <c r="F61" s="54"/>
      <c r="G61" s="54"/>
      <c r="H61" s="15"/>
      <c r="I61" s="55">
        <v>0</v>
      </c>
      <c r="J61" s="15"/>
      <c r="K61" s="16">
        <f t="shared" si="4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4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5">SUM(F53:F62)</f>
        <v>78005.76999999999</v>
      </c>
      <c r="G64" s="18">
        <f t="shared" si="5"/>
        <v>4149.7436999999991</v>
      </c>
      <c r="H64" s="16">
        <f t="shared" si="5"/>
        <v>8552838.6706666667</v>
      </c>
      <c r="I64" s="16">
        <f t="shared" si="5"/>
        <v>0</v>
      </c>
      <c r="J64" s="16">
        <f t="shared" si="5"/>
        <v>10293.09</v>
      </c>
      <c r="K64" s="16">
        <f t="shared" si="5"/>
        <v>8542545.5806666669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4">
        <v>6671.1299999999992</v>
      </c>
      <c r="G68" s="54">
        <v>1000</v>
      </c>
      <c r="H68" s="54">
        <v>386901.75</v>
      </c>
      <c r="I68" s="55">
        <v>0</v>
      </c>
      <c r="J68" s="54">
        <v>75803</v>
      </c>
      <c r="K68" s="16">
        <f>(H68+I68)-J68</f>
        <v>311098.75</v>
      </c>
    </row>
    <row r="69" spans="1:11" ht="18" customHeight="1">
      <c r="A69" s="5" t="s">
        <v>104</v>
      </c>
      <c r="B69" s="1" t="s">
        <v>53</v>
      </c>
      <c r="F69" s="54">
        <v>8.75</v>
      </c>
      <c r="G69" s="54">
        <v>40</v>
      </c>
      <c r="H69" s="54">
        <v>21173.654999999999</v>
      </c>
      <c r="I69" s="55">
        <v>0</v>
      </c>
      <c r="J69" s="54">
        <v>0</v>
      </c>
      <c r="K69" s="16">
        <f>(H69+I69)-J69</f>
        <v>21173.654999999999</v>
      </c>
    </row>
    <row r="70" spans="1:11" ht="18" customHeight="1">
      <c r="A70" s="5" t="s">
        <v>178</v>
      </c>
      <c r="B70" s="281"/>
      <c r="C70" s="282"/>
      <c r="D70" s="283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281"/>
      <c r="C71" s="282"/>
      <c r="D71" s="283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287"/>
      <c r="C72" s="288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6">SUM(F68:F72)</f>
        <v>6679.8799999999992</v>
      </c>
      <c r="G74" s="21">
        <f t="shared" si="6"/>
        <v>1040</v>
      </c>
      <c r="H74" s="21">
        <f t="shared" si="6"/>
        <v>408075.40500000003</v>
      </c>
      <c r="I74" s="53">
        <f t="shared" si="6"/>
        <v>0</v>
      </c>
      <c r="J74" s="21">
        <f t="shared" si="6"/>
        <v>75803</v>
      </c>
      <c r="K74" s="56">
        <f t="shared" si="6"/>
        <v>332272.40500000003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>
        <v>2</v>
      </c>
      <c r="G77" s="54">
        <v>10</v>
      </c>
      <c r="H77" s="54">
        <v>653195.22</v>
      </c>
      <c r="I77" s="55">
        <v>0</v>
      </c>
      <c r="J77" s="54">
        <v>0</v>
      </c>
      <c r="K77" s="16">
        <f>(H77+I77)-J77</f>
        <v>653195.22</v>
      </c>
    </row>
    <row r="78" spans="1:11" ht="18" customHeight="1">
      <c r="A78" s="5" t="s">
        <v>108</v>
      </c>
      <c r="B78" s="1" t="s">
        <v>55</v>
      </c>
      <c r="F78" s="54">
        <v>0</v>
      </c>
      <c r="G78" s="54">
        <v>0</v>
      </c>
      <c r="H78" s="54">
        <v>0</v>
      </c>
      <c r="I78" s="83">
        <v>0</v>
      </c>
      <c r="J78" s="54">
        <v>0</v>
      </c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>
        <v>146.27500000000001</v>
      </c>
      <c r="G79" s="54">
        <v>171</v>
      </c>
      <c r="H79" s="54">
        <v>0</v>
      </c>
      <c r="I79" s="83">
        <v>0</v>
      </c>
      <c r="J79" s="54">
        <v>0</v>
      </c>
      <c r="K79" s="16">
        <f>(H79+I79)-J79</f>
        <v>0</v>
      </c>
    </row>
    <row r="80" spans="1:11" ht="18" customHeight="1">
      <c r="A80" s="5" t="s">
        <v>110</v>
      </c>
      <c r="B80" s="1" t="s">
        <v>56</v>
      </c>
      <c r="F80" s="54">
        <v>2</v>
      </c>
      <c r="G80" s="54">
        <v>30</v>
      </c>
      <c r="H80" s="54">
        <v>0</v>
      </c>
      <c r="I80" s="83">
        <v>0</v>
      </c>
      <c r="J80" s="54">
        <v>0</v>
      </c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7">SUM(F77:F80)</f>
        <v>150.27500000000001</v>
      </c>
      <c r="G82" s="21">
        <f t="shared" si="7"/>
        <v>211</v>
      </c>
      <c r="H82" s="56">
        <f t="shared" si="7"/>
        <v>653195.22</v>
      </c>
      <c r="I82" s="56">
        <f t="shared" si="7"/>
        <v>0</v>
      </c>
      <c r="J82" s="56">
        <f t="shared" si="7"/>
        <v>0</v>
      </c>
      <c r="K82" s="56">
        <f t="shared" si="7"/>
        <v>653195.22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>
        <v>0</v>
      </c>
      <c r="G86" s="54">
        <v>0</v>
      </c>
      <c r="H86" s="54">
        <v>0</v>
      </c>
      <c r="I86" s="55">
        <v>0</v>
      </c>
      <c r="J86" s="54">
        <v>0</v>
      </c>
      <c r="K86" s="16">
        <f t="shared" ref="K86:K96" si="8">(H86+I86)-J86</f>
        <v>0</v>
      </c>
    </row>
    <row r="87" spans="1:11" ht="18" customHeight="1">
      <c r="A87" s="5" t="s">
        <v>114</v>
      </c>
      <c r="B87" s="1" t="s">
        <v>14</v>
      </c>
      <c r="F87" s="54">
        <v>74.25</v>
      </c>
      <c r="G87" s="54">
        <v>16</v>
      </c>
      <c r="H87" s="54">
        <v>17948</v>
      </c>
      <c r="I87" s="55">
        <v>11454.995313801015</v>
      </c>
      <c r="J87" s="54">
        <v>0</v>
      </c>
      <c r="K87" s="16">
        <f t="shared" si="8"/>
        <v>29402.995313801017</v>
      </c>
    </row>
    <row r="88" spans="1:11" ht="18" customHeight="1">
      <c r="A88" s="5" t="s">
        <v>115</v>
      </c>
      <c r="B88" s="1" t="s">
        <v>116</v>
      </c>
      <c r="F88" s="54">
        <v>88.25</v>
      </c>
      <c r="G88" s="54">
        <v>152.5</v>
      </c>
      <c r="H88" s="54">
        <v>3763</v>
      </c>
      <c r="I88" s="55">
        <v>2401.6685628389359</v>
      </c>
      <c r="J88" s="54">
        <v>0</v>
      </c>
      <c r="K88" s="16">
        <f t="shared" si="8"/>
        <v>6164.6685628389359</v>
      </c>
    </row>
    <row r="89" spans="1:11" ht="18" customHeight="1">
      <c r="A89" s="5" t="s">
        <v>117</v>
      </c>
      <c r="B89" s="1" t="s">
        <v>58</v>
      </c>
      <c r="F89" s="54">
        <v>5.75</v>
      </c>
      <c r="G89" s="54">
        <v>21</v>
      </c>
      <c r="H89" s="54">
        <v>1390</v>
      </c>
      <c r="I89" s="55">
        <v>887.14305138084535</v>
      </c>
      <c r="J89" s="54">
        <v>0</v>
      </c>
      <c r="K89" s="16">
        <f t="shared" si="8"/>
        <v>2277.1430513808455</v>
      </c>
    </row>
    <row r="90" spans="1:11" ht="18" customHeight="1">
      <c r="A90" s="5" t="s">
        <v>118</v>
      </c>
      <c r="B90" s="550" t="s">
        <v>59</v>
      </c>
      <c r="C90" s="551"/>
      <c r="F90" s="54">
        <v>23.875</v>
      </c>
      <c r="G90" s="54">
        <v>319</v>
      </c>
      <c r="H90" s="54">
        <v>1266.5</v>
      </c>
      <c r="I90" s="55">
        <v>808.3213486142738</v>
      </c>
      <c r="J90" s="54">
        <v>0</v>
      </c>
      <c r="K90" s="16">
        <f t="shared" si="8"/>
        <v>2074.821348614274</v>
      </c>
    </row>
    <row r="91" spans="1:11" ht="18" customHeight="1">
      <c r="A91" s="5" t="s">
        <v>119</v>
      </c>
      <c r="B91" s="1" t="s">
        <v>60</v>
      </c>
      <c r="F91" s="54">
        <v>278.25</v>
      </c>
      <c r="G91" s="54">
        <v>1346.5</v>
      </c>
      <c r="H91" s="54">
        <v>31275.5</v>
      </c>
      <c r="I91" s="55">
        <v>19961.037772274551</v>
      </c>
      <c r="J91" s="54">
        <v>0</v>
      </c>
      <c r="K91" s="16">
        <f t="shared" si="8"/>
        <v>51236.537772274547</v>
      </c>
    </row>
    <row r="92" spans="1:11" ht="18" customHeight="1">
      <c r="A92" s="5" t="s">
        <v>120</v>
      </c>
      <c r="B92" s="1" t="s">
        <v>121</v>
      </c>
      <c r="F92" s="54">
        <v>197.625</v>
      </c>
      <c r="G92" s="54">
        <v>853</v>
      </c>
      <c r="H92" s="54">
        <v>15565.5</v>
      </c>
      <c r="I92" s="55">
        <v>9934.4065944378035</v>
      </c>
      <c r="J92" s="54">
        <v>0</v>
      </c>
      <c r="K92" s="16">
        <f t="shared" si="8"/>
        <v>25499.906594437802</v>
      </c>
    </row>
    <row r="93" spans="1:11" ht="18" customHeight="1">
      <c r="A93" s="5" t="s">
        <v>122</v>
      </c>
      <c r="B93" s="1" t="s">
        <v>123</v>
      </c>
      <c r="F93" s="54">
        <v>77.650000000000006</v>
      </c>
      <c r="G93" s="54">
        <v>256</v>
      </c>
      <c r="H93" s="54">
        <v>11086</v>
      </c>
      <c r="I93" s="55">
        <v>7075.4445090705403</v>
      </c>
      <c r="J93" s="54">
        <v>0</v>
      </c>
      <c r="K93" s="16">
        <f t="shared" si="8"/>
        <v>18161.444509070541</v>
      </c>
    </row>
    <row r="94" spans="1:11" ht="18" customHeight="1">
      <c r="A94" s="5" t="s">
        <v>124</v>
      </c>
      <c r="B94" s="530" t="s">
        <v>591</v>
      </c>
      <c r="C94" s="531"/>
      <c r="D94" s="532"/>
      <c r="F94" s="54">
        <v>3214.197797885065</v>
      </c>
      <c r="G94" s="54">
        <v>658.58912878664978</v>
      </c>
      <c r="H94" s="54">
        <v>177337.84389502404</v>
      </c>
      <c r="I94" s="55">
        <v>113182.75968225297</v>
      </c>
      <c r="J94" s="54">
        <v>0</v>
      </c>
      <c r="K94" s="16">
        <f t="shared" si="8"/>
        <v>290520.60357727704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v>0</v>
      </c>
      <c r="J95" s="15"/>
      <c r="K95" s="16">
        <f t="shared" si="8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v>0</v>
      </c>
      <c r="J96" s="15"/>
      <c r="K96" s="16">
        <f t="shared" si="8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9">SUM(F86:F96)</f>
        <v>3959.8477978850651</v>
      </c>
      <c r="G98" s="18">
        <f t="shared" si="9"/>
        <v>3622.5891287866498</v>
      </c>
      <c r="H98" s="18">
        <f t="shared" si="9"/>
        <v>259632.34389502404</v>
      </c>
      <c r="I98" s="18">
        <f t="shared" si="9"/>
        <v>165705.77683467095</v>
      </c>
      <c r="J98" s="18">
        <f t="shared" si="9"/>
        <v>0</v>
      </c>
      <c r="K98" s="18">
        <f t="shared" si="9"/>
        <v>425338.12072969502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>
        <v>1298.625</v>
      </c>
      <c r="G102" s="54">
        <v>0</v>
      </c>
      <c r="H102" s="54">
        <v>62028.596923076919</v>
      </c>
      <c r="I102" s="55">
        <v>39588.660969216522</v>
      </c>
      <c r="J102" s="54">
        <v>0</v>
      </c>
      <c r="K102" s="16">
        <f>(H102+I102)-J102</f>
        <v>101617.25789229345</v>
      </c>
    </row>
    <row r="103" spans="1:11" ht="18" customHeight="1">
      <c r="A103" s="5" t="s">
        <v>132</v>
      </c>
      <c r="B103" s="550" t="s">
        <v>62</v>
      </c>
      <c r="C103" s="550"/>
      <c r="F103" s="54">
        <v>21.25</v>
      </c>
      <c r="G103" s="54">
        <v>82</v>
      </c>
      <c r="H103" s="15">
        <v>1237</v>
      </c>
      <c r="I103" s="55">
        <v>789.49349248784574</v>
      </c>
      <c r="J103" s="54">
        <v>0</v>
      </c>
      <c r="K103" s="16">
        <f>(H103+I103)-J103</f>
        <v>2026.4934924878457</v>
      </c>
    </row>
    <row r="104" spans="1:11" ht="18" customHeight="1">
      <c r="A104" s="5" t="s">
        <v>128</v>
      </c>
      <c r="B104" s="530" t="s">
        <v>590</v>
      </c>
      <c r="C104" s="531"/>
      <c r="D104" s="532"/>
      <c r="F104" s="54">
        <v>0</v>
      </c>
      <c r="G104" s="54">
        <v>0</v>
      </c>
      <c r="H104" s="15">
        <v>40532.29</v>
      </c>
      <c r="I104" s="55">
        <v>25869.021172700232</v>
      </c>
      <c r="J104" s="54">
        <v>0</v>
      </c>
      <c r="K104" s="16">
        <f>(H104+I104)-J104</f>
        <v>66401.311172700225</v>
      </c>
    </row>
    <row r="105" spans="1:11" ht="18" customHeight="1">
      <c r="A105" s="5" t="s">
        <v>127</v>
      </c>
      <c r="B105" s="530" t="s">
        <v>589</v>
      </c>
      <c r="C105" s="531"/>
      <c r="D105" s="532"/>
      <c r="F105" s="54">
        <v>0</v>
      </c>
      <c r="G105" s="54">
        <v>2000</v>
      </c>
      <c r="H105" s="15">
        <v>0</v>
      </c>
      <c r="I105" s="55">
        <v>0</v>
      </c>
      <c r="J105" s="54">
        <v>0</v>
      </c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>
        <v>0</v>
      </c>
      <c r="G106" s="54">
        <v>0</v>
      </c>
      <c r="H106" s="15">
        <v>0</v>
      </c>
      <c r="I106" s="55">
        <v>0</v>
      </c>
      <c r="J106" s="54">
        <v>0</v>
      </c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0">SUM(F102:F106)</f>
        <v>1319.875</v>
      </c>
      <c r="G108" s="18">
        <f t="shared" si="10"/>
        <v>2082</v>
      </c>
      <c r="H108" s="16">
        <f t="shared" si="10"/>
        <v>103797.88692307692</v>
      </c>
      <c r="I108" s="16">
        <f t="shared" si="10"/>
        <v>66247.175634404601</v>
      </c>
      <c r="J108" s="16">
        <f t="shared" si="10"/>
        <v>0</v>
      </c>
      <c r="K108" s="16">
        <f t="shared" si="10"/>
        <v>170045.06255748152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8871895.0099999998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0.63823241106535633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304323367.76999998</v>
      </c>
    </row>
    <row r="118" spans="1:6" ht="18" customHeight="1">
      <c r="A118" s="5" t="s">
        <v>173</v>
      </c>
      <c r="B118" t="s">
        <v>18</v>
      </c>
      <c r="F118" s="15">
        <v>5088845.756000001</v>
      </c>
    </row>
    <row r="119" spans="1:6" ht="18" customHeight="1">
      <c r="A119" s="5" t="s">
        <v>174</v>
      </c>
      <c r="B119" s="2" t="s">
        <v>19</v>
      </c>
      <c r="F119" s="56">
        <f>SUM(F117:F118)</f>
        <v>309412213.52599996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293106862.41600001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f>+F119-F121</f>
        <v>16305351.109999955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-453918.48000000021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f>+F123+F125</f>
        <v>15851432.629999954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>
        <f>+'[13]SGAH CB List '!J149</f>
        <v>0</v>
      </c>
      <c r="G131" s="54">
        <f>+'[13]SGAH CB List '!K149</f>
        <v>0</v>
      </c>
      <c r="H131" s="54">
        <f>+'[13]SGAH CB List '!L149</f>
        <v>0</v>
      </c>
      <c r="I131" s="55">
        <v>0</v>
      </c>
      <c r="J131" s="54">
        <f>+'[13]SGAH CB List '!N149</f>
        <v>0</v>
      </c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>
        <f>+'[13]SGAH CB List '!J150</f>
        <v>0</v>
      </c>
      <c r="G132" s="54">
        <f>+'[13]SGAH CB List '!K150</f>
        <v>0</v>
      </c>
      <c r="H132" s="54">
        <f>+'[13]SGAH CB List '!L150</f>
        <v>0</v>
      </c>
      <c r="I132" s="55">
        <v>0</v>
      </c>
      <c r="J132" s="54">
        <f>+'[13]SGAH CB List '!N150</f>
        <v>0</v>
      </c>
      <c r="K132" s="16">
        <f>(H132+I132)-J132</f>
        <v>0</v>
      </c>
    </row>
    <row r="133" spans="1:11" ht="18" customHeight="1">
      <c r="A133" s="5" t="s">
        <v>160</v>
      </c>
      <c r="B133" s="547" t="s">
        <v>588</v>
      </c>
      <c r="C133" s="548"/>
      <c r="D133" s="549"/>
      <c r="F133" s="54">
        <f>+'[13]SGAH CB List '!J151</f>
        <v>0</v>
      </c>
      <c r="G133" s="54">
        <f>+'[13]SGAH CB List '!K151</f>
        <v>0</v>
      </c>
      <c r="H133" s="54">
        <f>+'[13]SGAH CB List '!L151</f>
        <v>0</v>
      </c>
      <c r="I133" s="55">
        <v>0</v>
      </c>
      <c r="J133" s="54">
        <f>+'[13]SGAH CB List '!N151</f>
        <v>0</v>
      </c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1">SUM(F131:F135)</f>
        <v>0</v>
      </c>
      <c r="G137" s="18">
        <f t="shared" si="11"/>
        <v>0</v>
      </c>
      <c r="H137" s="16">
        <f t="shared" si="11"/>
        <v>0</v>
      </c>
      <c r="I137" s="16">
        <f t="shared" si="11"/>
        <v>0</v>
      </c>
      <c r="J137" s="16">
        <f t="shared" si="11"/>
        <v>0</v>
      </c>
      <c r="K137" s="16">
        <f t="shared" si="11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2">F36</f>
        <v>47062.14</v>
      </c>
      <c r="G141" s="41">
        <f t="shared" si="12"/>
        <v>41216.488626874998</v>
      </c>
      <c r="H141" s="41">
        <f t="shared" si="12"/>
        <v>3384888.3982500001</v>
      </c>
      <c r="I141" s="41">
        <f t="shared" si="12"/>
        <v>2160345.4836022495</v>
      </c>
      <c r="J141" s="41">
        <f t="shared" si="12"/>
        <v>324809.35875000001</v>
      </c>
      <c r="K141" s="41">
        <f t="shared" si="12"/>
        <v>5220424.52310225</v>
      </c>
    </row>
    <row r="142" spans="1:11" ht="18" customHeight="1">
      <c r="A142" s="5" t="s">
        <v>142</v>
      </c>
      <c r="B142" s="2" t="s">
        <v>65</v>
      </c>
      <c r="F142" s="41">
        <f t="shared" ref="F142:K142" si="13">F49</f>
        <v>13907.849999999999</v>
      </c>
      <c r="G142" s="41">
        <f t="shared" si="13"/>
        <v>20382.86</v>
      </c>
      <c r="H142" s="41">
        <f t="shared" si="13"/>
        <v>804240.24524999992</v>
      </c>
      <c r="I142" s="41">
        <f t="shared" si="13"/>
        <v>0</v>
      </c>
      <c r="J142" s="41">
        <f t="shared" si="13"/>
        <v>14873.52125</v>
      </c>
      <c r="K142" s="41">
        <f t="shared" si="13"/>
        <v>789366.72399999993</v>
      </c>
    </row>
    <row r="143" spans="1:11" ht="18" customHeight="1">
      <c r="A143" s="5" t="s">
        <v>144</v>
      </c>
      <c r="B143" s="2" t="s">
        <v>66</v>
      </c>
      <c r="F143" s="41">
        <f t="shared" ref="F143:K143" si="14">F64</f>
        <v>78005.76999999999</v>
      </c>
      <c r="G143" s="41">
        <f t="shared" si="14"/>
        <v>4149.7436999999991</v>
      </c>
      <c r="H143" s="41">
        <f t="shared" si="14"/>
        <v>8552838.6706666667</v>
      </c>
      <c r="I143" s="41">
        <f t="shared" si="14"/>
        <v>0</v>
      </c>
      <c r="J143" s="41">
        <f t="shared" si="14"/>
        <v>10293.09</v>
      </c>
      <c r="K143" s="41">
        <f t="shared" si="14"/>
        <v>8542545.5806666669</v>
      </c>
    </row>
    <row r="144" spans="1:11" ht="18" customHeight="1">
      <c r="A144" s="5" t="s">
        <v>146</v>
      </c>
      <c r="B144" s="2" t="s">
        <v>67</v>
      </c>
      <c r="F144" s="41">
        <f t="shared" ref="F144:K144" si="15">F74</f>
        <v>6679.8799999999992</v>
      </c>
      <c r="G144" s="41">
        <f t="shared" si="15"/>
        <v>1040</v>
      </c>
      <c r="H144" s="41">
        <f t="shared" si="15"/>
        <v>408075.40500000003</v>
      </c>
      <c r="I144" s="41">
        <f t="shared" si="15"/>
        <v>0</v>
      </c>
      <c r="J144" s="41">
        <f t="shared" si="15"/>
        <v>75803</v>
      </c>
      <c r="K144" s="41">
        <f t="shared" si="15"/>
        <v>332272.40500000003</v>
      </c>
    </row>
    <row r="145" spans="1:11" ht="18" customHeight="1">
      <c r="A145" s="5" t="s">
        <v>148</v>
      </c>
      <c r="B145" s="2" t="s">
        <v>68</v>
      </c>
      <c r="F145" s="41">
        <f t="shared" ref="F145:K145" si="16">F82</f>
        <v>150.27500000000001</v>
      </c>
      <c r="G145" s="41">
        <f t="shared" si="16"/>
        <v>211</v>
      </c>
      <c r="H145" s="41">
        <f t="shared" si="16"/>
        <v>653195.22</v>
      </c>
      <c r="I145" s="41">
        <f t="shared" si="16"/>
        <v>0</v>
      </c>
      <c r="J145" s="41">
        <f t="shared" si="16"/>
        <v>0</v>
      </c>
      <c r="K145" s="41">
        <f t="shared" si="16"/>
        <v>653195.22</v>
      </c>
    </row>
    <row r="146" spans="1:11" ht="18" customHeight="1">
      <c r="A146" s="5" t="s">
        <v>150</v>
      </c>
      <c r="B146" s="2" t="s">
        <v>69</v>
      </c>
      <c r="F146" s="41">
        <f t="shared" ref="F146:K146" si="17">F98</f>
        <v>3959.8477978850651</v>
      </c>
      <c r="G146" s="41">
        <f t="shared" si="17"/>
        <v>3622.5891287866498</v>
      </c>
      <c r="H146" s="41">
        <f t="shared" si="17"/>
        <v>259632.34389502404</v>
      </c>
      <c r="I146" s="41">
        <f t="shared" si="17"/>
        <v>165705.77683467095</v>
      </c>
      <c r="J146" s="41">
        <f t="shared" si="17"/>
        <v>0</v>
      </c>
      <c r="K146" s="41">
        <f t="shared" si="17"/>
        <v>425338.12072969502</v>
      </c>
    </row>
    <row r="147" spans="1:11" ht="18" customHeight="1">
      <c r="A147" s="5" t="s">
        <v>153</v>
      </c>
      <c r="B147" s="2" t="s">
        <v>61</v>
      </c>
      <c r="F147" s="18">
        <f t="shared" ref="F147:K147" si="18">F108</f>
        <v>1319.875</v>
      </c>
      <c r="G147" s="18">
        <f t="shared" si="18"/>
        <v>2082</v>
      </c>
      <c r="H147" s="18">
        <f t="shared" si="18"/>
        <v>103797.88692307692</v>
      </c>
      <c r="I147" s="18">
        <f t="shared" si="18"/>
        <v>66247.175634404601</v>
      </c>
      <c r="J147" s="18">
        <f t="shared" si="18"/>
        <v>0</v>
      </c>
      <c r="K147" s="18">
        <f t="shared" si="18"/>
        <v>170045.06255748152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8871895.0099999998</v>
      </c>
    </row>
    <row r="149" spans="1:11" ht="18" customHeight="1">
      <c r="A149" s="5" t="s">
        <v>163</v>
      </c>
      <c r="B149" s="2" t="s">
        <v>71</v>
      </c>
      <c r="F149" s="18">
        <f t="shared" ref="F149:K149" si="19">F137</f>
        <v>0</v>
      </c>
      <c r="G149" s="18">
        <f t="shared" si="19"/>
        <v>0</v>
      </c>
      <c r="H149" s="18">
        <f t="shared" si="19"/>
        <v>0</v>
      </c>
      <c r="I149" s="18">
        <f t="shared" si="19"/>
        <v>0</v>
      </c>
      <c r="J149" s="18">
        <f t="shared" si="19"/>
        <v>0</v>
      </c>
      <c r="K149" s="18">
        <f t="shared" si="19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9484179</v>
      </c>
      <c r="I150" s="18">
        <f>I18</f>
        <v>0</v>
      </c>
      <c r="J150" s="18">
        <f>J18</f>
        <v>8110159</v>
      </c>
      <c r="K150" s="18">
        <f>K18</f>
        <v>1374020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0">SUM(F141:F150)</f>
        <v>151085.63779788505</v>
      </c>
      <c r="G152" s="49">
        <f t="shared" si="20"/>
        <v>72704.681455661645</v>
      </c>
      <c r="H152" s="49">
        <f t="shared" si="20"/>
        <v>23650847.169984765</v>
      </c>
      <c r="I152" s="49">
        <f t="shared" si="20"/>
        <v>2392298.4360713251</v>
      </c>
      <c r="J152" s="49">
        <f t="shared" si="20"/>
        <v>8535937.9700000007</v>
      </c>
      <c r="K152" s="49">
        <f t="shared" si="20"/>
        <v>26379102.646056093</v>
      </c>
    </row>
    <row r="154" spans="1:11" ht="18" customHeight="1">
      <c r="A154" s="6" t="s">
        <v>168</v>
      </c>
      <c r="B154" s="2" t="s">
        <v>28</v>
      </c>
      <c r="F154" s="64">
        <f>K152/F121</f>
        <v>8.999824305927312E-2</v>
      </c>
    </row>
    <row r="155" spans="1:11" ht="18" customHeight="1">
      <c r="A155" s="6" t="s">
        <v>169</v>
      </c>
      <c r="B155" s="2" t="s">
        <v>72</v>
      </c>
      <c r="F155" s="64">
        <f>K152/F127</f>
        <v>1.6641462801369626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D2:H2"/>
    <mergeCell ref="B45:D45"/>
    <mergeCell ref="B46:D46"/>
    <mergeCell ref="B47:D47"/>
    <mergeCell ref="B34:D34"/>
    <mergeCell ref="C11:G11"/>
    <mergeCell ref="B41:C41"/>
    <mergeCell ref="B31:D31"/>
    <mergeCell ref="C5:G5"/>
    <mergeCell ref="C6:G6"/>
    <mergeCell ref="C7:G7"/>
    <mergeCell ref="C9:G9"/>
    <mergeCell ref="B135:D135"/>
    <mergeCell ref="B133:D133"/>
    <mergeCell ref="B13:H13"/>
    <mergeCell ref="B52:C52"/>
    <mergeCell ref="B90:C90"/>
    <mergeCell ref="B105:D105"/>
    <mergeCell ref="B44:D44"/>
    <mergeCell ref="B59:D59"/>
    <mergeCell ref="B62:D62"/>
    <mergeCell ref="B106:D106"/>
    <mergeCell ref="B94:D94"/>
    <mergeCell ref="B96:D96"/>
    <mergeCell ref="B53:D53"/>
    <mergeCell ref="B103:C103"/>
    <mergeCell ref="B55:D55"/>
    <mergeCell ref="B56:D56"/>
    <mergeCell ref="B95:D95"/>
    <mergeCell ref="B104:D104"/>
    <mergeCell ref="C10:G10"/>
    <mergeCell ref="B30:D30"/>
    <mergeCell ref="B134:D134"/>
    <mergeCell ref="B57:D57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80" zoomScaleNormal="50" zoomScaleSheetLayoutView="8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384</v>
      </c>
      <c r="D5" s="534"/>
      <c r="E5" s="534"/>
      <c r="F5" s="534"/>
      <c r="G5" s="535"/>
    </row>
    <row r="6" spans="1:11" ht="18" customHeight="1">
      <c r="B6" s="5" t="s">
        <v>3</v>
      </c>
      <c r="C6" s="655">
        <v>12</v>
      </c>
      <c r="D6" s="656"/>
      <c r="E6" s="656"/>
      <c r="F6" s="656"/>
      <c r="G6" s="657"/>
    </row>
    <row r="7" spans="1:11" ht="18" customHeight="1">
      <c r="B7" s="5" t="s">
        <v>4</v>
      </c>
      <c r="C7" s="640">
        <v>4685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323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322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321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17633133</v>
      </c>
      <c r="I18" s="55">
        <v>0</v>
      </c>
      <c r="J18" s="15">
        <v>15078534</v>
      </c>
      <c r="K18" s="16">
        <f>(H18+I18)-J18</f>
        <v>2554599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f>110+260+7+327+1350-317+254+153+19+358+10+39+49+499</f>
        <v>3118</v>
      </c>
      <c r="G21" s="54">
        <v>7672</v>
      </c>
      <c r="H21" s="15">
        <v>323666</v>
      </c>
      <c r="I21" s="55">
        <f t="shared" ref="I21:I34" si="0">H21*F$114</f>
        <v>188535.44500000001</v>
      </c>
      <c r="J21" s="15"/>
      <c r="K21" s="16">
        <f t="shared" ref="K21:K34" si="1">(H21+I21)-J21</f>
        <v>512201.44500000001</v>
      </c>
    </row>
    <row r="22" spans="1:11" ht="18" customHeight="1">
      <c r="A22" s="5" t="s">
        <v>76</v>
      </c>
      <c r="B22" t="s">
        <v>6</v>
      </c>
      <c r="F22" s="54">
        <f>317+80</f>
        <v>397</v>
      </c>
      <c r="G22" s="54">
        <f>1101+63</f>
        <v>1164</v>
      </c>
      <c r="H22" s="15">
        <f>19286+3021</f>
        <v>22307</v>
      </c>
      <c r="I22" s="55">
        <f t="shared" si="0"/>
        <v>12993.827500000001</v>
      </c>
      <c r="J22" s="15"/>
      <c r="K22" s="16">
        <f t="shared" si="1"/>
        <v>35300.827499999999</v>
      </c>
    </row>
    <row r="23" spans="1:11" ht="18" customHeight="1">
      <c r="A23" s="5" t="s">
        <v>77</v>
      </c>
      <c r="B23" t="s">
        <v>43</v>
      </c>
      <c r="F23" s="54"/>
      <c r="G23" s="54"/>
      <c r="H23" s="15"/>
      <c r="I23" s="55">
        <f t="shared" si="0"/>
        <v>0</v>
      </c>
      <c r="J23" s="15"/>
      <c r="K23" s="16">
        <f t="shared" si="1"/>
        <v>0</v>
      </c>
    </row>
    <row r="24" spans="1:11" ht="18" customHeight="1">
      <c r="A24" s="5" t="s">
        <v>78</v>
      </c>
      <c r="B24" t="s">
        <v>44</v>
      </c>
      <c r="F24" s="54">
        <f>165+171+4137+2476</f>
        <v>6949</v>
      </c>
      <c r="G24" s="54">
        <v>3767</v>
      </c>
      <c r="H24" s="15">
        <v>352836</v>
      </c>
      <c r="I24" s="55">
        <f t="shared" si="0"/>
        <v>205526.97</v>
      </c>
      <c r="J24" s="15"/>
      <c r="K24" s="16">
        <f t="shared" si="1"/>
        <v>558362.97</v>
      </c>
    </row>
    <row r="25" spans="1:11" ht="18" customHeight="1">
      <c r="A25" s="5" t="s">
        <v>79</v>
      </c>
      <c r="B25" t="s">
        <v>5</v>
      </c>
      <c r="F25" s="54"/>
      <c r="G25" s="54"/>
      <c r="H25" s="15"/>
      <c r="I25" s="55">
        <f t="shared" si="0"/>
        <v>0</v>
      </c>
      <c r="J25" s="15"/>
      <c r="K25" s="16">
        <f t="shared" si="1"/>
        <v>0</v>
      </c>
    </row>
    <row r="26" spans="1:11" ht="18" customHeight="1">
      <c r="A26" s="5" t="s">
        <v>80</v>
      </c>
      <c r="B26" t="s">
        <v>45</v>
      </c>
      <c r="F26" s="54"/>
      <c r="G26" s="54"/>
      <c r="H26" s="15"/>
      <c r="I26" s="55">
        <f t="shared" si="0"/>
        <v>0</v>
      </c>
      <c r="J26" s="15"/>
      <c r="K26" s="16">
        <f t="shared" si="1"/>
        <v>0</v>
      </c>
    </row>
    <row r="27" spans="1:11" ht="18" customHeight="1">
      <c r="A27" s="5" t="s">
        <v>81</v>
      </c>
      <c r="B27" t="s">
        <v>46</v>
      </c>
      <c r="F27" s="54"/>
      <c r="G27" s="54"/>
      <c r="H27" s="15"/>
      <c r="I27" s="55">
        <f t="shared" si="0"/>
        <v>0</v>
      </c>
      <c r="J27" s="15"/>
      <c r="K27" s="16">
        <f t="shared" si="1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15"/>
      <c r="I28" s="55">
        <f t="shared" si="0"/>
        <v>0</v>
      </c>
      <c r="J28" s="15"/>
      <c r="K28" s="16">
        <f t="shared" si="1"/>
        <v>0</v>
      </c>
    </row>
    <row r="29" spans="1:11" ht="18" customHeight="1">
      <c r="A29" s="5" t="s">
        <v>83</v>
      </c>
      <c r="B29" t="s">
        <v>48</v>
      </c>
      <c r="F29" s="54">
        <f>125+789+598+1967+8320+118+468+115+2192+319+1109+5526+953+249</f>
        <v>22848</v>
      </c>
      <c r="G29" s="54">
        <v>6190</v>
      </c>
      <c r="H29" s="15">
        <v>2094859</v>
      </c>
      <c r="I29" s="55">
        <f t="shared" si="0"/>
        <v>1220255.3674999999</v>
      </c>
      <c r="J29" s="15"/>
      <c r="K29" s="16">
        <f t="shared" si="1"/>
        <v>3315114.3674999997</v>
      </c>
    </row>
    <row r="30" spans="1:11" ht="18" customHeight="1">
      <c r="A30" s="5" t="s">
        <v>84</v>
      </c>
      <c r="B30" s="547"/>
      <c r="C30" s="548"/>
      <c r="D30" s="549"/>
      <c r="F30" s="54"/>
      <c r="G30" s="54"/>
      <c r="H30" s="15"/>
      <c r="I30" s="55">
        <f t="shared" si="0"/>
        <v>0</v>
      </c>
      <c r="J30" s="15"/>
      <c r="K30" s="16">
        <f t="shared" si="1"/>
        <v>0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 t="shared" si="0"/>
        <v>0</v>
      </c>
      <c r="J31" s="15"/>
      <c r="K31" s="16">
        <f t="shared" si="1"/>
        <v>0</v>
      </c>
    </row>
    <row r="32" spans="1:11" ht="18" customHeight="1">
      <c r="A32" s="5" t="s">
        <v>134</v>
      </c>
      <c r="B32" s="68"/>
      <c r="C32" s="69"/>
      <c r="D32" s="70"/>
      <c r="F32" s="54"/>
      <c r="G32" s="52" t="s">
        <v>85</v>
      </c>
      <c r="H32" s="15"/>
      <c r="I32" s="55">
        <f t="shared" si="0"/>
        <v>0</v>
      </c>
      <c r="J32" s="15"/>
      <c r="K32" s="16">
        <f t="shared" si="1"/>
        <v>0</v>
      </c>
    </row>
    <row r="33" spans="1:11" ht="18" customHeight="1">
      <c r="A33" s="5" t="s">
        <v>135</v>
      </c>
      <c r="B33" s="68"/>
      <c r="C33" s="69"/>
      <c r="D33" s="70"/>
      <c r="F33" s="54"/>
      <c r="G33" s="52" t="s">
        <v>85</v>
      </c>
      <c r="H33" s="15"/>
      <c r="I33" s="55">
        <f t="shared" si="0"/>
        <v>0</v>
      </c>
      <c r="J33" s="15"/>
      <c r="K33" s="16">
        <f t="shared" si="1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 t="shared" si="0"/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33312</v>
      </c>
      <c r="G36" s="18">
        <f t="shared" si="2"/>
        <v>18793</v>
      </c>
      <c r="H36" s="18">
        <f t="shared" si="2"/>
        <v>2793668</v>
      </c>
      <c r="I36" s="16">
        <f t="shared" si="2"/>
        <v>1627311.6099999999</v>
      </c>
      <c r="J36" s="16">
        <f t="shared" si="2"/>
        <v>0</v>
      </c>
      <c r="K36" s="16">
        <f t="shared" si="2"/>
        <v>4420979.6099999994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>
        <v>375347</v>
      </c>
      <c r="G40" s="54"/>
      <c r="H40" s="15">
        <v>12482110</v>
      </c>
      <c r="I40" s="55">
        <f>H40*F$114</f>
        <v>7270829.0750000002</v>
      </c>
      <c r="J40" s="15"/>
      <c r="K40" s="16">
        <f t="shared" ref="K40:K47" si="3">(H40+I40)-J40</f>
        <v>19752939.074999999</v>
      </c>
    </row>
    <row r="41" spans="1:11" ht="18" customHeight="1">
      <c r="A41" s="5" t="s">
        <v>88</v>
      </c>
      <c r="B41" s="550" t="s">
        <v>50</v>
      </c>
      <c r="C41" s="551"/>
      <c r="F41" s="54">
        <v>4388</v>
      </c>
      <c r="G41" s="54"/>
      <c r="H41" s="15">
        <v>195680</v>
      </c>
      <c r="I41" s="55">
        <f>H41*F$114</f>
        <v>113983.6</v>
      </c>
      <c r="J41" s="15"/>
      <c r="K41" s="16">
        <f t="shared" si="3"/>
        <v>309663.59999999998</v>
      </c>
    </row>
    <row r="42" spans="1:11" ht="18" customHeight="1">
      <c r="A42" s="5" t="s">
        <v>89</v>
      </c>
      <c r="B42" s="1" t="s">
        <v>11</v>
      </c>
      <c r="F42" s="54">
        <f>56+26+2720</f>
        <v>2802</v>
      </c>
      <c r="G42" s="54">
        <v>67</v>
      </c>
      <c r="H42" s="15">
        <v>57856</v>
      </c>
      <c r="I42" s="55">
        <f>H42*F$114</f>
        <v>33701.120000000003</v>
      </c>
      <c r="J42" s="15"/>
      <c r="K42" s="16">
        <f t="shared" si="3"/>
        <v>91557.119999999995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>
        <v>0</v>
      </c>
      <c r="I43" s="55">
        <f>H43*F$114</f>
        <v>0</v>
      </c>
      <c r="J43" s="15"/>
      <c r="K43" s="16">
        <f t="shared" si="3"/>
        <v>0</v>
      </c>
    </row>
    <row r="44" spans="1:11" ht="18" customHeight="1">
      <c r="A44" s="5" t="s">
        <v>91</v>
      </c>
      <c r="B44" s="547"/>
      <c r="C44" s="548"/>
      <c r="D44" s="549"/>
      <c r="F44" s="54"/>
      <c r="G44" s="54"/>
      <c r="H44" s="54"/>
      <c r="I44" s="55">
        <v>0</v>
      </c>
      <c r="J44" s="54"/>
      <c r="K44" s="56">
        <f t="shared" si="3"/>
        <v>0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3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3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3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382537</v>
      </c>
      <c r="G49" s="23">
        <f t="shared" si="4"/>
        <v>67</v>
      </c>
      <c r="H49" s="16">
        <f t="shared" si="4"/>
        <v>12735646</v>
      </c>
      <c r="I49" s="16">
        <f t="shared" si="4"/>
        <v>7418513.7949999999</v>
      </c>
      <c r="J49" s="16">
        <f t="shared" si="4"/>
        <v>0</v>
      </c>
      <c r="K49" s="16">
        <f t="shared" si="4"/>
        <v>20154159.795000002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 t="s">
        <v>318</v>
      </c>
      <c r="C53" s="559"/>
      <c r="D53" s="532"/>
      <c r="F53" s="54"/>
      <c r="G53" s="54"/>
      <c r="H53" s="15">
        <v>5185671</v>
      </c>
      <c r="I53" s="55">
        <f>H53*F$114</f>
        <v>3020653.3574999999</v>
      </c>
      <c r="J53" s="15"/>
      <c r="K53" s="16">
        <f t="shared" ref="K53:K62" si="5">(H53+I53)-J53</f>
        <v>8206324.3574999999</v>
      </c>
    </row>
    <row r="54" spans="1:11" ht="18" customHeight="1">
      <c r="A54" s="5" t="s">
        <v>93</v>
      </c>
      <c r="B54" s="65" t="s">
        <v>320</v>
      </c>
      <c r="C54" s="66"/>
      <c r="D54" s="67"/>
      <c r="F54" s="54"/>
      <c r="G54" s="54"/>
      <c r="H54" s="15">
        <v>1171850</v>
      </c>
      <c r="I54" s="55">
        <f>H54*F$114</f>
        <v>682602.625</v>
      </c>
      <c r="J54" s="15"/>
      <c r="K54" s="16">
        <f t="shared" si="5"/>
        <v>1854452.625</v>
      </c>
    </row>
    <row r="55" spans="1:11" ht="18" customHeight="1">
      <c r="A55" s="5" t="s">
        <v>94</v>
      </c>
      <c r="B55" s="530" t="s">
        <v>238</v>
      </c>
      <c r="C55" s="531"/>
      <c r="D55" s="532"/>
      <c r="F55" s="54"/>
      <c r="G55" s="54"/>
      <c r="H55" s="15">
        <v>1398295</v>
      </c>
      <c r="I55" s="55">
        <v>0</v>
      </c>
      <c r="J55" s="15"/>
      <c r="K55" s="16">
        <f t="shared" si="5"/>
        <v>1398295</v>
      </c>
    </row>
    <row r="56" spans="1:11" ht="18" customHeight="1">
      <c r="A56" s="5" t="s">
        <v>95</v>
      </c>
      <c r="B56" s="530" t="s">
        <v>383</v>
      </c>
      <c r="C56" s="531"/>
      <c r="D56" s="532"/>
      <c r="F56" s="54" t="s">
        <v>740</v>
      </c>
      <c r="G56" s="54"/>
      <c r="H56" s="15">
        <v>1144288</v>
      </c>
      <c r="I56" s="55">
        <f t="shared" ref="I56:I62" si="6">H56*F$114</f>
        <v>666547.76</v>
      </c>
      <c r="J56" s="15"/>
      <c r="K56" s="16">
        <f t="shared" si="5"/>
        <v>1810835.76</v>
      </c>
    </row>
    <row r="57" spans="1:11" ht="18" customHeight="1">
      <c r="A57" s="5" t="s">
        <v>96</v>
      </c>
      <c r="B57" s="530" t="s">
        <v>382</v>
      </c>
      <c r="C57" s="531"/>
      <c r="D57" s="532"/>
      <c r="F57" s="54">
        <v>7286</v>
      </c>
      <c r="G57" s="54">
        <v>2949</v>
      </c>
      <c r="H57" s="15">
        <v>326746</v>
      </c>
      <c r="I57" s="55">
        <f t="shared" si="6"/>
        <v>190329.54500000001</v>
      </c>
      <c r="J57" s="15"/>
      <c r="K57" s="16">
        <f t="shared" si="5"/>
        <v>517075.54500000004</v>
      </c>
    </row>
    <row r="58" spans="1:11" ht="18" customHeight="1">
      <c r="A58" s="5" t="s">
        <v>97</v>
      </c>
      <c r="B58" s="65" t="s">
        <v>381</v>
      </c>
      <c r="C58" s="66"/>
      <c r="D58" s="67"/>
      <c r="F58" s="54">
        <v>4080</v>
      </c>
      <c r="G58" s="54">
        <v>510</v>
      </c>
      <c r="H58" s="15">
        <v>284881</v>
      </c>
      <c r="I58" s="55">
        <f t="shared" si="6"/>
        <v>165943.1825</v>
      </c>
      <c r="J58" s="15"/>
      <c r="K58" s="16">
        <f t="shared" si="5"/>
        <v>450824.1825</v>
      </c>
    </row>
    <row r="59" spans="1:11" ht="18" customHeight="1">
      <c r="A59" s="5" t="s">
        <v>98</v>
      </c>
      <c r="B59" s="530" t="s">
        <v>380</v>
      </c>
      <c r="C59" s="531"/>
      <c r="D59" s="532"/>
      <c r="F59" s="54"/>
      <c r="G59" s="54"/>
      <c r="H59" s="15">
        <v>600406</v>
      </c>
      <c r="I59" s="55">
        <f t="shared" si="6"/>
        <v>349736.495</v>
      </c>
      <c r="J59" s="15"/>
      <c r="K59" s="16">
        <f t="shared" si="5"/>
        <v>950142.495</v>
      </c>
    </row>
    <row r="60" spans="1:11" ht="18" customHeight="1">
      <c r="A60" s="5" t="s">
        <v>99</v>
      </c>
      <c r="B60" s="65" t="s">
        <v>379</v>
      </c>
      <c r="C60" s="66"/>
      <c r="D60" s="67"/>
      <c r="F60" s="54">
        <v>5580</v>
      </c>
      <c r="G60" s="54"/>
      <c r="H60" s="15">
        <v>237596</v>
      </c>
      <c r="I60" s="55">
        <f t="shared" si="6"/>
        <v>138399.67000000001</v>
      </c>
      <c r="J60" s="15"/>
      <c r="K60" s="16">
        <f t="shared" si="5"/>
        <v>375995.67000000004</v>
      </c>
    </row>
    <row r="61" spans="1:11" ht="18" customHeight="1">
      <c r="A61" s="5" t="s">
        <v>100</v>
      </c>
      <c r="B61" s="65" t="s">
        <v>378</v>
      </c>
      <c r="C61" s="66"/>
      <c r="D61" s="67"/>
      <c r="F61" s="54">
        <v>62556</v>
      </c>
      <c r="G61" s="54">
        <v>30222</v>
      </c>
      <c r="H61" s="15">
        <v>2119298</v>
      </c>
      <c r="I61" s="55">
        <f t="shared" si="6"/>
        <v>1234491.085</v>
      </c>
      <c r="J61" s="15"/>
      <c r="K61" s="16">
        <f t="shared" si="5"/>
        <v>3353789.085</v>
      </c>
    </row>
    <row r="62" spans="1:11" ht="18" customHeight="1">
      <c r="A62" s="5" t="s">
        <v>101</v>
      </c>
      <c r="B62" s="530" t="s">
        <v>377</v>
      </c>
      <c r="C62" s="531"/>
      <c r="D62" s="532"/>
      <c r="F62" s="54"/>
      <c r="G62" s="54"/>
      <c r="H62" s="15">
        <f>364849+213602</f>
        <v>578451</v>
      </c>
      <c r="I62" s="55">
        <f t="shared" si="6"/>
        <v>336947.70750000002</v>
      </c>
      <c r="J62" s="15"/>
      <c r="K62" s="16">
        <f t="shared" si="5"/>
        <v>915398.70750000002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7">SUM(F53:F62)</f>
        <v>79502</v>
      </c>
      <c r="G64" s="18">
        <f t="shared" si="7"/>
        <v>33681</v>
      </c>
      <c r="H64" s="16">
        <f t="shared" si="7"/>
        <v>13047482</v>
      </c>
      <c r="I64" s="16">
        <f t="shared" si="7"/>
        <v>6785651.4275000002</v>
      </c>
      <c r="J64" s="16">
        <f t="shared" si="7"/>
        <v>0</v>
      </c>
      <c r="K64" s="16">
        <f t="shared" si="7"/>
        <v>19833133.427499998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/>
      <c r="G68" s="51"/>
      <c r="H68" s="36">
        <v>300000</v>
      </c>
      <c r="I68" s="55">
        <f>H68*F$114</f>
        <v>174750</v>
      </c>
      <c r="J68" s="51"/>
      <c r="K68" s="16">
        <f>(H68+I68)-J68</f>
        <v>474750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65" t="s">
        <v>317</v>
      </c>
      <c r="C70" s="66"/>
      <c r="D70" s="67"/>
      <c r="E70" s="2"/>
      <c r="F70" s="35">
        <v>4466</v>
      </c>
      <c r="G70" s="35"/>
      <c r="H70" s="36">
        <v>158480</v>
      </c>
      <c r="I70" s="55">
        <f>H70*F$114</f>
        <v>92314.6</v>
      </c>
      <c r="J70" s="36"/>
      <c r="K70" s="16">
        <f>(H70+I70)-J70</f>
        <v>250794.6</v>
      </c>
    </row>
    <row r="71" spans="1:11" ht="18" customHeight="1">
      <c r="A71" s="5" t="s">
        <v>179</v>
      </c>
      <c r="B71" s="65" t="s">
        <v>316</v>
      </c>
      <c r="C71" s="66"/>
      <c r="D71" s="67"/>
      <c r="E71" s="2"/>
      <c r="F71" s="35">
        <v>6042</v>
      </c>
      <c r="G71" s="35"/>
      <c r="H71" s="36">
        <v>309472</v>
      </c>
      <c r="I71" s="55">
        <f>H71*F$114</f>
        <v>180267.44</v>
      </c>
      <c r="J71" s="36"/>
      <c r="K71" s="16">
        <f>(H71+I71)-J71</f>
        <v>489739.44</v>
      </c>
    </row>
    <row r="72" spans="1:11" ht="18" customHeight="1">
      <c r="A72" s="5" t="s">
        <v>180</v>
      </c>
      <c r="B72" s="71"/>
      <c r="C72" s="72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8">SUM(F68:F72)</f>
        <v>10508</v>
      </c>
      <c r="G74" s="21">
        <f t="shared" si="8"/>
        <v>0</v>
      </c>
      <c r="H74" s="21">
        <f t="shared" si="8"/>
        <v>767952</v>
      </c>
      <c r="I74" s="53">
        <f t="shared" si="8"/>
        <v>447332.04</v>
      </c>
      <c r="J74" s="21">
        <f t="shared" si="8"/>
        <v>0</v>
      </c>
      <c r="K74" s="56">
        <f t="shared" si="8"/>
        <v>1215284.04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/>
      <c r="G77" s="54"/>
      <c r="H77" s="15">
        <f>107005</f>
        <v>107005</v>
      </c>
      <c r="I77" s="55">
        <v>0</v>
      </c>
      <c r="J77" s="15"/>
      <c r="K77" s="16">
        <f>(H77+I77)-J77</f>
        <v>107005</v>
      </c>
    </row>
    <row r="78" spans="1:11" ht="18" customHeight="1">
      <c r="A78" s="5" t="s">
        <v>108</v>
      </c>
      <c r="B78" s="1" t="s">
        <v>55</v>
      </c>
      <c r="F78" s="54"/>
      <c r="G78" s="54"/>
      <c r="H78" s="15">
        <v>9210</v>
      </c>
      <c r="I78" s="55">
        <v>0</v>
      </c>
      <c r="J78" s="15"/>
      <c r="K78" s="16">
        <f>(H78+I78)-J78</f>
        <v>9210</v>
      </c>
    </row>
    <row r="79" spans="1:11" ht="18" customHeight="1">
      <c r="A79" s="5" t="s">
        <v>109</v>
      </c>
      <c r="B79" s="1" t="s">
        <v>13</v>
      </c>
      <c r="F79" s="54">
        <f>451+40</f>
        <v>491</v>
      </c>
      <c r="G79" s="54">
        <v>325</v>
      </c>
      <c r="H79" s="15">
        <v>335125</v>
      </c>
      <c r="I79" s="55">
        <v>0</v>
      </c>
      <c r="J79" s="15"/>
      <c r="K79" s="16">
        <f>(H79+I79)-J79</f>
        <v>335125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9">SUM(F77:F80)</f>
        <v>491</v>
      </c>
      <c r="G82" s="21">
        <f t="shared" si="9"/>
        <v>325</v>
      </c>
      <c r="H82" s="56">
        <f t="shared" si="9"/>
        <v>451340</v>
      </c>
      <c r="I82" s="56">
        <f t="shared" si="9"/>
        <v>0</v>
      </c>
      <c r="J82" s="56">
        <f t="shared" si="9"/>
        <v>0</v>
      </c>
      <c r="K82" s="56">
        <f t="shared" si="9"/>
        <v>451340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f t="shared" ref="I86:I96" si="10">H86*F$114</f>
        <v>0</v>
      </c>
      <c r="J86" s="15"/>
      <c r="K86" s="16">
        <f t="shared" ref="K86:K96" si="11">(H86+I86)-J86</f>
        <v>0</v>
      </c>
    </row>
    <row r="87" spans="1:11" ht="18" customHeight="1">
      <c r="A87" s="5" t="s">
        <v>114</v>
      </c>
      <c r="B87" s="1" t="s">
        <v>14</v>
      </c>
      <c r="F87" s="54"/>
      <c r="G87" s="54"/>
      <c r="H87" s="15"/>
      <c r="I87" s="55">
        <f t="shared" si="10"/>
        <v>0</v>
      </c>
      <c r="J87" s="15"/>
      <c r="K87" s="16">
        <f t="shared" si="11"/>
        <v>0</v>
      </c>
    </row>
    <row r="88" spans="1:11" ht="18" customHeight="1">
      <c r="A88" s="5" t="s">
        <v>115</v>
      </c>
      <c r="B88" s="1" t="s">
        <v>116</v>
      </c>
      <c r="F88" s="54"/>
      <c r="G88" s="54"/>
      <c r="H88" s="15">
        <v>1657</v>
      </c>
      <c r="I88" s="55">
        <f t="shared" si="10"/>
        <v>965.20249999999999</v>
      </c>
      <c r="J88" s="15"/>
      <c r="K88" s="16">
        <f t="shared" si="11"/>
        <v>2622.2024999999999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 t="shared" si="10"/>
        <v>0</v>
      </c>
      <c r="J89" s="15"/>
      <c r="K89" s="16">
        <f t="shared" si="11"/>
        <v>0</v>
      </c>
    </row>
    <row r="90" spans="1:11" ht="18" customHeight="1">
      <c r="A90" s="5" t="s">
        <v>118</v>
      </c>
      <c r="B90" s="550" t="s">
        <v>59</v>
      </c>
      <c r="C90" s="551"/>
      <c r="F90" s="54"/>
      <c r="G90" s="54"/>
      <c r="H90" s="15"/>
      <c r="I90" s="55">
        <f t="shared" si="10"/>
        <v>0</v>
      </c>
      <c r="J90" s="15"/>
      <c r="K90" s="16">
        <f t="shared" si="11"/>
        <v>0</v>
      </c>
    </row>
    <row r="91" spans="1:11" ht="18" customHeight="1">
      <c r="A91" s="5" t="s">
        <v>119</v>
      </c>
      <c r="B91" s="1" t="s">
        <v>60</v>
      </c>
      <c r="F91" s="54">
        <f>36+26</f>
        <v>62</v>
      </c>
      <c r="G91" s="54">
        <v>144</v>
      </c>
      <c r="H91" s="15">
        <v>3957</v>
      </c>
      <c r="I91" s="55">
        <f t="shared" si="10"/>
        <v>2304.9524999999999</v>
      </c>
      <c r="J91" s="15"/>
      <c r="K91" s="16">
        <f t="shared" si="11"/>
        <v>6261.9524999999994</v>
      </c>
    </row>
    <row r="92" spans="1:11" ht="18" customHeight="1">
      <c r="A92" s="5" t="s">
        <v>120</v>
      </c>
      <c r="B92" s="1" t="s">
        <v>121</v>
      </c>
      <c r="F92" s="38"/>
      <c r="G92" s="38"/>
      <c r="H92" s="39"/>
      <c r="I92" s="55">
        <f t="shared" si="10"/>
        <v>0</v>
      </c>
      <c r="J92" s="39"/>
      <c r="K92" s="16">
        <f t="shared" si="11"/>
        <v>0</v>
      </c>
    </row>
    <row r="93" spans="1:11" ht="18" customHeight="1">
      <c r="A93" s="5" t="s">
        <v>122</v>
      </c>
      <c r="B93" s="1" t="s">
        <v>123</v>
      </c>
      <c r="F93" s="54">
        <f>3240+120</f>
        <v>3360</v>
      </c>
      <c r="G93" s="54">
        <v>2929</v>
      </c>
      <c r="H93" s="15">
        <v>244446</v>
      </c>
      <c r="I93" s="55">
        <f t="shared" si="10"/>
        <v>142389.79500000001</v>
      </c>
      <c r="J93" s="15"/>
      <c r="K93" s="16">
        <f t="shared" si="11"/>
        <v>386835.79500000004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f t="shared" si="10"/>
        <v>0</v>
      </c>
      <c r="J94" s="15"/>
      <c r="K94" s="16">
        <f t="shared" si="11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10"/>
        <v>0</v>
      </c>
      <c r="J95" s="15"/>
      <c r="K95" s="16">
        <f t="shared" si="11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10"/>
        <v>0</v>
      </c>
      <c r="J96" s="15"/>
      <c r="K96" s="16">
        <f t="shared" si="11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2">SUM(F86:F96)</f>
        <v>3422</v>
      </c>
      <c r="G98" s="18">
        <f t="shared" si="12"/>
        <v>3073</v>
      </c>
      <c r="H98" s="18">
        <f t="shared" si="12"/>
        <v>250060</v>
      </c>
      <c r="I98" s="18">
        <f t="shared" si="12"/>
        <v>145659.95000000001</v>
      </c>
      <c r="J98" s="18">
        <f t="shared" si="12"/>
        <v>0</v>
      </c>
      <c r="K98" s="18">
        <f t="shared" si="12"/>
        <v>395719.95000000007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>
        <f>6428</f>
        <v>6428</v>
      </c>
      <c r="G102" s="54"/>
      <c r="H102" s="15">
        <v>272631</v>
      </c>
      <c r="I102" s="55">
        <f>H102*F$114</f>
        <v>158807.5575</v>
      </c>
      <c r="J102" s="15"/>
      <c r="K102" s="16">
        <f>(H102+I102)-J102</f>
        <v>431438.5575</v>
      </c>
    </row>
    <row r="103" spans="1:11" ht="18" customHeight="1">
      <c r="A103" s="5" t="s">
        <v>132</v>
      </c>
      <c r="B103" s="550" t="s">
        <v>62</v>
      </c>
      <c r="C103" s="550"/>
      <c r="F103" s="54"/>
      <c r="G103" s="54"/>
      <c r="H103" s="15"/>
      <c r="I103" s="55">
        <f>H103*F$114</f>
        <v>0</v>
      </c>
      <c r="J103" s="15"/>
      <c r="K103" s="16">
        <f>(H103+I103)-J103</f>
        <v>0</v>
      </c>
    </row>
    <row r="104" spans="1:11" ht="18" customHeight="1">
      <c r="A104" s="5" t="s">
        <v>128</v>
      </c>
      <c r="B104" s="530"/>
      <c r="C104" s="531"/>
      <c r="D104" s="532"/>
      <c r="F104" s="54"/>
      <c r="G104" s="54"/>
      <c r="H104" s="15"/>
      <c r="I104" s="55">
        <f>H104*F$114</f>
        <v>0</v>
      </c>
      <c r="J104" s="15"/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3">SUM(F102:F106)</f>
        <v>6428</v>
      </c>
      <c r="G108" s="18">
        <f t="shared" si="13"/>
        <v>0</v>
      </c>
      <c r="H108" s="16">
        <f t="shared" si="13"/>
        <v>272631</v>
      </c>
      <c r="I108" s="16">
        <f t="shared" si="13"/>
        <v>158807.5575</v>
      </c>
      <c r="J108" s="16">
        <f t="shared" si="13"/>
        <v>0</v>
      </c>
      <c r="K108" s="16">
        <f t="shared" si="13"/>
        <v>431438.5575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11933267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0.58250000000000002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664385000</v>
      </c>
    </row>
    <row r="118" spans="1:6" ht="18" customHeight="1">
      <c r="A118" s="5" t="s">
        <v>173</v>
      </c>
      <c r="B118" t="s">
        <v>18</v>
      </c>
      <c r="F118" s="15">
        <f>2688000+44096000</f>
        <v>46784000</v>
      </c>
    </row>
    <row r="119" spans="1:6" ht="18" customHeight="1">
      <c r="A119" s="5" t="s">
        <v>174</v>
      </c>
      <c r="B119" s="2" t="s">
        <v>19</v>
      </c>
      <c r="F119" s="56">
        <f>SUM(F117:F118)</f>
        <v>711169000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691053000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f>F119-F121</f>
        <v>20116000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3014000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f>F123+F125</f>
        <v>23130000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4">SUM(F131:F135)</f>
        <v>0</v>
      </c>
      <c r="G137" s="18">
        <f t="shared" si="14"/>
        <v>0</v>
      </c>
      <c r="H137" s="16">
        <f t="shared" si="14"/>
        <v>0</v>
      </c>
      <c r="I137" s="16">
        <f t="shared" si="14"/>
        <v>0</v>
      </c>
      <c r="J137" s="16">
        <f t="shared" si="14"/>
        <v>0</v>
      </c>
      <c r="K137" s="16">
        <f t="shared" si="14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5">F36</f>
        <v>33312</v>
      </c>
      <c r="G141" s="41">
        <f t="shared" si="15"/>
        <v>18793</v>
      </c>
      <c r="H141" s="41">
        <f t="shared" si="15"/>
        <v>2793668</v>
      </c>
      <c r="I141" s="41">
        <f t="shared" si="15"/>
        <v>1627311.6099999999</v>
      </c>
      <c r="J141" s="41">
        <f t="shared" si="15"/>
        <v>0</v>
      </c>
      <c r="K141" s="41">
        <f t="shared" si="15"/>
        <v>4420979.6099999994</v>
      </c>
    </row>
    <row r="142" spans="1:11" ht="18" customHeight="1">
      <c r="A142" s="5" t="s">
        <v>142</v>
      </c>
      <c r="B142" s="2" t="s">
        <v>65</v>
      </c>
      <c r="F142" s="41">
        <f t="shared" ref="F142:K142" si="16">F49</f>
        <v>382537</v>
      </c>
      <c r="G142" s="41">
        <f t="shared" si="16"/>
        <v>67</v>
      </c>
      <c r="H142" s="41">
        <f t="shared" si="16"/>
        <v>12735646</v>
      </c>
      <c r="I142" s="41">
        <f t="shared" si="16"/>
        <v>7418513.7949999999</v>
      </c>
      <c r="J142" s="41">
        <f t="shared" si="16"/>
        <v>0</v>
      </c>
      <c r="K142" s="41">
        <f t="shared" si="16"/>
        <v>20154159.795000002</v>
      </c>
    </row>
    <row r="143" spans="1:11" ht="18" customHeight="1">
      <c r="A143" s="5" t="s">
        <v>144</v>
      </c>
      <c r="B143" s="2" t="s">
        <v>66</v>
      </c>
      <c r="F143" s="41">
        <f t="shared" ref="F143:K143" si="17">F64</f>
        <v>79502</v>
      </c>
      <c r="G143" s="41">
        <f t="shared" si="17"/>
        <v>33681</v>
      </c>
      <c r="H143" s="41">
        <f t="shared" si="17"/>
        <v>13047482</v>
      </c>
      <c r="I143" s="41">
        <f t="shared" si="17"/>
        <v>6785651.4275000002</v>
      </c>
      <c r="J143" s="41">
        <f t="shared" si="17"/>
        <v>0</v>
      </c>
      <c r="K143" s="41">
        <f t="shared" si="17"/>
        <v>19833133.427499998</v>
      </c>
    </row>
    <row r="144" spans="1:11" ht="18" customHeight="1">
      <c r="A144" s="5" t="s">
        <v>146</v>
      </c>
      <c r="B144" s="2" t="s">
        <v>67</v>
      </c>
      <c r="F144" s="41">
        <f t="shared" ref="F144:K144" si="18">F74</f>
        <v>10508</v>
      </c>
      <c r="G144" s="41">
        <f t="shared" si="18"/>
        <v>0</v>
      </c>
      <c r="H144" s="41">
        <f t="shared" si="18"/>
        <v>767952</v>
      </c>
      <c r="I144" s="41">
        <f t="shared" si="18"/>
        <v>447332.04</v>
      </c>
      <c r="J144" s="41">
        <f t="shared" si="18"/>
        <v>0</v>
      </c>
      <c r="K144" s="41">
        <f t="shared" si="18"/>
        <v>1215284.04</v>
      </c>
    </row>
    <row r="145" spans="1:11" ht="18" customHeight="1">
      <c r="A145" s="5" t="s">
        <v>148</v>
      </c>
      <c r="B145" s="2" t="s">
        <v>68</v>
      </c>
      <c r="F145" s="41">
        <f t="shared" ref="F145:K145" si="19">F82</f>
        <v>491</v>
      </c>
      <c r="G145" s="41">
        <f t="shared" si="19"/>
        <v>325</v>
      </c>
      <c r="H145" s="41">
        <f t="shared" si="19"/>
        <v>451340</v>
      </c>
      <c r="I145" s="41">
        <f t="shared" si="19"/>
        <v>0</v>
      </c>
      <c r="J145" s="41">
        <f t="shared" si="19"/>
        <v>0</v>
      </c>
      <c r="K145" s="41">
        <f t="shared" si="19"/>
        <v>451340</v>
      </c>
    </row>
    <row r="146" spans="1:11" ht="18" customHeight="1">
      <c r="A146" s="5" t="s">
        <v>150</v>
      </c>
      <c r="B146" s="2" t="s">
        <v>69</v>
      </c>
      <c r="F146" s="41">
        <f t="shared" ref="F146:K146" si="20">F98</f>
        <v>3422</v>
      </c>
      <c r="G146" s="41">
        <f t="shared" si="20"/>
        <v>3073</v>
      </c>
      <c r="H146" s="41">
        <f t="shared" si="20"/>
        <v>250060</v>
      </c>
      <c r="I146" s="41">
        <f t="shared" si="20"/>
        <v>145659.95000000001</v>
      </c>
      <c r="J146" s="41">
        <f t="shared" si="20"/>
        <v>0</v>
      </c>
      <c r="K146" s="41">
        <f t="shared" si="20"/>
        <v>395719.95000000007</v>
      </c>
    </row>
    <row r="147" spans="1:11" ht="18" customHeight="1">
      <c r="A147" s="5" t="s">
        <v>153</v>
      </c>
      <c r="B147" s="2" t="s">
        <v>61</v>
      </c>
      <c r="F147" s="18">
        <f t="shared" ref="F147:K147" si="21">F108</f>
        <v>6428</v>
      </c>
      <c r="G147" s="18">
        <f t="shared" si="21"/>
        <v>0</v>
      </c>
      <c r="H147" s="18">
        <f t="shared" si="21"/>
        <v>272631</v>
      </c>
      <c r="I147" s="18">
        <f t="shared" si="21"/>
        <v>158807.5575</v>
      </c>
      <c r="J147" s="18">
        <f t="shared" si="21"/>
        <v>0</v>
      </c>
      <c r="K147" s="18">
        <f t="shared" si="21"/>
        <v>431438.5575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11933267</v>
      </c>
    </row>
    <row r="149" spans="1:11" ht="18" customHeight="1">
      <c r="A149" s="5" t="s">
        <v>163</v>
      </c>
      <c r="B149" s="2" t="s">
        <v>71</v>
      </c>
      <c r="F149" s="18">
        <f t="shared" ref="F149:K149" si="22">F137</f>
        <v>0</v>
      </c>
      <c r="G149" s="18">
        <f t="shared" si="22"/>
        <v>0</v>
      </c>
      <c r="H149" s="18">
        <f t="shared" si="22"/>
        <v>0</v>
      </c>
      <c r="I149" s="18">
        <f t="shared" si="22"/>
        <v>0</v>
      </c>
      <c r="J149" s="18">
        <f t="shared" si="22"/>
        <v>0</v>
      </c>
      <c r="K149" s="18">
        <f t="shared" si="22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17633133</v>
      </c>
      <c r="I150" s="18">
        <f>I18</f>
        <v>0</v>
      </c>
      <c r="J150" s="18">
        <f>J18</f>
        <v>15078534</v>
      </c>
      <c r="K150" s="18">
        <f>K18</f>
        <v>2554599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3">SUM(F141:F150)</f>
        <v>516200</v>
      </c>
      <c r="G152" s="49">
        <f t="shared" si="23"/>
        <v>55939</v>
      </c>
      <c r="H152" s="49">
        <f t="shared" si="23"/>
        <v>47951912</v>
      </c>
      <c r="I152" s="49">
        <f t="shared" si="23"/>
        <v>16583276.379999997</v>
      </c>
      <c r="J152" s="49">
        <f t="shared" si="23"/>
        <v>15078534</v>
      </c>
      <c r="K152" s="49">
        <f t="shared" si="23"/>
        <v>61389921.379999995</v>
      </c>
    </row>
    <row r="154" spans="1:11" ht="18" customHeight="1">
      <c r="A154" s="6" t="s">
        <v>168</v>
      </c>
      <c r="B154" s="2" t="s">
        <v>28</v>
      </c>
      <c r="F154" s="64">
        <f>K152/F121</f>
        <v>8.8835330112162159E-2</v>
      </c>
    </row>
    <row r="155" spans="1:11" ht="18" customHeight="1">
      <c r="A155" s="6" t="s">
        <v>169</v>
      </c>
      <c r="B155" s="2" t="s">
        <v>72</v>
      </c>
      <c r="F155" s="64">
        <f>K152/F127</f>
        <v>2.65412543795936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D2:H2"/>
    <mergeCell ref="B45:D45"/>
    <mergeCell ref="C5:G5"/>
    <mergeCell ref="C6:G6"/>
    <mergeCell ref="C7:G7"/>
    <mergeCell ref="C9:G9"/>
    <mergeCell ref="C11:G11"/>
    <mergeCell ref="B41:C41"/>
    <mergeCell ref="B44:D44"/>
    <mergeCell ref="B13:H13"/>
    <mergeCell ref="C10:G10"/>
    <mergeCell ref="B30:D30"/>
    <mergeCell ref="B31:D31"/>
    <mergeCell ref="B34:D34"/>
    <mergeCell ref="B134:D134"/>
    <mergeCell ref="B135:D135"/>
    <mergeCell ref="B133:D133"/>
    <mergeCell ref="B104:D104"/>
    <mergeCell ref="B62:D62"/>
    <mergeCell ref="B52:C52"/>
    <mergeCell ref="B46:D46"/>
    <mergeCell ref="B105:D105"/>
    <mergeCell ref="B106:D106"/>
    <mergeCell ref="B94:D94"/>
    <mergeCell ref="B96:D96"/>
    <mergeCell ref="B95:D95"/>
    <mergeCell ref="B103:C103"/>
    <mergeCell ref="B47:D47"/>
    <mergeCell ref="B90:C90"/>
    <mergeCell ref="B53:D53"/>
    <mergeCell ref="B55:D55"/>
    <mergeCell ref="B56:D56"/>
    <mergeCell ref="B57:D57"/>
    <mergeCell ref="B59:D59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70" zoomScaleNormal="50" zoomScaleSheetLayoutView="7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630</v>
      </c>
      <c r="D5" s="534"/>
      <c r="E5" s="534"/>
      <c r="F5" s="534"/>
      <c r="G5" s="535"/>
    </row>
    <row r="6" spans="1:11" ht="18" customHeight="1">
      <c r="B6" s="5" t="s">
        <v>3</v>
      </c>
      <c r="C6" s="655">
        <v>61</v>
      </c>
      <c r="D6" s="656"/>
      <c r="E6" s="656"/>
      <c r="F6" s="656"/>
      <c r="G6" s="657"/>
    </row>
    <row r="7" spans="1:11" ht="18" customHeight="1">
      <c r="B7" s="5" t="s">
        <v>4</v>
      </c>
      <c r="C7" s="640">
        <v>811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629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628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627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2418053</v>
      </c>
      <c r="I18" s="55">
        <v>0</v>
      </c>
      <c r="J18" s="15">
        <v>2067737</v>
      </c>
      <c r="K18" s="16">
        <f>(H18+I18)-J18</f>
        <v>350316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82">
        <v>554</v>
      </c>
      <c r="G21" s="82">
        <v>26128</v>
      </c>
      <c r="H21" s="15">
        <v>193984</v>
      </c>
      <c r="I21" s="55">
        <f t="shared" ref="I21:I34" si="0">H21*F$114</f>
        <v>118337.45749966231</v>
      </c>
      <c r="J21" s="15">
        <v>3175</v>
      </c>
      <c r="K21" s="16">
        <f t="shared" ref="K21:K34" si="1">(H21+I21)-J21</f>
        <v>309146.4574996623</v>
      </c>
    </row>
    <row r="22" spans="1:11" ht="18" customHeight="1">
      <c r="A22" s="5" t="s">
        <v>76</v>
      </c>
      <c r="B22" t="s">
        <v>6</v>
      </c>
      <c r="F22" s="82"/>
      <c r="G22" s="82"/>
      <c r="H22" s="15"/>
      <c r="I22" s="55">
        <f t="shared" si="0"/>
        <v>0</v>
      </c>
      <c r="J22" s="15"/>
      <c r="K22" s="16">
        <f t="shared" si="1"/>
        <v>0</v>
      </c>
    </row>
    <row r="23" spans="1:11" ht="18" customHeight="1">
      <c r="A23" s="5" t="s">
        <v>77</v>
      </c>
      <c r="B23" t="s">
        <v>43</v>
      </c>
      <c r="F23" s="82"/>
      <c r="G23" s="82"/>
      <c r="H23" s="15"/>
      <c r="I23" s="55">
        <f t="shared" si="0"/>
        <v>0</v>
      </c>
      <c r="J23" s="15"/>
      <c r="K23" s="16">
        <f t="shared" si="1"/>
        <v>0</v>
      </c>
    </row>
    <row r="24" spans="1:11" ht="18" customHeight="1">
      <c r="A24" s="5" t="s">
        <v>78</v>
      </c>
      <c r="B24" t="s">
        <v>44</v>
      </c>
      <c r="F24" s="82">
        <v>342</v>
      </c>
      <c r="G24" s="82">
        <v>8004</v>
      </c>
      <c r="H24" s="15">
        <v>169036</v>
      </c>
      <c r="I24" s="55">
        <f t="shared" si="0"/>
        <v>103118.24926753195</v>
      </c>
      <c r="J24" s="15"/>
      <c r="K24" s="16">
        <f t="shared" si="1"/>
        <v>272154.24926753197</v>
      </c>
    </row>
    <row r="25" spans="1:11" ht="18" customHeight="1">
      <c r="A25" s="5" t="s">
        <v>79</v>
      </c>
      <c r="B25" t="s">
        <v>5</v>
      </c>
      <c r="F25" s="82"/>
      <c r="G25" s="82"/>
      <c r="H25" s="15"/>
      <c r="I25" s="55">
        <f t="shared" si="0"/>
        <v>0</v>
      </c>
      <c r="J25" s="15"/>
      <c r="K25" s="16">
        <f t="shared" si="1"/>
        <v>0</v>
      </c>
    </row>
    <row r="26" spans="1:11" ht="18" customHeight="1">
      <c r="A26" s="5" t="s">
        <v>80</v>
      </c>
      <c r="B26" t="s">
        <v>45</v>
      </c>
      <c r="F26" s="82"/>
      <c r="G26" s="82"/>
      <c r="H26" s="15"/>
      <c r="I26" s="55">
        <f t="shared" si="0"/>
        <v>0</v>
      </c>
      <c r="J26" s="15"/>
      <c r="K26" s="16">
        <f t="shared" si="1"/>
        <v>0</v>
      </c>
    </row>
    <row r="27" spans="1:11" ht="18" customHeight="1">
      <c r="A27" s="5" t="s">
        <v>81</v>
      </c>
      <c r="B27" t="s">
        <v>46</v>
      </c>
      <c r="F27" s="82"/>
      <c r="G27" s="82"/>
      <c r="H27" s="15"/>
      <c r="I27" s="55">
        <f t="shared" si="0"/>
        <v>0</v>
      </c>
      <c r="J27" s="15"/>
      <c r="K27" s="16">
        <f t="shared" si="1"/>
        <v>0</v>
      </c>
    </row>
    <row r="28" spans="1:11" ht="18" customHeight="1">
      <c r="A28" s="5" t="s">
        <v>82</v>
      </c>
      <c r="B28" t="s">
        <v>47</v>
      </c>
      <c r="F28" s="82"/>
      <c r="G28" s="82"/>
      <c r="H28" s="15"/>
      <c r="I28" s="55">
        <f t="shared" si="0"/>
        <v>0</v>
      </c>
      <c r="J28" s="15"/>
      <c r="K28" s="16">
        <f t="shared" si="1"/>
        <v>0</v>
      </c>
    </row>
    <row r="29" spans="1:11" ht="18" customHeight="1">
      <c r="A29" s="5" t="s">
        <v>83</v>
      </c>
      <c r="B29" t="s">
        <v>48</v>
      </c>
      <c r="F29" s="82">
        <v>147</v>
      </c>
      <c r="G29" s="82">
        <v>2131</v>
      </c>
      <c r="H29" s="15">
        <v>76313</v>
      </c>
      <c r="I29" s="55">
        <f t="shared" si="0"/>
        <v>46553.769352996795</v>
      </c>
      <c r="J29" s="15"/>
      <c r="K29" s="16">
        <f t="shared" si="1"/>
        <v>122866.76935299679</v>
      </c>
    </row>
    <row r="30" spans="1:11" ht="18" customHeight="1">
      <c r="A30" s="5" t="s">
        <v>84</v>
      </c>
      <c r="B30" s="547" t="s">
        <v>626</v>
      </c>
      <c r="C30" s="548"/>
      <c r="D30" s="549"/>
      <c r="F30" s="82">
        <v>1</v>
      </c>
      <c r="G30" s="82">
        <v>7</v>
      </c>
      <c r="H30" s="15">
        <v>9416</v>
      </c>
      <c r="I30" s="55">
        <f t="shared" si="0"/>
        <v>5744.1103380527275</v>
      </c>
      <c r="J30" s="15"/>
      <c r="K30" s="16">
        <f t="shared" si="1"/>
        <v>15160.110338052727</v>
      </c>
    </row>
    <row r="31" spans="1:11" ht="18" customHeight="1">
      <c r="A31" s="5" t="s">
        <v>133</v>
      </c>
      <c r="B31" s="547"/>
      <c r="C31" s="548"/>
      <c r="D31" s="549"/>
      <c r="F31" s="82"/>
      <c r="G31" s="82"/>
      <c r="H31" s="15"/>
      <c r="I31" s="55">
        <f t="shared" si="0"/>
        <v>0</v>
      </c>
      <c r="J31" s="15"/>
      <c r="K31" s="16">
        <f t="shared" si="1"/>
        <v>0</v>
      </c>
    </row>
    <row r="32" spans="1:11" ht="18" customHeight="1">
      <c r="A32" s="5" t="s">
        <v>134</v>
      </c>
      <c r="B32" s="284"/>
      <c r="C32" s="285"/>
      <c r="D32" s="286"/>
      <c r="F32" s="82"/>
      <c r="G32" s="52" t="s">
        <v>85</v>
      </c>
      <c r="H32" s="15"/>
      <c r="I32" s="55">
        <f t="shared" si="0"/>
        <v>0</v>
      </c>
      <c r="J32" s="15"/>
      <c r="K32" s="16">
        <f t="shared" si="1"/>
        <v>0</v>
      </c>
    </row>
    <row r="33" spans="1:11" ht="18" customHeight="1">
      <c r="A33" s="5" t="s">
        <v>135</v>
      </c>
      <c r="B33" s="284"/>
      <c r="C33" s="285"/>
      <c r="D33" s="286"/>
      <c r="F33" s="82"/>
      <c r="G33" s="52" t="s">
        <v>85</v>
      </c>
      <c r="H33" s="15"/>
      <c r="I33" s="55">
        <f t="shared" si="0"/>
        <v>0</v>
      </c>
      <c r="J33" s="15"/>
      <c r="K33" s="16">
        <f t="shared" si="1"/>
        <v>0</v>
      </c>
    </row>
    <row r="34" spans="1:11" ht="18" customHeight="1">
      <c r="A34" s="5" t="s">
        <v>136</v>
      </c>
      <c r="B34" s="547"/>
      <c r="C34" s="548"/>
      <c r="D34" s="549"/>
      <c r="F34" s="82"/>
      <c r="G34" s="52" t="s">
        <v>85</v>
      </c>
      <c r="H34" s="15"/>
      <c r="I34" s="55">
        <f t="shared" si="0"/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1044</v>
      </c>
      <c r="G36" s="18">
        <f t="shared" si="2"/>
        <v>36270</v>
      </c>
      <c r="H36" s="18">
        <f t="shared" si="2"/>
        <v>448749</v>
      </c>
      <c r="I36" s="16">
        <f t="shared" si="2"/>
        <v>273753.58645824378</v>
      </c>
      <c r="J36" s="16">
        <f t="shared" si="2"/>
        <v>3175</v>
      </c>
      <c r="K36" s="16">
        <f t="shared" si="2"/>
        <v>719327.58645824378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/>
      <c r="G40" s="54"/>
      <c r="H40" s="15"/>
      <c r="I40" s="55">
        <v>0</v>
      </c>
      <c r="J40" s="15"/>
      <c r="K40" s="16">
        <f t="shared" ref="K40:K47" si="3">(H40+I40)-J40</f>
        <v>0</v>
      </c>
    </row>
    <row r="41" spans="1:11" ht="18" customHeight="1">
      <c r="A41" s="5" t="s">
        <v>88</v>
      </c>
      <c r="B41" s="550" t="s">
        <v>50</v>
      </c>
      <c r="C41" s="551"/>
      <c r="F41" s="82">
        <v>533</v>
      </c>
      <c r="G41" s="82">
        <v>797</v>
      </c>
      <c r="H41" s="15">
        <v>515942</v>
      </c>
      <c r="I41" s="55">
        <v>0</v>
      </c>
      <c r="J41" s="15"/>
      <c r="K41" s="16">
        <f t="shared" si="3"/>
        <v>515942</v>
      </c>
    </row>
    <row r="42" spans="1:11" ht="18" customHeight="1">
      <c r="A42" s="5" t="s">
        <v>89</v>
      </c>
      <c r="B42" s="1" t="s">
        <v>11</v>
      </c>
      <c r="F42" s="82">
        <v>767</v>
      </c>
      <c r="G42" s="82">
        <v>843</v>
      </c>
      <c r="H42" s="15">
        <v>135749</v>
      </c>
      <c r="I42" s="55">
        <v>0</v>
      </c>
      <c r="J42" s="15"/>
      <c r="K42" s="16">
        <f t="shared" si="3"/>
        <v>135749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/>
      <c r="I43" s="55">
        <v>0</v>
      </c>
      <c r="J43" s="15"/>
      <c r="K43" s="16">
        <f t="shared" si="3"/>
        <v>0</v>
      </c>
    </row>
    <row r="44" spans="1:11" ht="18" customHeight="1">
      <c r="A44" s="5" t="s">
        <v>91</v>
      </c>
      <c r="B44" s="547"/>
      <c r="C44" s="548"/>
      <c r="D44" s="549"/>
      <c r="F44" s="82"/>
      <c r="G44" s="82"/>
      <c r="H44" s="82"/>
      <c r="I44" s="83">
        <v>0</v>
      </c>
      <c r="J44" s="82"/>
      <c r="K44" s="81">
        <f t="shared" si="3"/>
        <v>0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3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3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3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1300</v>
      </c>
      <c r="G49" s="23">
        <f t="shared" si="4"/>
        <v>1640</v>
      </c>
      <c r="H49" s="16">
        <f t="shared" si="4"/>
        <v>651691</v>
      </c>
      <c r="I49" s="16">
        <f t="shared" si="4"/>
        <v>0</v>
      </c>
      <c r="J49" s="16">
        <f t="shared" si="4"/>
        <v>0</v>
      </c>
      <c r="K49" s="16">
        <f t="shared" si="4"/>
        <v>651691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 t="s">
        <v>281</v>
      </c>
      <c r="C53" s="559"/>
      <c r="D53" s="532"/>
      <c r="F53" s="82">
        <v>1</v>
      </c>
      <c r="G53" s="82">
        <v>17</v>
      </c>
      <c r="H53" s="15">
        <v>31</v>
      </c>
      <c r="I53" s="55">
        <v>0</v>
      </c>
      <c r="J53" s="15"/>
      <c r="K53" s="16">
        <f t="shared" ref="K53:K62" si="5">(H53+I53)-J53</f>
        <v>31</v>
      </c>
    </row>
    <row r="54" spans="1:11" ht="18" customHeight="1">
      <c r="A54" s="5" t="s">
        <v>93</v>
      </c>
      <c r="B54" s="281" t="s">
        <v>625</v>
      </c>
      <c r="C54" s="282"/>
      <c r="D54" s="283"/>
      <c r="F54" s="82">
        <v>12</v>
      </c>
      <c r="G54" s="82">
        <v>1149</v>
      </c>
      <c r="H54" s="15">
        <v>9710</v>
      </c>
      <c r="I54" s="55">
        <v>0</v>
      </c>
      <c r="J54" s="15"/>
      <c r="K54" s="16">
        <f t="shared" si="5"/>
        <v>9710</v>
      </c>
    </row>
    <row r="55" spans="1:11" ht="18" customHeight="1">
      <c r="A55" s="5" t="s">
        <v>94</v>
      </c>
      <c r="B55" s="557" t="s">
        <v>624</v>
      </c>
      <c r="C55" s="531"/>
      <c r="D55" s="532"/>
      <c r="F55" s="82"/>
      <c r="G55" s="82"/>
      <c r="H55" s="15">
        <v>163037</v>
      </c>
      <c r="I55" s="55">
        <v>0</v>
      </c>
      <c r="J55" s="15">
        <v>66809</v>
      </c>
      <c r="K55" s="16">
        <f t="shared" si="5"/>
        <v>96228</v>
      </c>
    </row>
    <row r="56" spans="1:11" ht="18" customHeight="1">
      <c r="A56" s="5" t="s">
        <v>95</v>
      </c>
      <c r="B56" s="557" t="s">
        <v>418</v>
      </c>
      <c r="C56" s="531"/>
      <c r="D56" s="532"/>
      <c r="F56" s="82" t="s">
        <v>740</v>
      </c>
      <c r="G56" s="82"/>
      <c r="H56" s="15">
        <v>22209</v>
      </c>
      <c r="I56" s="55">
        <v>0</v>
      </c>
      <c r="J56" s="15"/>
      <c r="K56" s="16">
        <f t="shared" si="5"/>
        <v>22209</v>
      </c>
    </row>
    <row r="57" spans="1:11" ht="18" customHeight="1">
      <c r="A57" s="5" t="s">
        <v>96</v>
      </c>
      <c r="B57" s="557" t="s">
        <v>623</v>
      </c>
      <c r="C57" s="531"/>
      <c r="D57" s="532"/>
      <c r="F57" s="82"/>
      <c r="G57" s="82"/>
      <c r="H57" s="15">
        <v>10463920</v>
      </c>
      <c r="I57" s="55">
        <v>0</v>
      </c>
      <c r="J57" s="15">
        <v>6373306</v>
      </c>
      <c r="K57" s="16">
        <f t="shared" si="5"/>
        <v>4090614</v>
      </c>
    </row>
    <row r="58" spans="1:11" ht="18" customHeight="1">
      <c r="A58" s="5" t="s">
        <v>97</v>
      </c>
      <c r="B58" s="289" t="s">
        <v>622</v>
      </c>
      <c r="C58" s="282"/>
      <c r="D58" s="283"/>
      <c r="F58" s="82"/>
      <c r="G58" s="82"/>
      <c r="H58" s="15">
        <v>62699</v>
      </c>
      <c r="I58" s="55">
        <v>0</v>
      </c>
      <c r="J58" s="15">
        <v>10261</v>
      </c>
      <c r="K58" s="16">
        <f t="shared" si="5"/>
        <v>52438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v>0</v>
      </c>
      <c r="J59" s="15"/>
      <c r="K59" s="16">
        <f t="shared" si="5"/>
        <v>0</v>
      </c>
    </row>
    <row r="60" spans="1:11" ht="18" customHeight="1">
      <c r="A60" s="5" t="s">
        <v>99</v>
      </c>
      <c r="B60" s="281"/>
      <c r="C60" s="282"/>
      <c r="D60" s="283"/>
      <c r="F60" s="54"/>
      <c r="G60" s="54"/>
      <c r="H60" s="15"/>
      <c r="I60" s="55">
        <v>0</v>
      </c>
      <c r="J60" s="15"/>
      <c r="K60" s="16">
        <f t="shared" si="5"/>
        <v>0</v>
      </c>
    </row>
    <row r="61" spans="1:11" ht="18" customHeight="1">
      <c r="A61" s="5" t="s">
        <v>100</v>
      </c>
      <c r="B61" s="281"/>
      <c r="C61" s="282"/>
      <c r="D61" s="283"/>
      <c r="F61" s="54"/>
      <c r="G61" s="54"/>
      <c r="H61" s="15"/>
      <c r="I61" s="55">
        <v>0</v>
      </c>
      <c r="J61" s="15"/>
      <c r="K61" s="16">
        <f t="shared" si="5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5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6">SUM(F53:F62)</f>
        <v>13</v>
      </c>
      <c r="G64" s="18">
        <f t="shared" si="6"/>
        <v>1166</v>
      </c>
      <c r="H64" s="16">
        <f t="shared" si="6"/>
        <v>10721606</v>
      </c>
      <c r="I64" s="16">
        <f t="shared" si="6"/>
        <v>0</v>
      </c>
      <c r="J64" s="16">
        <f t="shared" si="6"/>
        <v>6450376</v>
      </c>
      <c r="K64" s="16">
        <f t="shared" si="6"/>
        <v>4271230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>
        <v>63</v>
      </c>
      <c r="G68" s="51">
        <v>335</v>
      </c>
      <c r="H68" s="51">
        <v>5435</v>
      </c>
      <c r="I68" s="55">
        <v>0</v>
      </c>
      <c r="J68" s="51"/>
      <c r="K68" s="16">
        <f>(H68+I68)-J68</f>
        <v>5435</v>
      </c>
    </row>
    <row r="69" spans="1:11" ht="18" customHeight="1">
      <c r="A69" s="5" t="s">
        <v>104</v>
      </c>
      <c r="B69" s="1" t="s">
        <v>53</v>
      </c>
      <c r="F69" s="51">
        <v>12</v>
      </c>
      <c r="G69" s="51">
        <v>61</v>
      </c>
      <c r="H69" s="51">
        <v>824</v>
      </c>
      <c r="I69" s="55">
        <v>0</v>
      </c>
      <c r="J69" s="51"/>
      <c r="K69" s="16">
        <f>(H69+I69)-J69</f>
        <v>824</v>
      </c>
    </row>
    <row r="70" spans="1:11" ht="18" customHeight="1">
      <c r="A70" s="5" t="s">
        <v>178</v>
      </c>
      <c r="B70" s="281" t="s">
        <v>621</v>
      </c>
      <c r="C70" s="282"/>
      <c r="D70" s="283"/>
      <c r="E70" s="2"/>
      <c r="F70" s="35">
        <v>4</v>
      </c>
      <c r="G70" s="35">
        <v>65</v>
      </c>
      <c r="H70" s="36">
        <v>100</v>
      </c>
      <c r="I70" s="55">
        <v>0</v>
      </c>
      <c r="J70" s="36"/>
      <c r="K70" s="16">
        <f>(H70+I70)-J70</f>
        <v>100</v>
      </c>
    </row>
    <row r="71" spans="1:11" ht="18" customHeight="1">
      <c r="A71" s="5" t="s">
        <v>179</v>
      </c>
      <c r="B71" s="281"/>
      <c r="C71" s="282"/>
      <c r="D71" s="283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287"/>
      <c r="C72" s="288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7">SUM(F68:F72)</f>
        <v>79</v>
      </c>
      <c r="G74" s="21">
        <f t="shared" si="7"/>
        <v>461</v>
      </c>
      <c r="H74" s="21">
        <f t="shared" si="7"/>
        <v>6359</v>
      </c>
      <c r="I74" s="53">
        <f t="shared" si="7"/>
        <v>0</v>
      </c>
      <c r="J74" s="21">
        <f t="shared" si="7"/>
        <v>0</v>
      </c>
      <c r="K74" s="56">
        <f t="shared" si="7"/>
        <v>6359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/>
      <c r="G77" s="54"/>
      <c r="H77" s="15"/>
      <c r="I77" s="55">
        <v>0</v>
      </c>
      <c r="J77" s="15"/>
      <c r="K77" s="16">
        <f>(H77+I77)-J77</f>
        <v>0</v>
      </c>
    </row>
    <row r="78" spans="1:11" ht="18" customHeight="1">
      <c r="A78" s="5" t="s">
        <v>108</v>
      </c>
      <c r="B78" s="1" t="s">
        <v>55</v>
      </c>
      <c r="F78" s="372">
        <v>0</v>
      </c>
      <c r="G78" s="82">
        <v>33</v>
      </c>
      <c r="H78" s="15">
        <v>235</v>
      </c>
      <c r="I78" s="55">
        <v>0</v>
      </c>
      <c r="J78" s="15"/>
      <c r="K78" s="16">
        <f>(H78+I78)-J78</f>
        <v>235</v>
      </c>
    </row>
    <row r="79" spans="1:11" ht="18" customHeight="1">
      <c r="A79" s="5" t="s">
        <v>109</v>
      </c>
      <c r="B79" s="1" t="s">
        <v>13</v>
      </c>
      <c r="F79" s="82">
        <v>487</v>
      </c>
      <c r="G79" s="82">
        <v>11183</v>
      </c>
      <c r="H79" s="15">
        <v>96792</v>
      </c>
      <c r="I79" s="55">
        <v>0</v>
      </c>
      <c r="J79" s="15"/>
      <c r="K79" s="16">
        <f>(H79+I79)-J79</f>
        <v>96792</v>
      </c>
    </row>
    <row r="80" spans="1:11" ht="18" customHeight="1">
      <c r="A80" s="5" t="s">
        <v>110</v>
      </c>
      <c r="B80" s="1" t="s">
        <v>56</v>
      </c>
      <c r="F80" s="82">
        <v>1</v>
      </c>
      <c r="G80" s="82">
        <v>700</v>
      </c>
      <c r="H80" s="15">
        <v>190</v>
      </c>
      <c r="I80" s="55">
        <v>0</v>
      </c>
      <c r="J80" s="15"/>
      <c r="K80" s="16">
        <f>(H80+I80)-J80</f>
        <v>190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8">SUM(F77:F80)</f>
        <v>488</v>
      </c>
      <c r="G82" s="21">
        <f t="shared" si="8"/>
        <v>11916</v>
      </c>
      <c r="H82" s="56">
        <f t="shared" si="8"/>
        <v>97217</v>
      </c>
      <c r="I82" s="56">
        <f t="shared" si="8"/>
        <v>0</v>
      </c>
      <c r="J82" s="56">
        <f t="shared" si="8"/>
        <v>0</v>
      </c>
      <c r="K82" s="56">
        <f t="shared" si="8"/>
        <v>97217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82">
        <v>7</v>
      </c>
      <c r="G86" s="82">
        <v>40</v>
      </c>
      <c r="H86" s="15">
        <v>137</v>
      </c>
      <c r="I86" s="55">
        <f t="shared" ref="I86:I96" si="9">H86*F$114</f>
        <v>83.575097314488502</v>
      </c>
      <c r="J86" s="15"/>
      <c r="K86" s="16">
        <f t="shared" ref="K86:K96" si="10">(H86+I86)-J86</f>
        <v>220.57509731448852</v>
      </c>
    </row>
    <row r="87" spans="1:11" ht="18" customHeight="1">
      <c r="A87" s="5" t="s">
        <v>114</v>
      </c>
      <c r="B87" s="1" t="s">
        <v>14</v>
      </c>
      <c r="F87" s="82">
        <v>5</v>
      </c>
      <c r="G87" s="82">
        <v>375</v>
      </c>
      <c r="H87" s="15">
        <v>425</v>
      </c>
      <c r="I87" s="55">
        <f t="shared" si="9"/>
        <v>259.26581283691689</v>
      </c>
      <c r="J87" s="15"/>
      <c r="K87" s="16">
        <f t="shared" si="10"/>
        <v>684.26581283691689</v>
      </c>
    </row>
    <row r="88" spans="1:11" ht="18" customHeight="1">
      <c r="A88" s="5" t="s">
        <v>115</v>
      </c>
      <c r="B88" s="1" t="s">
        <v>116</v>
      </c>
      <c r="F88" s="82">
        <v>104</v>
      </c>
      <c r="G88" s="82">
        <v>2776</v>
      </c>
      <c r="H88" s="15">
        <v>20015</v>
      </c>
      <c r="I88" s="55">
        <f t="shared" si="9"/>
        <v>12209.894691602098</v>
      </c>
      <c r="J88" s="15"/>
      <c r="K88" s="16">
        <f t="shared" si="10"/>
        <v>32224.894691602098</v>
      </c>
    </row>
    <row r="89" spans="1:11" ht="18" customHeight="1">
      <c r="A89" s="5" t="s">
        <v>117</v>
      </c>
      <c r="B89" s="1" t="s">
        <v>58</v>
      </c>
      <c r="F89" s="82">
        <v>24</v>
      </c>
      <c r="G89" s="82"/>
      <c r="H89" s="15">
        <v>15360</v>
      </c>
      <c r="I89" s="55">
        <f t="shared" si="9"/>
        <v>9370.1714945295134</v>
      </c>
      <c r="J89" s="15"/>
      <c r="K89" s="16">
        <f t="shared" si="10"/>
        <v>24730.171494529513</v>
      </c>
    </row>
    <row r="90" spans="1:11" ht="18" customHeight="1">
      <c r="A90" s="5" t="s">
        <v>118</v>
      </c>
      <c r="B90" s="550" t="s">
        <v>59</v>
      </c>
      <c r="C90" s="551"/>
      <c r="F90" s="82"/>
      <c r="G90" s="82"/>
      <c r="H90" s="15"/>
      <c r="I90" s="55">
        <f t="shared" si="9"/>
        <v>0</v>
      </c>
      <c r="J90" s="15"/>
      <c r="K90" s="16">
        <f t="shared" si="10"/>
        <v>0</v>
      </c>
    </row>
    <row r="91" spans="1:11" ht="18" customHeight="1">
      <c r="A91" s="5" t="s">
        <v>119</v>
      </c>
      <c r="B91" s="1" t="s">
        <v>60</v>
      </c>
      <c r="F91" s="82">
        <v>390</v>
      </c>
      <c r="G91" s="82">
        <v>10384</v>
      </c>
      <c r="H91" s="15">
        <v>50385</v>
      </c>
      <c r="I91" s="55">
        <f t="shared" si="9"/>
        <v>30736.724658324838</v>
      </c>
      <c r="J91" s="15">
        <v>17</v>
      </c>
      <c r="K91" s="16">
        <f t="shared" si="10"/>
        <v>81104.724658324834</v>
      </c>
    </row>
    <row r="92" spans="1:11" ht="18" customHeight="1">
      <c r="A92" s="5" t="s">
        <v>120</v>
      </c>
      <c r="B92" s="1" t="s">
        <v>121</v>
      </c>
      <c r="F92" s="38">
        <v>54</v>
      </c>
      <c r="G92" s="38">
        <v>2561</v>
      </c>
      <c r="H92" s="39">
        <v>20027</v>
      </c>
      <c r="I92" s="55">
        <f t="shared" si="9"/>
        <v>12217.215138082198</v>
      </c>
      <c r="J92" s="39">
        <v>300</v>
      </c>
      <c r="K92" s="16">
        <f t="shared" si="10"/>
        <v>31944.215138082196</v>
      </c>
    </row>
    <row r="93" spans="1:11" ht="18" customHeight="1">
      <c r="A93" s="5" t="s">
        <v>122</v>
      </c>
      <c r="B93" s="1" t="s">
        <v>123</v>
      </c>
      <c r="F93" s="82">
        <v>121</v>
      </c>
      <c r="G93" s="82">
        <v>548</v>
      </c>
      <c r="H93" s="15">
        <v>28581</v>
      </c>
      <c r="I93" s="55">
        <f t="shared" si="9"/>
        <v>17435.473403980992</v>
      </c>
      <c r="J93" s="15"/>
      <c r="K93" s="16">
        <f t="shared" si="10"/>
        <v>46016.473403980992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f t="shared" si="9"/>
        <v>0</v>
      </c>
      <c r="J94" s="15"/>
      <c r="K94" s="16">
        <f t="shared" si="10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9"/>
        <v>0</v>
      </c>
      <c r="J95" s="15"/>
      <c r="K95" s="16">
        <f t="shared" si="10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9"/>
        <v>0</v>
      </c>
      <c r="J96" s="15"/>
      <c r="K96" s="16">
        <f t="shared" si="10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1">SUM(F86:F96)</f>
        <v>705</v>
      </c>
      <c r="G98" s="18">
        <f t="shared" si="11"/>
        <v>16684</v>
      </c>
      <c r="H98" s="18">
        <f t="shared" si="11"/>
        <v>134930</v>
      </c>
      <c r="I98" s="18">
        <f t="shared" si="11"/>
        <v>82312.320296671038</v>
      </c>
      <c r="J98" s="18">
        <f t="shared" si="11"/>
        <v>317</v>
      </c>
      <c r="K98" s="18">
        <f t="shared" si="11"/>
        <v>216925.32029667101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82">
        <v>42</v>
      </c>
      <c r="G102" s="82">
        <v>340</v>
      </c>
      <c r="H102" s="15">
        <v>357824</v>
      </c>
      <c r="I102" s="55">
        <f>H102*F$114</f>
        <v>218285.95344131047</v>
      </c>
      <c r="J102" s="15"/>
      <c r="K102" s="16">
        <f>(H102+I102)-J102</f>
        <v>576109.95344131044</v>
      </c>
    </row>
    <row r="103" spans="1:11" ht="18" customHeight="1">
      <c r="A103" s="5" t="s">
        <v>132</v>
      </c>
      <c r="B103" s="550" t="s">
        <v>62</v>
      </c>
      <c r="C103" s="550"/>
      <c r="F103" s="82">
        <v>21</v>
      </c>
      <c r="G103" s="82">
        <v>806</v>
      </c>
      <c r="H103" s="15">
        <v>9724</v>
      </c>
      <c r="I103" s="55">
        <f>H103*F$114</f>
        <v>5932.0017977086582</v>
      </c>
      <c r="J103" s="15"/>
      <c r="K103" s="16">
        <f>(H103+I103)-J103</f>
        <v>15656.001797708657</v>
      </c>
    </row>
    <row r="104" spans="1:11" ht="18" customHeight="1">
      <c r="A104" s="5" t="s">
        <v>128</v>
      </c>
      <c r="B104" s="530" t="s">
        <v>620</v>
      </c>
      <c r="C104" s="531"/>
      <c r="D104" s="532"/>
      <c r="F104" s="82">
        <v>25</v>
      </c>
      <c r="G104" s="82">
        <v>111</v>
      </c>
      <c r="H104" s="15">
        <v>3356</v>
      </c>
      <c r="I104" s="55">
        <f>H104*F$114</f>
        <v>2047.2848656016306</v>
      </c>
      <c r="J104" s="15">
        <v>44</v>
      </c>
      <c r="K104" s="16">
        <f>(H104+I104)-J104</f>
        <v>5359.2848656016304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2">SUM(F102:F106)</f>
        <v>88</v>
      </c>
      <c r="G108" s="18">
        <f t="shared" si="12"/>
        <v>1257</v>
      </c>
      <c r="H108" s="16">
        <f t="shared" si="12"/>
        <v>370904</v>
      </c>
      <c r="I108" s="16">
        <f t="shared" si="12"/>
        <v>226265.24010462075</v>
      </c>
      <c r="J108" s="16">
        <f t="shared" si="12"/>
        <v>44</v>
      </c>
      <c r="K108" s="16">
        <f t="shared" si="12"/>
        <v>597125.24010462081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2497958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0.61003720667509853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90671977</v>
      </c>
    </row>
    <row r="118" spans="1:6" ht="18" customHeight="1">
      <c r="A118" s="5" t="s">
        <v>173</v>
      </c>
      <c r="B118" t="s">
        <v>18</v>
      </c>
      <c r="F118" s="15">
        <v>813028</v>
      </c>
    </row>
    <row r="119" spans="1:6" ht="18" customHeight="1">
      <c r="A119" s="5" t="s">
        <v>174</v>
      </c>
      <c r="B119" s="2" t="s">
        <v>19</v>
      </c>
      <c r="F119" s="56">
        <f>SUM(F117:F118)</f>
        <v>91485005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91074982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v>410024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1046095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371">
        <v>1456118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3">SUM(F131:F135)</f>
        <v>0</v>
      </c>
      <c r="G137" s="18">
        <f t="shared" si="13"/>
        <v>0</v>
      </c>
      <c r="H137" s="16">
        <f t="shared" si="13"/>
        <v>0</v>
      </c>
      <c r="I137" s="16">
        <f t="shared" si="13"/>
        <v>0</v>
      </c>
      <c r="J137" s="16">
        <f t="shared" si="13"/>
        <v>0</v>
      </c>
      <c r="K137" s="16">
        <f t="shared" si="13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4">F36</f>
        <v>1044</v>
      </c>
      <c r="G141" s="41">
        <f t="shared" si="14"/>
        <v>36270</v>
      </c>
      <c r="H141" s="41">
        <f t="shared" si="14"/>
        <v>448749</v>
      </c>
      <c r="I141" s="41">
        <f t="shared" si="14"/>
        <v>273753.58645824378</v>
      </c>
      <c r="J141" s="41">
        <f t="shared" si="14"/>
        <v>3175</v>
      </c>
      <c r="K141" s="41">
        <f t="shared" si="14"/>
        <v>719327.58645824378</v>
      </c>
    </row>
    <row r="142" spans="1:11" ht="18" customHeight="1">
      <c r="A142" s="5" t="s">
        <v>142</v>
      </c>
      <c r="B142" s="2" t="s">
        <v>65</v>
      </c>
      <c r="F142" s="41">
        <f t="shared" ref="F142:K142" si="15">F49</f>
        <v>1300</v>
      </c>
      <c r="G142" s="41">
        <f t="shared" si="15"/>
        <v>1640</v>
      </c>
      <c r="H142" s="41">
        <f t="shared" si="15"/>
        <v>651691</v>
      </c>
      <c r="I142" s="41">
        <f t="shared" si="15"/>
        <v>0</v>
      </c>
      <c r="J142" s="41">
        <f t="shared" si="15"/>
        <v>0</v>
      </c>
      <c r="K142" s="41">
        <f t="shared" si="15"/>
        <v>651691</v>
      </c>
    </row>
    <row r="143" spans="1:11" ht="18" customHeight="1">
      <c r="A143" s="5" t="s">
        <v>144</v>
      </c>
      <c r="B143" s="2" t="s">
        <v>66</v>
      </c>
      <c r="F143" s="41">
        <f t="shared" ref="F143:K143" si="16">F64</f>
        <v>13</v>
      </c>
      <c r="G143" s="41">
        <f t="shared" si="16"/>
        <v>1166</v>
      </c>
      <c r="H143" s="41">
        <f t="shared" si="16"/>
        <v>10721606</v>
      </c>
      <c r="I143" s="41">
        <f t="shared" si="16"/>
        <v>0</v>
      </c>
      <c r="J143" s="41">
        <f t="shared" si="16"/>
        <v>6450376</v>
      </c>
      <c r="K143" s="41">
        <f t="shared" si="16"/>
        <v>4271230</v>
      </c>
    </row>
    <row r="144" spans="1:11" ht="18" customHeight="1">
      <c r="A144" s="5" t="s">
        <v>146</v>
      </c>
      <c r="B144" s="2" t="s">
        <v>67</v>
      </c>
      <c r="F144" s="41">
        <f t="shared" ref="F144:K144" si="17">F74</f>
        <v>79</v>
      </c>
      <c r="G144" s="41">
        <f t="shared" si="17"/>
        <v>461</v>
      </c>
      <c r="H144" s="41">
        <f t="shared" si="17"/>
        <v>6359</v>
      </c>
      <c r="I144" s="41">
        <f t="shared" si="17"/>
        <v>0</v>
      </c>
      <c r="J144" s="41">
        <f t="shared" si="17"/>
        <v>0</v>
      </c>
      <c r="K144" s="41">
        <f t="shared" si="17"/>
        <v>6359</v>
      </c>
    </row>
    <row r="145" spans="1:11" ht="18" customHeight="1">
      <c r="A145" s="5" t="s">
        <v>148</v>
      </c>
      <c r="B145" s="2" t="s">
        <v>68</v>
      </c>
      <c r="F145" s="41">
        <f t="shared" ref="F145:K145" si="18">F82</f>
        <v>488</v>
      </c>
      <c r="G145" s="41">
        <f t="shared" si="18"/>
        <v>11916</v>
      </c>
      <c r="H145" s="41">
        <f t="shared" si="18"/>
        <v>97217</v>
      </c>
      <c r="I145" s="41">
        <f t="shared" si="18"/>
        <v>0</v>
      </c>
      <c r="J145" s="41">
        <f t="shared" si="18"/>
        <v>0</v>
      </c>
      <c r="K145" s="41">
        <f t="shared" si="18"/>
        <v>97217</v>
      </c>
    </row>
    <row r="146" spans="1:11" ht="18" customHeight="1">
      <c r="A146" s="5" t="s">
        <v>150</v>
      </c>
      <c r="B146" s="2" t="s">
        <v>69</v>
      </c>
      <c r="F146" s="41">
        <f t="shared" ref="F146:K146" si="19">F98</f>
        <v>705</v>
      </c>
      <c r="G146" s="41">
        <f t="shared" si="19"/>
        <v>16684</v>
      </c>
      <c r="H146" s="41">
        <f t="shared" si="19"/>
        <v>134930</v>
      </c>
      <c r="I146" s="41">
        <f t="shared" si="19"/>
        <v>82312.320296671038</v>
      </c>
      <c r="J146" s="41">
        <f t="shared" si="19"/>
        <v>317</v>
      </c>
      <c r="K146" s="41">
        <f t="shared" si="19"/>
        <v>216925.32029667101</v>
      </c>
    </row>
    <row r="147" spans="1:11" ht="18" customHeight="1">
      <c r="A147" s="5" t="s">
        <v>153</v>
      </c>
      <c r="B147" s="2" t="s">
        <v>61</v>
      </c>
      <c r="F147" s="18">
        <f t="shared" ref="F147:K147" si="20">F108</f>
        <v>88</v>
      </c>
      <c r="G147" s="18">
        <f t="shared" si="20"/>
        <v>1257</v>
      </c>
      <c r="H147" s="18">
        <f t="shared" si="20"/>
        <v>370904</v>
      </c>
      <c r="I147" s="18">
        <f t="shared" si="20"/>
        <v>226265.24010462075</v>
      </c>
      <c r="J147" s="18">
        <f t="shared" si="20"/>
        <v>44</v>
      </c>
      <c r="K147" s="18">
        <f t="shared" si="20"/>
        <v>597125.24010462081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2497958</v>
      </c>
    </row>
    <row r="149" spans="1:11" ht="18" customHeight="1">
      <c r="A149" s="5" t="s">
        <v>163</v>
      </c>
      <c r="B149" s="2" t="s">
        <v>71</v>
      </c>
      <c r="F149" s="18">
        <f t="shared" ref="F149:K149" si="21">F137</f>
        <v>0</v>
      </c>
      <c r="G149" s="18">
        <f t="shared" si="21"/>
        <v>0</v>
      </c>
      <c r="H149" s="18">
        <f t="shared" si="21"/>
        <v>0</v>
      </c>
      <c r="I149" s="18">
        <f t="shared" si="21"/>
        <v>0</v>
      </c>
      <c r="J149" s="18">
        <f t="shared" si="21"/>
        <v>0</v>
      </c>
      <c r="K149" s="18">
        <f t="shared" si="21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2418053</v>
      </c>
      <c r="I150" s="18">
        <f>I18</f>
        <v>0</v>
      </c>
      <c r="J150" s="18">
        <f>J18</f>
        <v>2067737</v>
      </c>
      <c r="K150" s="18">
        <f>K18</f>
        <v>350316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2">SUM(F141:F150)</f>
        <v>3717</v>
      </c>
      <c r="G152" s="49">
        <f t="shared" si="22"/>
        <v>69394</v>
      </c>
      <c r="H152" s="49">
        <f t="shared" si="22"/>
        <v>14849509</v>
      </c>
      <c r="I152" s="49">
        <f t="shared" si="22"/>
        <v>582331.14685953548</v>
      </c>
      <c r="J152" s="49">
        <f t="shared" si="22"/>
        <v>8521649</v>
      </c>
      <c r="K152" s="49">
        <f t="shared" si="22"/>
        <v>9408149.1468595359</v>
      </c>
    </row>
    <row r="154" spans="1:11" ht="18" customHeight="1">
      <c r="A154" s="6" t="s">
        <v>168</v>
      </c>
      <c r="B154" s="2" t="s">
        <v>28</v>
      </c>
      <c r="F154" s="64">
        <f>K152/F121</f>
        <v>0.10330113649497659</v>
      </c>
    </row>
    <row r="155" spans="1:11" ht="18" customHeight="1">
      <c r="A155" s="6" t="s">
        <v>169</v>
      </c>
      <c r="B155" s="2" t="s">
        <v>72</v>
      </c>
      <c r="F155" s="64">
        <f>K152/F127</f>
        <v>6.4611172630649003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B134:D134"/>
    <mergeCell ref="B135:D135"/>
    <mergeCell ref="B133:D133"/>
    <mergeCell ref="B13:H13"/>
    <mergeCell ref="B52:C52"/>
    <mergeCell ref="B90:C90"/>
    <mergeCell ref="B104:D104"/>
    <mergeCell ref="B59:D59"/>
    <mergeCell ref="B62:D62"/>
    <mergeCell ref="B95:D95"/>
    <mergeCell ref="B56:D56"/>
    <mergeCell ref="B57:D57"/>
    <mergeCell ref="B53:D53"/>
    <mergeCell ref="B55:D55"/>
    <mergeCell ref="B103:C103"/>
    <mergeCell ref="B105:D105"/>
    <mergeCell ref="D2:H2"/>
    <mergeCell ref="B45:D45"/>
    <mergeCell ref="B46:D46"/>
    <mergeCell ref="B47:D47"/>
    <mergeCell ref="B34:D34"/>
    <mergeCell ref="B41:C41"/>
    <mergeCell ref="B44:D44"/>
    <mergeCell ref="B30:D30"/>
    <mergeCell ref="B31:D31"/>
    <mergeCell ref="B106:D106"/>
    <mergeCell ref="B94:D94"/>
    <mergeCell ref="B96:D96"/>
    <mergeCell ref="C5:G5"/>
    <mergeCell ref="C6:G6"/>
    <mergeCell ref="C7:G7"/>
    <mergeCell ref="C11:G11"/>
    <mergeCell ref="C9:G9"/>
    <mergeCell ref="C10:G10"/>
  </mergeCells>
  <printOptions headings="1" gridLines="1"/>
  <pageMargins left="0.17" right="0.16" top="0.35" bottom="0.32" header="0.17" footer="0.17"/>
  <pageSetup scale="54" fitToHeight="3" orientation="landscape" horizontalDpi="4294967294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1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80" zoomScaleNormal="80" zoomScaleSheetLayoutView="80" workbookViewId="0">
      <selection activeCell="A2" sqref="A2"/>
    </sheetView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517</v>
      </c>
      <c r="D5" s="534"/>
      <c r="E5" s="534"/>
      <c r="F5" s="534"/>
      <c r="G5" s="535"/>
    </row>
    <row r="6" spans="1:11" ht="18" customHeight="1">
      <c r="B6" s="5" t="s">
        <v>3</v>
      </c>
      <c r="C6" s="655">
        <v>54</v>
      </c>
      <c r="D6" s="656"/>
      <c r="E6" s="656"/>
      <c r="F6" s="656"/>
      <c r="G6" s="657"/>
    </row>
    <row r="7" spans="1:11" ht="18" customHeight="1">
      <c r="B7" s="5" t="s">
        <v>4</v>
      </c>
      <c r="C7" s="640">
        <v>1778</v>
      </c>
      <c r="D7" s="641"/>
      <c r="E7" s="641"/>
      <c r="F7" s="641"/>
      <c r="G7" s="642"/>
    </row>
    <row r="9" spans="1:11" ht="18" customHeight="1">
      <c r="B9" s="5" t="s">
        <v>1</v>
      </c>
      <c r="C9" s="584" t="s">
        <v>516</v>
      </c>
      <c r="D9" s="534"/>
      <c r="E9" s="534"/>
      <c r="F9" s="534"/>
      <c r="G9" s="535"/>
    </row>
    <row r="10" spans="1:11" ht="18" customHeight="1">
      <c r="B10" s="5" t="s">
        <v>2</v>
      </c>
      <c r="C10" s="586" t="s">
        <v>515</v>
      </c>
      <c r="D10" s="543"/>
      <c r="E10" s="543"/>
      <c r="F10" s="543"/>
      <c r="G10" s="544"/>
    </row>
    <row r="11" spans="1:11" ht="18" customHeight="1">
      <c r="B11" s="5" t="s">
        <v>32</v>
      </c>
      <c r="C11" s="584" t="s">
        <v>514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6847079</v>
      </c>
      <c r="I18" s="55">
        <v>0</v>
      </c>
      <c r="J18" s="15">
        <v>5855108</v>
      </c>
      <c r="K18" s="16">
        <f>(H18+I18)-J18</f>
        <v>991971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/>
      <c r="G21" s="54"/>
      <c r="H21" s="15"/>
      <c r="I21" s="55">
        <f t="shared" ref="I21:I29" si="0">H21*F$114</f>
        <v>0</v>
      </c>
      <c r="J21" s="15"/>
      <c r="K21" s="16">
        <f t="shared" ref="K21:K34" si="1">(H21+I21)-J21</f>
        <v>0</v>
      </c>
    </row>
    <row r="22" spans="1:11" ht="18" customHeight="1">
      <c r="A22" s="5" t="s">
        <v>76</v>
      </c>
      <c r="B22" t="s">
        <v>6</v>
      </c>
      <c r="F22" s="54"/>
      <c r="G22" s="54"/>
      <c r="H22" s="15"/>
      <c r="I22" s="55">
        <f t="shared" si="0"/>
        <v>0</v>
      </c>
      <c r="J22" s="15"/>
      <c r="K22" s="16">
        <f t="shared" si="1"/>
        <v>0</v>
      </c>
    </row>
    <row r="23" spans="1:11" ht="18" customHeight="1">
      <c r="A23" s="5" t="s">
        <v>77</v>
      </c>
      <c r="B23" t="s">
        <v>43</v>
      </c>
      <c r="F23" s="54"/>
      <c r="G23" s="54"/>
      <c r="H23" s="15"/>
      <c r="I23" s="55">
        <f t="shared" si="0"/>
        <v>0</v>
      </c>
      <c r="J23" s="15"/>
      <c r="K23" s="16">
        <f t="shared" si="1"/>
        <v>0</v>
      </c>
    </row>
    <row r="24" spans="1:11" ht="18" customHeight="1">
      <c r="A24" s="5" t="s">
        <v>78</v>
      </c>
      <c r="B24" t="s">
        <v>44</v>
      </c>
      <c r="F24" s="54"/>
      <c r="G24" s="54"/>
      <c r="H24" s="15"/>
      <c r="I24" s="55">
        <f t="shared" si="0"/>
        <v>0</v>
      </c>
      <c r="J24" s="15"/>
      <c r="K24" s="16">
        <f t="shared" si="1"/>
        <v>0</v>
      </c>
    </row>
    <row r="25" spans="1:11" ht="18" customHeight="1">
      <c r="A25" s="5" t="s">
        <v>79</v>
      </c>
      <c r="B25" t="s">
        <v>5</v>
      </c>
      <c r="F25" s="54"/>
      <c r="G25" s="54"/>
      <c r="H25" s="15"/>
      <c r="I25" s="55">
        <f t="shared" si="0"/>
        <v>0</v>
      </c>
      <c r="J25" s="15"/>
      <c r="K25" s="16">
        <f t="shared" si="1"/>
        <v>0</v>
      </c>
    </row>
    <row r="26" spans="1:11" ht="18" customHeight="1">
      <c r="A26" s="5" t="s">
        <v>80</v>
      </c>
      <c r="B26" t="s">
        <v>45</v>
      </c>
      <c r="F26" s="54"/>
      <c r="G26" s="54"/>
      <c r="H26" s="15"/>
      <c r="I26" s="55">
        <f t="shared" si="0"/>
        <v>0</v>
      </c>
      <c r="J26" s="15"/>
      <c r="K26" s="16">
        <f t="shared" si="1"/>
        <v>0</v>
      </c>
    </row>
    <row r="27" spans="1:11" ht="18" customHeight="1">
      <c r="A27" s="5" t="s">
        <v>81</v>
      </c>
      <c r="B27" t="s">
        <v>46</v>
      </c>
      <c r="F27" s="54"/>
      <c r="G27" s="54"/>
      <c r="H27" s="15"/>
      <c r="I27" s="55">
        <f t="shared" si="0"/>
        <v>0</v>
      </c>
      <c r="J27" s="15"/>
      <c r="K27" s="16">
        <f t="shared" si="1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15"/>
      <c r="I28" s="55">
        <f t="shared" si="0"/>
        <v>0</v>
      </c>
      <c r="J28" s="15"/>
      <c r="K28" s="16">
        <f t="shared" si="1"/>
        <v>0</v>
      </c>
    </row>
    <row r="29" spans="1:11" ht="18" customHeight="1">
      <c r="A29" s="5" t="s">
        <v>83</v>
      </c>
      <c r="B29" t="s">
        <v>48</v>
      </c>
      <c r="F29" s="54"/>
      <c r="G29" s="54"/>
      <c r="H29" s="15"/>
      <c r="I29" s="55">
        <f t="shared" si="0"/>
        <v>0</v>
      </c>
      <c r="J29" s="15"/>
      <c r="K29" s="16">
        <f t="shared" si="1"/>
        <v>0</v>
      </c>
    </row>
    <row r="30" spans="1:11" ht="18" customHeight="1">
      <c r="A30" s="5" t="s">
        <v>84</v>
      </c>
      <c r="B30" s="547" t="s">
        <v>513</v>
      </c>
      <c r="C30" s="548"/>
      <c r="D30" s="549"/>
      <c r="F30" s="54">
        <v>1800</v>
      </c>
      <c r="G30" s="54">
        <v>9100</v>
      </c>
      <c r="H30" s="15">
        <v>100296</v>
      </c>
      <c r="I30" s="55">
        <v>77448.83</v>
      </c>
      <c r="J30" s="15"/>
      <c r="K30" s="16">
        <f t="shared" si="1"/>
        <v>177744.83000000002</v>
      </c>
    </row>
    <row r="31" spans="1:11" ht="18" customHeight="1">
      <c r="A31" s="5" t="s">
        <v>133</v>
      </c>
      <c r="B31" s="547" t="s">
        <v>512</v>
      </c>
      <c r="C31" s="548"/>
      <c r="D31" s="549"/>
      <c r="F31" s="54">
        <v>0</v>
      </c>
      <c r="G31" s="54">
        <v>575</v>
      </c>
      <c r="H31" s="15">
        <v>64433.38</v>
      </c>
      <c r="I31" s="55">
        <v>73070.14</v>
      </c>
      <c r="J31" s="15"/>
      <c r="K31" s="16">
        <f t="shared" si="1"/>
        <v>137503.51999999999</v>
      </c>
    </row>
    <row r="32" spans="1:11" ht="18" customHeight="1">
      <c r="A32" s="5" t="s">
        <v>134</v>
      </c>
      <c r="B32" s="191" t="s">
        <v>511</v>
      </c>
      <c r="C32" s="192"/>
      <c r="D32" s="193"/>
      <c r="F32" s="54">
        <v>78</v>
      </c>
      <c r="G32" s="52">
        <v>388</v>
      </c>
      <c r="H32" s="15">
        <v>3070.1</v>
      </c>
      <c r="I32" s="55">
        <v>3701.1</v>
      </c>
      <c r="J32" s="15"/>
      <c r="K32" s="16">
        <f t="shared" si="1"/>
        <v>6771.2</v>
      </c>
    </row>
    <row r="33" spans="1:11" ht="18" customHeight="1">
      <c r="A33" s="5" t="s">
        <v>135</v>
      </c>
      <c r="B33" s="191" t="s">
        <v>510</v>
      </c>
      <c r="C33" s="192"/>
      <c r="D33" s="193"/>
      <c r="F33" s="54">
        <v>17790</v>
      </c>
      <c r="G33" s="52">
        <v>24790</v>
      </c>
      <c r="H33" s="15">
        <v>1281673.6499999999</v>
      </c>
      <c r="I33" s="55">
        <v>1444343.89</v>
      </c>
      <c r="J33" s="15"/>
      <c r="K33" s="16">
        <f t="shared" si="1"/>
        <v>2726017.54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>H34*F$114</f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19668</v>
      </c>
      <c r="G36" s="18">
        <f t="shared" si="2"/>
        <v>34853</v>
      </c>
      <c r="H36" s="18">
        <f t="shared" si="2"/>
        <v>1449473.13</v>
      </c>
      <c r="I36" s="16">
        <f t="shared" si="2"/>
        <v>1598563.96</v>
      </c>
      <c r="J36" s="16">
        <f t="shared" si="2"/>
        <v>0</v>
      </c>
      <c r="K36" s="16">
        <f t="shared" si="2"/>
        <v>3048037.09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/>
      <c r="G40" s="54"/>
      <c r="H40" s="15"/>
      <c r="I40" s="55">
        <v>0</v>
      </c>
      <c r="J40" s="15"/>
      <c r="K40" s="16">
        <f t="shared" ref="K40:K47" si="3">(H40+I40)-J40</f>
        <v>0</v>
      </c>
    </row>
    <row r="41" spans="1:11" ht="18" customHeight="1">
      <c r="A41" s="5" t="s">
        <v>88</v>
      </c>
      <c r="B41" s="550" t="s">
        <v>50</v>
      </c>
      <c r="C41" s="551"/>
      <c r="F41" s="54">
        <v>6787.5</v>
      </c>
      <c r="G41" s="54">
        <v>27150</v>
      </c>
      <c r="H41" s="15">
        <v>322067</v>
      </c>
      <c r="I41" s="55">
        <v>175421</v>
      </c>
      <c r="J41" s="15"/>
      <c r="K41" s="16">
        <f t="shared" si="3"/>
        <v>497488</v>
      </c>
    </row>
    <row r="42" spans="1:11" ht="18" customHeight="1">
      <c r="A42" s="5" t="s">
        <v>89</v>
      </c>
      <c r="B42" s="1" t="s">
        <v>11</v>
      </c>
      <c r="F42" s="54">
        <v>3120</v>
      </c>
      <c r="G42" s="54">
        <v>20</v>
      </c>
      <c r="H42" s="15">
        <v>525100</v>
      </c>
      <c r="I42" s="55">
        <v>0</v>
      </c>
      <c r="J42" s="15"/>
      <c r="K42" s="16">
        <f t="shared" si="3"/>
        <v>525100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/>
      <c r="I43" s="55">
        <v>0</v>
      </c>
      <c r="J43" s="15"/>
      <c r="K43" s="16">
        <f t="shared" si="3"/>
        <v>0</v>
      </c>
    </row>
    <row r="44" spans="1:11" ht="18" customHeight="1">
      <c r="A44" s="5" t="s">
        <v>91</v>
      </c>
      <c r="B44" s="547" t="s">
        <v>509</v>
      </c>
      <c r="C44" s="548"/>
      <c r="D44" s="549"/>
      <c r="F44" s="82">
        <v>82.5</v>
      </c>
      <c r="G44" s="82">
        <v>330</v>
      </c>
      <c r="H44" s="82">
        <v>3914.63</v>
      </c>
      <c r="I44" s="83">
        <v>1243</v>
      </c>
      <c r="J44" s="82"/>
      <c r="K44" s="81">
        <f t="shared" si="3"/>
        <v>5157.63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3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3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3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9990</v>
      </c>
      <c r="G49" s="23">
        <f t="shared" si="4"/>
        <v>27500</v>
      </c>
      <c r="H49" s="16">
        <f t="shared" si="4"/>
        <v>851081.63</v>
      </c>
      <c r="I49" s="16">
        <f t="shared" si="4"/>
        <v>176664</v>
      </c>
      <c r="J49" s="16">
        <f t="shared" si="4"/>
        <v>0</v>
      </c>
      <c r="K49" s="16">
        <f t="shared" si="4"/>
        <v>1027745.63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85" t="s">
        <v>508</v>
      </c>
      <c r="C53" s="559"/>
      <c r="D53" s="532"/>
      <c r="F53" s="54">
        <v>68640</v>
      </c>
      <c r="G53" s="54">
        <v>7046</v>
      </c>
      <c r="H53" s="15">
        <v>2180898</v>
      </c>
      <c r="I53" s="55">
        <f>H53*0.7722</f>
        <v>1684089.4356</v>
      </c>
      <c r="J53" s="15">
        <f>3254350-338526</f>
        <v>2915824</v>
      </c>
      <c r="K53" s="16">
        <f t="shared" ref="K53:K62" si="5">(H53+I53)-J53</f>
        <v>949163.43559999997</v>
      </c>
    </row>
    <row r="54" spans="1:11" ht="18" customHeight="1">
      <c r="A54" s="5" t="s">
        <v>93</v>
      </c>
      <c r="B54" s="194" t="s">
        <v>507</v>
      </c>
      <c r="C54" s="190"/>
      <c r="D54" s="188"/>
      <c r="F54" s="54">
        <v>31237</v>
      </c>
      <c r="G54" s="54">
        <v>68131</v>
      </c>
      <c r="H54" s="15">
        <v>1652594</v>
      </c>
      <c r="I54" s="55">
        <v>0</v>
      </c>
      <c r="J54" s="15"/>
      <c r="K54" s="16">
        <f t="shared" si="5"/>
        <v>1652594</v>
      </c>
    </row>
    <row r="55" spans="1:11" ht="18" customHeight="1">
      <c r="A55" s="5" t="s">
        <v>94</v>
      </c>
      <c r="B55" s="530"/>
      <c r="C55" s="531"/>
      <c r="D55" s="532"/>
      <c r="F55" s="54"/>
      <c r="G55" s="54"/>
      <c r="H55" s="15"/>
      <c r="I55" s="55">
        <v>0</v>
      </c>
      <c r="J55" s="15"/>
      <c r="K55" s="16">
        <f t="shared" si="5"/>
        <v>0</v>
      </c>
    </row>
    <row r="56" spans="1:11" ht="18" customHeight="1">
      <c r="A56" s="5" t="s">
        <v>95</v>
      </c>
      <c r="B56" s="530"/>
      <c r="C56" s="531"/>
      <c r="D56" s="532"/>
      <c r="F56" s="54" t="s">
        <v>740</v>
      </c>
      <c r="G56" s="54"/>
      <c r="H56" s="15"/>
      <c r="I56" s="55">
        <v>0</v>
      </c>
      <c r="J56" s="15"/>
      <c r="K56" s="16">
        <f t="shared" si="5"/>
        <v>0</v>
      </c>
    </row>
    <row r="57" spans="1:11" ht="18" customHeight="1">
      <c r="A57" s="5" t="s">
        <v>96</v>
      </c>
      <c r="B57" s="530"/>
      <c r="C57" s="531"/>
      <c r="D57" s="532"/>
      <c r="F57" s="54"/>
      <c r="G57" s="54"/>
      <c r="H57" s="15"/>
      <c r="I57" s="55">
        <v>0</v>
      </c>
      <c r="J57" s="15"/>
      <c r="K57" s="16">
        <f t="shared" si="5"/>
        <v>0</v>
      </c>
    </row>
    <row r="58" spans="1:11" ht="18" customHeight="1">
      <c r="A58" s="5" t="s">
        <v>97</v>
      </c>
      <c r="B58" s="189"/>
      <c r="C58" s="190"/>
      <c r="D58" s="188"/>
      <c r="F58" s="54"/>
      <c r="G58" s="54"/>
      <c r="H58" s="15"/>
      <c r="I58" s="55">
        <v>0</v>
      </c>
      <c r="J58" s="15"/>
      <c r="K58" s="16">
        <f t="shared" si="5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v>0</v>
      </c>
      <c r="J59" s="15"/>
      <c r="K59" s="16">
        <f t="shared" si="5"/>
        <v>0</v>
      </c>
    </row>
    <row r="60" spans="1:11" ht="18" customHeight="1">
      <c r="A60" s="5" t="s">
        <v>99</v>
      </c>
      <c r="B60" s="189"/>
      <c r="C60" s="190"/>
      <c r="D60" s="188"/>
      <c r="F60" s="54"/>
      <c r="G60" s="54"/>
      <c r="H60" s="15"/>
      <c r="I60" s="55">
        <v>0</v>
      </c>
      <c r="J60" s="15"/>
      <c r="K60" s="16">
        <f t="shared" si="5"/>
        <v>0</v>
      </c>
    </row>
    <row r="61" spans="1:11" ht="18" customHeight="1">
      <c r="A61" s="5" t="s">
        <v>100</v>
      </c>
      <c r="B61" s="189"/>
      <c r="C61" s="190"/>
      <c r="D61" s="188"/>
      <c r="F61" s="54"/>
      <c r="G61" s="54"/>
      <c r="H61" s="15"/>
      <c r="I61" s="55">
        <v>0</v>
      </c>
      <c r="J61" s="15"/>
      <c r="K61" s="16">
        <f t="shared" si="5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5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6">SUM(F53:F62)</f>
        <v>99877</v>
      </c>
      <c r="G64" s="18">
        <f t="shared" si="6"/>
        <v>75177</v>
      </c>
      <c r="H64" s="16">
        <f t="shared" si="6"/>
        <v>3833492</v>
      </c>
      <c r="I64" s="16">
        <f t="shared" si="6"/>
        <v>1684089.4356</v>
      </c>
      <c r="J64" s="16">
        <f t="shared" si="6"/>
        <v>2915824</v>
      </c>
      <c r="K64" s="16">
        <f t="shared" si="6"/>
        <v>2601757.4356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/>
      <c r="G68" s="51"/>
      <c r="H68" s="51"/>
      <c r="I68" s="55">
        <v>0</v>
      </c>
      <c r="J68" s="51"/>
      <c r="K68" s="16">
        <f>(H68+I68)-J68</f>
        <v>0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189"/>
      <c r="C70" s="190"/>
      <c r="D70" s="188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189"/>
      <c r="C71" s="190"/>
      <c r="D71" s="188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186"/>
      <c r="C72" s="187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7">SUM(F68:F72)</f>
        <v>0</v>
      </c>
      <c r="G74" s="21">
        <f t="shared" si="7"/>
        <v>0</v>
      </c>
      <c r="H74" s="21">
        <f t="shared" si="7"/>
        <v>0</v>
      </c>
      <c r="I74" s="53">
        <f t="shared" si="7"/>
        <v>0</v>
      </c>
      <c r="J74" s="21">
        <f t="shared" si="7"/>
        <v>0</v>
      </c>
      <c r="K74" s="56">
        <f t="shared" si="7"/>
        <v>0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/>
      <c r="G77" s="54"/>
      <c r="H77" s="15">
        <v>61100</v>
      </c>
      <c r="I77" s="55">
        <v>0</v>
      </c>
      <c r="J77" s="15"/>
      <c r="K77" s="16">
        <f>(H77+I77)-J77</f>
        <v>61100</v>
      </c>
    </row>
    <row r="78" spans="1:11" ht="18" customHeight="1">
      <c r="A78" s="5" t="s">
        <v>108</v>
      </c>
      <c r="B78" s="1" t="s">
        <v>55</v>
      </c>
      <c r="F78" s="54"/>
      <c r="G78" s="54"/>
      <c r="H78" s="15"/>
      <c r="I78" s="55"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/>
      <c r="G79" s="54"/>
      <c r="H79" s="15"/>
      <c r="I79" s="55">
        <v>0</v>
      </c>
      <c r="J79" s="15"/>
      <c r="K79" s="16">
        <f>(H79+I79)-J79</f>
        <v>0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8">SUM(F77:F80)</f>
        <v>0</v>
      </c>
      <c r="G82" s="21">
        <f t="shared" si="8"/>
        <v>0</v>
      </c>
      <c r="H82" s="56">
        <f t="shared" si="8"/>
        <v>61100</v>
      </c>
      <c r="I82" s="56">
        <f t="shared" si="8"/>
        <v>0</v>
      </c>
      <c r="J82" s="56">
        <f t="shared" si="8"/>
        <v>0</v>
      </c>
      <c r="K82" s="56">
        <f t="shared" si="8"/>
        <v>61100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f t="shared" ref="I86:I93" si="9">H86*F$114</f>
        <v>0</v>
      </c>
      <c r="J86" s="15"/>
      <c r="K86" s="16">
        <f t="shared" ref="K86:K95" si="10">(H86+I86)-J86</f>
        <v>0</v>
      </c>
    </row>
    <row r="87" spans="1:11" ht="18" customHeight="1">
      <c r="A87" s="5" t="s">
        <v>114</v>
      </c>
      <c r="B87" s="1" t="s">
        <v>14</v>
      </c>
      <c r="F87" s="54"/>
      <c r="G87" s="54"/>
      <c r="H87" s="15"/>
      <c r="I87" s="55">
        <f t="shared" si="9"/>
        <v>0</v>
      </c>
      <c r="J87" s="15"/>
      <c r="K87" s="16">
        <f t="shared" si="10"/>
        <v>0</v>
      </c>
    </row>
    <row r="88" spans="1:11" ht="18" customHeight="1">
      <c r="A88" s="5" t="s">
        <v>115</v>
      </c>
      <c r="B88" s="1" t="s">
        <v>116</v>
      </c>
      <c r="F88" s="54"/>
      <c r="G88" s="54"/>
      <c r="H88" s="15"/>
      <c r="I88" s="55">
        <f t="shared" si="9"/>
        <v>0</v>
      </c>
      <c r="J88" s="15"/>
      <c r="K88" s="16">
        <f t="shared" si="10"/>
        <v>0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 t="shared" si="9"/>
        <v>0</v>
      </c>
      <c r="J89" s="15"/>
      <c r="K89" s="16">
        <f t="shared" si="10"/>
        <v>0</v>
      </c>
    </row>
    <row r="90" spans="1:11" ht="18" customHeight="1">
      <c r="A90" s="5" t="s">
        <v>118</v>
      </c>
      <c r="B90" s="550" t="s">
        <v>59</v>
      </c>
      <c r="C90" s="551"/>
      <c r="F90" s="54"/>
      <c r="G90" s="54"/>
      <c r="H90" s="15"/>
      <c r="I90" s="55">
        <f t="shared" si="9"/>
        <v>0</v>
      </c>
      <c r="J90" s="15"/>
      <c r="K90" s="16">
        <f t="shared" si="10"/>
        <v>0</v>
      </c>
    </row>
    <row r="91" spans="1:11" ht="18" customHeight="1">
      <c r="A91" s="5" t="s">
        <v>119</v>
      </c>
      <c r="B91" s="1" t="s">
        <v>60</v>
      </c>
      <c r="F91" s="54"/>
      <c r="G91" s="54"/>
      <c r="H91" s="15"/>
      <c r="I91" s="55">
        <f t="shared" si="9"/>
        <v>0</v>
      </c>
      <c r="J91" s="15"/>
      <c r="K91" s="16">
        <f t="shared" si="10"/>
        <v>0</v>
      </c>
    </row>
    <row r="92" spans="1:11" ht="18" customHeight="1">
      <c r="A92" s="5" t="s">
        <v>120</v>
      </c>
      <c r="B92" s="1" t="s">
        <v>121</v>
      </c>
      <c r="F92" s="38"/>
      <c r="G92" s="38"/>
      <c r="H92" s="39"/>
      <c r="I92" s="55">
        <f t="shared" si="9"/>
        <v>0</v>
      </c>
      <c r="J92" s="39"/>
      <c r="K92" s="16">
        <f t="shared" si="10"/>
        <v>0</v>
      </c>
    </row>
    <row r="93" spans="1:11" ht="18" customHeight="1">
      <c r="A93" s="5" t="s">
        <v>122</v>
      </c>
      <c r="B93" s="1" t="s">
        <v>123</v>
      </c>
      <c r="F93" s="54"/>
      <c r="G93" s="54"/>
      <c r="H93" s="15"/>
      <c r="I93" s="55">
        <f t="shared" si="9"/>
        <v>0</v>
      </c>
      <c r="J93" s="15"/>
      <c r="K93" s="16">
        <f t="shared" si="10"/>
        <v>0</v>
      </c>
    </row>
    <row r="94" spans="1:11" ht="18" customHeight="1">
      <c r="A94" s="5" t="s">
        <v>124</v>
      </c>
      <c r="B94" s="557"/>
      <c r="C94" s="531"/>
      <c r="D94" s="532"/>
      <c r="F94" s="54"/>
      <c r="G94" s="54"/>
      <c r="H94" s="15"/>
      <c r="I94" s="55">
        <v>0</v>
      </c>
      <c r="J94" s="15"/>
      <c r="K94" s="16">
        <f>(H94+I94)-J94</f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>H95*F$114</f>
        <v>0</v>
      </c>
      <c r="J95" s="15"/>
      <c r="K95" s="16">
        <f t="shared" si="10"/>
        <v>0</v>
      </c>
    </row>
    <row r="96" spans="1:11" ht="18" customHeight="1">
      <c r="A96" s="5" t="s">
        <v>126</v>
      </c>
      <c r="B96" s="530" t="s">
        <v>506</v>
      </c>
      <c r="C96" s="531"/>
      <c r="D96" s="532"/>
      <c r="F96" s="54"/>
      <c r="G96" s="54"/>
      <c r="H96" s="15">
        <v>4314302</v>
      </c>
      <c r="I96" s="55">
        <v>0</v>
      </c>
      <c r="J96" s="15"/>
      <c r="K96" s="16">
        <f>(H96+I96)-J96</f>
        <v>4314302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1">SUM(F86:F96)</f>
        <v>0</v>
      </c>
      <c r="G98" s="18">
        <f t="shared" si="11"/>
        <v>0</v>
      </c>
      <c r="H98" s="18">
        <f>SUM(H86:H96)</f>
        <v>4314302</v>
      </c>
      <c r="I98" s="18">
        <f t="shared" si="11"/>
        <v>0</v>
      </c>
      <c r="J98" s="18">
        <f t="shared" si="11"/>
        <v>0</v>
      </c>
      <c r="K98" s="18">
        <f t="shared" si="11"/>
        <v>4314302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/>
      <c r="G102" s="54"/>
      <c r="H102" s="15"/>
      <c r="I102" s="55">
        <f>H102*F$114</f>
        <v>0</v>
      </c>
      <c r="J102" s="15"/>
      <c r="K102" s="16">
        <f>(H102+I102)-J102</f>
        <v>0</v>
      </c>
    </row>
    <row r="103" spans="1:11" ht="18" customHeight="1">
      <c r="A103" s="5" t="s">
        <v>132</v>
      </c>
      <c r="B103" s="550" t="s">
        <v>62</v>
      </c>
      <c r="C103" s="550"/>
      <c r="F103" s="54"/>
      <c r="G103" s="54"/>
      <c r="H103" s="15"/>
      <c r="I103" s="55">
        <f>H103*F$114</f>
        <v>0</v>
      </c>
      <c r="J103" s="15"/>
      <c r="K103" s="16">
        <f>(H103+I103)-J103</f>
        <v>0</v>
      </c>
    </row>
    <row r="104" spans="1:11" ht="18" customHeight="1">
      <c r="A104" s="5" t="s">
        <v>128</v>
      </c>
      <c r="B104" s="530"/>
      <c r="C104" s="531"/>
      <c r="D104" s="532"/>
      <c r="F104" s="54"/>
      <c r="G104" s="54"/>
      <c r="H104" s="15"/>
      <c r="I104" s="55">
        <f>H104*F$114</f>
        <v>0</v>
      </c>
      <c r="J104" s="15"/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2">SUM(F102:F106)</f>
        <v>0</v>
      </c>
      <c r="G108" s="18">
        <f t="shared" si="12"/>
        <v>0</v>
      </c>
      <c r="H108" s="16">
        <f t="shared" si="12"/>
        <v>0</v>
      </c>
      <c r="I108" s="16">
        <f t="shared" si="12"/>
        <v>0</v>
      </c>
      <c r="J108" s="16">
        <f t="shared" si="12"/>
        <v>0</v>
      </c>
      <c r="K108" s="16">
        <f t="shared" si="12"/>
        <v>0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1038210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0.4214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246930537</v>
      </c>
    </row>
    <row r="118" spans="1:6" ht="18" customHeight="1">
      <c r="A118" s="5" t="s">
        <v>173</v>
      </c>
      <c r="B118" t="s">
        <v>18</v>
      </c>
      <c r="F118" s="15">
        <v>823548</v>
      </c>
    </row>
    <row r="119" spans="1:6" ht="18" customHeight="1">
      <c r="A119" s="5" t="s">
        <v>174</v>
      </c>
      <c r="B119" s="2" t="s">
        <v>19</v>
      </c>
      <c r="F119" s="56">
        <f>SUM(F117:F118)</f>
        <v>247754085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238296345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v>9457740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-213403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v>9244337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3">SUM(F131:F135)</f>
        <v>0</v>
      </c>
      <c r="G137" s="18">
        <f t="shared" si="13"/>
        <v>0</v>
      </c>
      <c r="H137" s="16">
        <f t="shared" si="13"/>
        <v>0</v>
      </c>
      <c r="I137" s="16">
        <f t="shared" si="13"/>
        <v>0</v>
      </c>
      <c r="J137" s="16">
        <f t="shared" si="13"/>
        <v>0</v>
      </c>
      <c r="K137" s="16">
        <f t="shared" si="13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4">F36</f>
        <v>19668</v>
      </c>
      <c r="G141" s="41">
        <f t="shared" si="14"/>
        <v>34853</v>
      </c>
      <c r="H141" s="41">
        <f t="shared" si="14"/>
        <v>1449473.13</v>
      </c>
      <c r="I141" s="41">
        <f t="shared" si="14"/>
        <v>1598563.96</v>
      </c>
      <c r="J141" s="41">
        <f t="shared" si="14"/>
        <v>0</v>
      </c>
      <c r="K141" s="41">
        <f t="shared" si="14"/>
        <v>3048037.09</v>
      </c>
    </row>
    <row r="142" spans="1:11" ht="18" customHeight="1">
      <c r="A142" s="5" t="s">
        <v>142</v>
      </c>
      <c r="B142" s="2" t="s">
        <v>65</v>
      </c>
      <c r="F142" s="41">
        <f t="shared" ref="F142:K142" si="15">F49</f>
        <v>9990</v>
      </c>
      <c r="G142" s="41">
        <f t="shared" si="15"/>
        <v>27500</v>
      </c>
      <c r="H142" s="41">
        <f t="shared" si="15"/>
        <v>851081.63</v>
      </c>
      <c r="I142" s="41">
        <f t="shared" si="15"/>
        <v>176664</v>
      </c>
      <c r="J142" s="41">
        <f t="shared" si="15"/>
        <v>0</v>
      </c>
      <c r="K142" s="41">
        <f t="shared" si="15"/>
        <v>1027745.63</v>
      </c>
    </row>
    <row r="143" spans="1:11" ht="18" customHeight="1">
      <c r="A143" s="5" t="s">
        <v>144</v>
      </c>
      <c r="B143" s="2" t="s">
        <v>66</v>
      </c>
      <c r="F143" s="41">
        <f t="shared" ref="F143:K143" si="16">F64</f>
        <v>99877</v>
      </c>
      <c r="G143" s="41">
        <f t="shared" si="16"/>
        <v>75177</v>
      </c>
      <c r="H143" s="41">
        <f t="shared" si="16"/>
        <v>3833492</v>
      </c>
      <c r="I143" s="41">
        <f t="shared" si="16"/>
        <v>1684089.4356</v>
      </c>
      <c r="J143" s="41">
        <f t="shared" si="16"/>
        <v>2915824</v>
      </c>
      <c r="K143" s="41">
        <f t="shared" si="16"/>
        <v>2601757.4356</v>
      </c>
    </row>
    <row r="144" spans="1:11" ht="18" customHeight="1">
      <c r="A144" s="5" t="s">
        <v>146</v>
      </c>
      <c r="B144" s="2" t="s">
        <v>67</v>
      </c>
      <c r="F144" s="41">
        <f t="shared" ref="F144:K144" si="17">F74</f>
        <v>0</v>
      </c>
      <c r="G144" s="41">
        <f t="shared" si="17"/>
        <v>0</v>
      </c>
      <c r="H144" s="41">
        <f t="shared" si="17"/>
        <v>0</v>
      </c>
      <c r="I144" s="41">
        <f t="shared" si="17"/>
        <v>0</v>
      </c>
      <c r="J144" s="41">
        <f t="shared" si="17"/>
        <v>0</v>
      </c>
      <c r="K144" s="41">
        <f t="shared" si="17"/>
        <v>0</v>
      </c>
    </row>
    <row r="145" spans="1:11" ht="18" customHeight="1">
      <c r="A145" s="5" t="s">
        <v>148</v>
      </c>
      <c r="B145" s="2" t="s">
        <v>68</v>
      </c>
      <c r="F145" s="41">
        <f t="shared" ref="F145:K145" si="18">F82</f>
        <v>0</v>
      </c>
      <c r="G145" s="41">
        <f t="shared" si="18"/>
        <v>0</v>
      </c>
      <c r="H145" s="41">
        <f t="shared" si="18"/>
        <v>61100</v>
      </c>
      <c r="I145" s="41">
        <f t="shared" si="18"/>
        <v>0</v>
      </c>
      <c r="J145" s="41">
        <f t="shared" si="18"/>
        <v>0</v>
      </c>
      <c r="K145" s="41">
        <f t="shared" si="18"/>
        <v>61100</v>
      </c>
    </row>
    <row r="146" spans="1:11" ht="18" customHeight="1">
      <c r="A146" s="5" t="s">
        <v>150</v>
      </c>
      <c r="B146" s="2" t="s">
        <v>69</v>
      </c>
      <c r="F146" s="41">
        <f t="shared" ref="F146:K146" si="19">F98</f>
        <v>0</v>
      </c>
      <c r="G146" s="41">
        <f t="shared" si="19"/>
        <v>0</v>
      </c>
      <c r="H146" s="41">
        <f t="shared" si="19"/>
        <v>4314302</v>
      </c>
      <c r="I146" s="41">
        <f t="shared" si="19"/>
        <v>0</v>
      </c>
      <c r="J146" s="41">
        <f t="shared" si="19"/>
        <v>0</v>
      </c>
      <c r="K146" s="41">
        <f t="shared" si="19"/>
        <v>4314302</v>
      </c>
    </row>
    <row r="147" spans="1:11" ht="18" customHeight="1">
      <c r="A147" s="5" t="s">
        <v>153</v>
      </c>
      <c r="B147" s="2" t="s">
        <v>61</v>
      </c>
      <c r="F147" s="18">
        <f t="shared" ref="F147:K147" si="20">F108</f>
        <v>0</v>
      </c>
      <c r="G147" s="18">
        <f t="shared" si="20"/>
        <v>0</v>
      </c>
      <c r="H147" s="18">
        <f t="shared" si="20"/>
        <v>0</v>
      </c>
      <c r="I147" s="18">
        <f t="shared" si="20"/>
        <v>0</v>
      </c>
      <c r="J147" s="18">
        <f t="shared" si="20"/>
        <v>0</v>
      </c>
      <c r="K147" s="18">
        <f t="shared" si="20"/>
        <v>0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1038210</v>
      </c>
    </row>
    <row r="149" spans="1:11" ht="18" customHeight="1">
      <c r="A149" s="5" t="s">
        <v>163</v>
      </c>
      <c r="B149" s="2" t="s">
        <v>71</v>
      </c>
      <c r="F149" s="18">
        <f t="shared" ref="F149:K149" si="21">F137</f>
        <v>0</v>
      </c>
      <c r="G149" s="18">
        <f t="shared" si="21"/>
        <v>0</v>
      </c>
      <c r="H149" s="18">
        <f t="shared" si="21"/>
        <v>0</v>
      </c>
      <c r="I149" s="18">
        <f t="shared" si="21"/>
        <v>0</v>
      </c>
      <c r="J149" s="18">
        <f t="shared" si="21"/>
        <v>0</v>
      </c>
      <c r="K149" s="18">
        <f t="shared" si="21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6847079</v>
      </c>
      <c r="I150" s="18">
        <f>I18</f>
        <v>0</v>
      </c>
      <c r="J150" s="18">
        <f>J18</f>
        <v>5855108</v>
      </c>
      <c r="K150" s="18">
        <f>K18</f>
        <v>991971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2">SUM(F141:F150)</f>
        <v>129535</v>
      </c>
      <c r="G152" s="49">
        <f t="shared" si="22"/>
        <v>137530</v>
      </c>
      <c r="H152" s="49">
        <f t="shared" si="22"/>
        <v>17356527.759999998</v>
      </c>
      <c r="I152" s="49">
        <f t="shared" si="22"/>
        <v>3459317.3955999999</v>
      </c>
      <c r="J152" s="49">
        <f t="shared" si="22"/>
        <v>8770932</v>
      </c>
      <c r="K152" s="49">
        <f t="shared" si="22"/>
        <v>13083123.1556</v>
      </c>
    </row>
    <row r="154" spans="1:11" ht="18" customHeight="1">
      <c r="A154" s="6" t="s">
        <v>168</v>
      </c>
      <c r="B154" s="2" t="s">
        <v>28</v>
      </c>
      <c r="F154" s="64">
        <f>K152/F121</f>
        <v>5.4902743705951509E-2</v>
      </c>
    </row>
    <row r="155" spans="1:11" ht="18" customHeight="1">
      <c r="A155" s="6" t="s">
        <v>169</v>
      </c>
      <c r="B155" s="2" t="s">
        <v>72</v>
      </c>
      <c r="F155" s="64">
        <f>K152/F127</f>
        <v>1.4152581364785815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B59:D59"/>
    <mergeCell ref="B62:D62"/>
    <mergeCell ref="C10:G10"/>
    <mergeCell ref="B30:D30"/>
    <mergeCell ref="B134:D134"/>
    <mergeCell ref="B135:D135"/>
    <mergeCell ref="B133:D133"/>
    <mergeCell ref="B104:D104"/>
    <mergeCell ref="B13:H13"/>
    <mergeCell ref="B52:C52"/>
    <mergeCell ref="B90:C90"/>
    <mergeCell ref="B53:D53"/>
    <mergeCell ref="B55:D55"/>
    <mergeCell ref="B105:D105"/>
    <mergeCell ref="B106:D106"/>
    <mergeCell ref="B94:D94"/>
    <mergeCell ref="B96:D96"/>
    <mergeCell ref="B56:D56"/>
    <mergeCell ref="B95:D95"/>
    <mergeCell ref="B57:D57"/>
    <mergeCell ref="B103:C103"/>
    <mergeCell ref="D2:H2"/>
    <mergeCell ref="B45:D45"/>
    <mergeCell ref="B46:D46"/>
    <mergeCell ref="B47:D47"/>
    <mergeCell ref="B34:D34"/>
    <mergeCell ref="C11:G11"/>
    <mergeCell ref="B41:C41"/>
    <mergeCell ref="B44:D44"/>
    <mergeCell ref="B31:D31"/>
    <mergeCell ref="C5:G5"/>
    <mergeCell ref="C6:G6"/>
    <mergeCell ref="C7:G7"/>
    <mergeCell ref="C9:G9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80" zoomScaleNormal="70" zoomScaleSheetLayoutView="8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84" t="s">
        <v>549</v>
      </c>
      <c r="D5" s="534"/>
      <c r="E5" s="534"/>
      <c r="F5" s="534"/>
      <c r="G5" s="535"/>
    </row>
    <row r="6" spans="1:11" ht="18" customHeight="1">
      <c r="B6" s="5" t="s">
        <v>3</v>
      </c>
      <c r="C6" s="653" t="s">
        <v>548</v>
      </c>
      <c r="D6" s="537"/>
      <c r="E6" s="537"/>
      <c r="F6" s="537"/>
      <c r="G6" s="538"/>
    </row>
    <row r="7" spans="1:11" ht="18" customHeight="1">
      <c r="B7" s="5" t="s">
        <v>4</v>
      </c>
      <c r="C7" s="640">
        <v>2769</v>
      </c>
      <c r="D7" s="641"/>
      <c r="E7" s="641"/>
      <c r="F7" s="641"/>
      <c r="G7" s="642"/>
    </row>
    <row r="9" spans="1:11" ht="18" customHeight="1">
      <c r="B9" s="5" t="s">
        <v>1</v>
      </c>
      <c r="C9" s="584" t="s">
        <v>547</v>
      </c>
      <c r="D9" s="534"/>
      <c r="E9" s="534"/>
      <c r="F9" s="534"/>
      <c r="G9" s="535"/>
    </row>
    <row r="10" spans="1:11" ht="18" customHeight="1">
      <c r="B10" s="5" t="s">
        <v>2</v>
      </c>
      <c r="C10" s="586" t="s">
        <v>546</v>
      </c>
      <c r="D10" s="543"/>
      <c r="E10" s="543"/>
      <c r="F10" s="543"/>
      <c r="G10" s="544"/>
    </row>
    <row r="11" spans="1:11" ht="18" customHeight="1">
      <c r="B11" s="5" t="s">
        <v>32</v>
      </c>
      <c r="C11" s="584" t="s">
        <v>545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10352951</v>
      </c>
      <c r="I18" s="55">
        <v>0</v>
      </c>
      <c r="J18" s="15">
        <v>8853068</v>
      </c>
      <c r="K18" s="16">
        <f>(H18+I18)-J18</f>
        <v>1499883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1702</v>
      </c>
      <c r="G21" s="54">
        <v>10984</v>
      </c>
      <c r="H21" s="15">
        <v>211247</v>
      </c>
      <c r="I21" s="55">
        <f>H21*F$114</f>
        <v>111899.26323517543</v>
      </c>
      <c r="J21" s="15">
        <v>49827</v>
      </c>
      <c r="K21" s="16">
        <f t="shared" ref="K21:K34" si="0">(H21+I21)-J21</f>
        <v>273319.2632351754</v>
      </c>
    </row>
    <row r="22" spans="1:11" ht="18" customHeight="1">
      <c r="A22" s="5" t="s">
        <v>76</v>
      </c>
      <c r="B22" t="s">
        <v>6</v>
      </c>
      <c r="F22" s="54"/>
      <c r="G22" s="54"/>
      <c r="H22" s="15"/>
      <c r="I22" s="55">
        <f>H22*F$114</f>
        <v>0</v>
      </c>
      <c r="J22" s="15"/>
      <c r="K22" s="16">
        <f t="shared" si="0"/>
        <v>0</v>
      </c>
    </row>
    <row r="23" spans="1:11" ht="18" customHeight="1">
      <c r="A23" s="5" t="s">
        <v>77</v>
      </c>
      <c r="B23" t="s">
        <v>43</v>
      </c>
      <c r="F23" s="54"/>
      <c r="G23" s="54"/>
      <c r="H23" s="15"/>
      <c r="I23" s="55">
        <f>H23*F$114</f>
        <v>0</v>
      </c>
      <c r="J23" s="15"/>
      <c r="K23" s="16">
        <f t="shared" si="0"/>
        <v>0</v>
      </c>
    </row>
    <row r="24" spans="1:11" ht="18" customHeight="1">
      <c r="A24" s="5" t="s">
        <v>78</v>
      </c>
      <c r="B24" t="s">
        <v>44</v>
      </c>
      <c r="F24" s="54"/>
      <c r="G24" s="54">
        <v>24</v>
      </c>
      <c r="H24" s="15">
        <v>8367.2400000000034</v>
      </c>
      <c r="I24" s="55">
        <v>0</v>
      </c>
      <c r="J24" s="15"/>
      <c r="K24" s="16">
        <f t="shared" si="0"/>
        <v>8367.2400000000034</v>
      </c>
    </row>
    <row r="25" spans="1:11" ht="18" customHeight="1">
      <c r="A25" s="5" t="s">
        <v>79</v>
      </c>
      <c r="B25" t="s">
        <v>5</v>
      </c>
      <c r="F25" s="54">
        <v>805</v>
      </c>
      <c r="G25" s="54">
        <v>14602</v>
      </c>
      <c r="H25" s="15">
        <v>238146</v>
      </c>
      <c r="I25" s="55">
        <f t="shared" ref="I25:I34" si="1">H25*F$114</f>
        <v>126147.88348428185</v>
      </c>
      <c r="J25" s="15">
        <v>7500</v>
      </c>
      <c r="K25" s="16">
        <f t="shared" si="0"/>
        <v>356793.88348428183</v>
      </c>
    </row>
    <row r="26" spans="1:11" ht="18" customHeight="1">
      <c r="A26" s="5" t="s">
        <v>80</v>
      </c>
      <c r="B26" t="s">
        <v>45</v>
      </c>
      <c r="F26" s="54"/>
      <c r="G26" s="54"/>
      <c r="H26" s="15"/>
      <c r="I26" s="55">
        <f t="shared" si="1"/>
        <v>0</v>
      </c>
      <c r="J26" s="15"/>
      <c r="K26" s="16">
        <f t="shared" si="0"/>
        <v>0</v>
      </c>
    </row>
    <row r="27" spans="1:11" ht="18" customHeight="1">
      <c r="A27" s="5" t="s">
        <v>81</v>
      </c>
      <c r="B27" t="s">
        <v>46</v>
      </c>
      <c r="F27" s="54"/>
      <c r="G27" s="54"/>
      <c r="H27" s="15"/>
      <c r="I27" s="55">
        <f t="shared" si="1"/>
        <v>0</v>
      </c>
      <c r="J27" s="15"/>
      <c r="K27" s="16">
        <f t="shared" si="0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15"/>
      <c r="I28" s="55">
        <f t="shared" si="1"/>
        <v>0</v>
      </c>
      <c r="J28" s="15"/>
      <c r="K28" s="16">
        <f t="shared" si="0"/>
        <v>0</v>
      </c>
    </row>
    <row r="29" spans="1:11" ht="18" customHeight="1">
      <c r="A29" s="5" t="s">
        <v>83</v>
      </c>
      <c r="B29" t="s">
        <v>48</v>
      </c>
      <c r="F29" s="54">
        <v>9057</v>
      </c>
      <c r="G29" s="54"/>
      <c r="H29" s="15">
        <v>199092</v>
      </c>
      <c r="I29" s="55">
        <f t="shared" si="1"/>
        <v>105460.66034555541</v>
      </c>
      <c r="J29" s="15"/>
      <c r="K29" s="16">
        <f t="shared" si="0"/>
        <v>304552.6603455554</v>
      </c>
    </row>
    <row r="30" spans="1:11" ht="18" customHeight="1">
      <c r="A30" s="5" t="s">
        <v>84</v>
      </c>
      <c r="B30" s="547"/>
      <c r="C30" s="548"/>
      <c r="D30" s="549"/>
      <c r="F30" s="54"/>
      <c r="G30" s="54"/>
      <c r="H30" s="15"/>
      <c r="I30" s="55">
        <f t="shared" si="1"/>
        <v>0</v>
      </c>
      <c r="J30" s="15"/>
      <c r="K30" s="16">
        <f t="shared" si="0"/>
        <v>0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 t="shared" si="1"/>
        <v>0</v>
      </c>
      <c r="J31" s="15"/>
      <c r="K31" s="16">
        <f t="shared" si="0"/>
        <v>0</v>
      </c>
    </row>
    <row r="32" spans="1:11" ht="18" customHeight="1">
      <c r="A32" s="5" t="s">
        <v>134</v>
      </c>
      <c r="B32" s="191"/>
      <c r="C32" s="192"/>
      <c r="D32" s="193"/>
      <c r="F32" s="54"/>
      <c r="G32" s="52" t="s">
        <v>85</v>
      </c>
      <c r="H32" s="15"/>
      <c r="I32" s="55">
        <f t="shared" si="1"/>
        <v>0</v>
      </c>
      <c r="J32" s="15"/>
      <c r="K32" s="16">
        <f t="shared" si="0"/>
        <v>0</v>
      </c>
    </row>
    <row r="33" spans="1:11" ht="18" customHeight="1">
      <c r="A33" s="5" t="s">
        <v>135</v>
      </c>
      <c r="B33" s="191"/>
      <c r="C33" s="192"/>
      <c r="D33" s="193"/>
      <c r="F33" s="54"/>
      <c r="G33" s="52" t="s">
        <v>85</v>
      </c>
      <c r="H33" s="15"/>
      <c r="I33" s="55">
        <f t="shared" si="1"/>
        <v>0</v>
      </c>
      <c r="J33" s="15"/>
      <c r="K33" s="16">
        <f t="shared" si="0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 t="shared" si="1"/>
        <v>0</v>
      </c>
      <c r="J34" s="15"/>
      <c r="K34" s="16">
        <f t="shared" si="0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11564</v>
      </c>
      <c r="G36" s="18">
        <f t="shared" si="2"/>
        <v>25610</v>
      </c>
      <c r="H36" s="18">
        <f t="shared" si="2"/>
        <v>656852.24</v>
      </c>
      <c r="I36" s="16">
        <f t="shared" si="2"/>
        <v>343507.80706501269</v>
      </c>
      <c r="J36" s="16">
        <f t="shared" si="2"/>
        <v>57327</v>
      </c>
      <c r="K36" s="16">
        <f t="shared" si="2"/>
        <v>943033.04706501262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>
        <v>151840</v>
      </c>
      <c r="G40" s="54"/>
      <c r="H40" s="15">
        <v>6533721.4606214818</v>
      </c>
      <c r="I40" s="55">
        <v>0</v>
      </c>
      <c r="J40" s="15"/>
      <c r="K40" s="16">
        <f t="shared" ref="K40:K47" si="3">(H40+I40)-J40</f>
        <v>6533721.4606214818</v>
      </c>
    </row>
    <row r="41" spans="1:11" ht="18" customHeight="1">
      <c r="A41" s="5" t="s">
        <v>88</v>
      </c>
      <c r="B41" s="550" t="s">
        <v>50</v>
      </c>
      <c r="C41" s="551"/>
      <c r="F41" s="54"/>
      <c r="G41" s="54"/>
      <c r="H41" s="15"/>
      <c r="I41" s="55">
        <v>0</v>
      </c>
      <c r="J41" s="15"/>
      <c r="K41" s="16">
        <f t="shared" si="3"/>
        <v>0</v>
      </c>
    </row>
    <row r="42" spans="1:11" ht="18" customHeight="1">
      <c r="A42" s="5" t="s">
        <v>89</v>
      </c>
      <c r="B42" s="1" t="s">
        <v>11</v>
      </c>
      <c r="F42" s="54"/>
      <c r="G42" s="54"/>
      <c r="H42" s="15"/>
      <c r="I42" s="55">
        <v>0</v>
      </c>
      <c r="J42" s="15"/>
      <c r="K42" s="16">
        <f t="shared" si="3"/>
        <v>0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/>
      <c r="I43" s="55">
        <v>0</v>
      </c>
      <c r="J43" s="15"/>
      <c r="K43" s="16">
        <f t="shared" si="3"/>
        <v>0</v>
      </c>
    </row>
    <row r="44" spans="1:11" ht="18" customHeight="1">
      <c r="A44" s="5" t="s">
        <v>91</v>
      </c>
      <c r="B44" s="547"/>
      <c r="C44" s="548"/>
      <c r="D44" s="549"/>
      <c r="F44" s="82"/>
      <c r="G44" s="82"/>
      <c r="H44" s="82"/>
      <c r="I44" s="83">
        <v>0</v>
      </c>
      <c r="J44" s="82"/>
      <c r="K44" s="81">
        <f t="shared" si="3"/>
        <v>0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3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3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3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151840</v>
      </c>
      <c r="G49" s="23">
        <f t="shared" si="4"/>
        <v>0</v>
      </c>
      <c r="H49" s="16">
        <f t="shared" si="4"/>
        <v>6533721.4606214818</v>
      </c>
      <c r="I49" s="16">
        <f t="shared" si="4"/>
        <v>0</v>
      </c>
      <c r="J49" s="16">
        <f t="shared" si="4"/>
        <v>0</v>
      </c>
      <c r="K49" s="16">
        <f t="shared" si="4"/>
        <v>6533721.4606214818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 t="s">
        <v>544</v>
      </c>
      <c r="C53" s="559"/>
      <c r="D53" s="532"/>
      <c r="F53" s="54"/>
      <c r="G53" s="54"/>
      <c r="H53" s="15">
        <v>4500</v>
      </c>
      <c r="I53" s="55">
        <v>2383.6867958280563</v>
      </c>
      <c r="J53" s="15"/>
      <c r="K53" s="16">
        <f t="shared" ref="K53:K62" si="5">(H53+I53)-J53</f>
        <v>6883.6867958280563</v>
      </c>
    </row>
    <row r="54" spans="1:11" ht="18" customHeight="1">
      <c r="A54" s="5" t="s">
        <v>93</v>
      </c>
      <c r="B54" s="189" t="s">
        <v>543</v>
      </c>
      <c r="C54" s="190"/>
      <c r="D54" s="188"/>
      <c r="F54" s="54"/>
      <c r="G54" s="54"/>
      <c r="H54" s="15">
        <v>10500</v>
      </c>
      <c r="I54" s="55">
        <v>5561.9358569321312</v>
      </c>
      <c r="J54" s="15"/>
      <c r="K54" s="16">
        <f t="shared" si="5"/>
        <v>16061.93585693213</v>
      </c>
    </row>
    <row r="55" spans="1:11" ht="18" customHeight="1">
      <c r="A55" s="5" t="s">
        <v>94</v>
      </c>
      <c r="B55" s="530" t="s">
        <v>542</v>
      </c>
      <c r="C55" s="531"/>
      <c r="D55" s="532"/>
      <c r="F55" s="54"/>
      <c r="G55" s="54">
        <v>0</v>
      </c>
      <c r="H55" s="15">
        <v>10279</v>
      </c>
      <c r="I55" s="55">
        <v>5444.8703498481309</v>
      </c>
      <c r="J55" s="15"/>
      <c r="K55" s="16">
        <f t="shared" si="5"/>
        <v>15723.87034984813</v>
      </c>
    </row>
    <row r="56" spans="1:11" ht="18" customHeight="1">
      <c r="A56" s="5" t="s">
        <v>95</v>
      </c>
      <c r="B56" s="557" t="s">
        <v>541</v>
      </c>
      <c r="C56" s="531"/>
      <c r="D56" s="532"/>
      <c r="F56" s="54" t="s">
        <v>740</v>
      </c>
      <c r="G56" s="54"/>
      <c r="H56" s="15">
        <v>93743</v>
      </c>
      <c r="I56" s="55">
        <v>49656.433622513214</v>
      </c>
      <c r="J56" s="15"/>
      <c r="K56" s="16">
        <f t="shared" si="5"/>
        <v>143399.4336225132</v>
      </c>
    </row>
    <row r="57" spans="1:11" ht="18" customHeight="1">
      <c r="A57" s="5" t="s">
        <v>96</v>
      </c>
      <c r="B57" s="557" t="s">
        <v>540</v>
      </c>
      <c r="C57" s="531"/>
      <c r="D57" s="532"/>
      <c r="F57" s="54">
        <v>6691</v>
      </c>
      <c r="G57" s="54">
        <v>3645</v>
      </c>
      <c r="H57" s="15">
        <v>1774210</v>
      </c>
      <c r="I57" s="55">
        <v>939813.54445024347</v>
      </c>
      <c r="J57" s="15">
        <v>516941</v>
      </c>
      <c r="K57" s="16">
        <f t="shared" si="5"/>
        <v>2197082.5444502435</v>
      </c>
    </row>
    <row r="58" spans="1:11" ht="18" customHeight="1">
      <c r="A58" s="5" t="s">
        <v>97</v>
      </c>
      <c r="B58" s="189" t="s">
        <v>539</v>
      </c>
      <c r="C58" s="190"/>
      <c r="D58" s="188"/>
      <c r="F58" s="54"/>
      <c r="G58" s="54"/>
      <c r="H58" s="15">
        <v>1460978.54</v>
      </c>
      <c r="I58" s="55">
        <v>0</v>
      </c>
      <c r="J58" s="15"/>
      <c r="K58" s="16">
        <f t="shared" si="5"/>
        <v>1460978.54</v>
      </c>
    </row>
    <row r="59" spans="1:11" ht="18" customHeight="1">
      <c r="A59" s="5" t="s">
        <v>98</v>
      </c>
      <c r="B59" s="530" t="s">
        <v>538</v>
      </c>
      <c r="C59" s="531"/>
      <c r="D59" s="532"/>
      <c r="F59" s="54"/>
      <c r="G59" s="54"/>
      <c r="H59" s="15">
        <v>271912</v>
      </c>
      <c r="I59" s="55">
        <v>0</v>
      </c>
      <c r="J59" s="15">
        <v>156567</v>
      </c>
      <c r="K59" s="16">
        <f t="shared" si="5"/>
        <v>115345</v>
      </c>
    </row>
    <row r="60" spans="1:11" ht="18" customHeight="1">
      <c r="A60" s="5" t="s">
        <v>99</v>
      </c>
      <c r="B60" s="189"/>
      <c r="C60" s="190"/>
      <c r="D60" s="188"/>
      <c r="F60" s="54"/>
      <c r="G60" s="54"/>
      <c r="H60" s="15"/>
      <c r="I60" s="55">
        <v>0</v>
      </c>
      <c r="J60" s="15"/>
      <c r="K60" s="16">
        <f t="shared" si="5"/>
        <v>0</v>
      </c>
    </row>
    <row r="61" spans="1:11" ht="18" customHeight="1">
      <c r="A61" s="5" t="s">
        <v>100</v>
      </c>
      <c r="B61" s="189"/>
      <c r="C61" s="190"/>
      <c r="D61" s="188"/>
      <c r="F61" s="54"/>
      <c r="G61" s="54"/>
      <c r="H61" s="15"/>
      <c r="I61" s="55">
        <v>0</v>
      </c>
      <c r="J61" s="15"/>
      <c r="K61" s="16">
        <f t="shared" si="5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5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6">SUM(F53:F62)</f>
        <v>6691</v>
      </c>
      <c r="G64" s="18">
        <f t="shared" si="6"/>
        <v>3645</v>
      </c>
      <c r="H64" s="16">
        <f t="shared" si="6"/>
        <v>3626122.54</v>
      </c>
      <c r="I64" s="16">
        <f t="shared" si="6"/>
        <v>1002860.471075365</v>
      </c>
      <c r="J64" s="16">
        <f t="shared" si="6"/>
        <v>673508</v>
      </c>
      <c r="K64" s="16">
        <f t="shared" si="6"/>
        <v>3955475.0110753649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>
        <v>5564</v>
      </c>
      <c r="G68" s="51"/>
      <c r="H68" s="51">
        <v>292956</v>
      </c>
      <c r="I68" s="55">
        <f>+H68*F$114</f>
        <v>155181.18865746757</v>
      </c>
      <c r="J68" s="51">
        <v>269924</v>
      </c>
      <c r="K68" s="16">
        <f>(H68+I68)-J68</f>
        <v>178213.1886574676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189"/>
      <c r="C70" s="190"/>
      <c r="D70" s="188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189"/>
      <c r="C71" s="190"/>
      <c r="D71" s="188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186"/>
      <c r="C72" s="187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7">SUM(F68:F72)</f>
        <v>5564</v>
      </c>
      <c r="G74" s="21">
        <f t="shared" si="7"/>
        <v>0</v>
      </c>
      <c r="H74" s="21">
        <f t="shared" si="7"/>
        <v>292956</v>
      </c>
      <c r="I74" s="53">
        <f t="shared" si="7"/>
        <v>155181.18865746757</v>
      </c>
      <c r="J74" s="21">
        <f t="shared" si="7"/>
        <v>269924</v>
      </c>
      <c r="K74" s="56">
        <f t="shared" si="7"/>
        <v>178213.1886574676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/>
      <c r="G77" s="54"/>
      <c r="H77" s="15">
        <v>734110</v>
      </c>
      <c r="I77" s="55">
        <v>0</v>
      </c>
      <c r="J77" s="15"/>
      <c r="K77" s="16">
        <f>(H77+I77)-J77</f>
        <v>734110</v>
      </c>
    </row>
    <row r="78" spans="1:11" ht="18" customHeight="1">
      <c r="A78" s="5" t="s">
        <v>108</v>
      </c>
      <c r="B78" s="1" t="s">
        <v>55</v>
      </c>
      <c r="F78" s="54"/>
      <c r="G78" s="54"/>
      <c r="H78" s="15"/>
      <c r="I78" s="55"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/>
      <c r="G79" s="54"/>
      <c r="H79" s="15">
        <v>305240</v>
      </c>
      <c r="I79" s="55">
        <v>0</v>
      </c>
      <c r="J79" s="15"/>
      <c r="K79" s="16">
        <f>(H79+I79)-J79</f>
        <v>305240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8">SUM(F77:F80)</f>
        <v>0</v>
      </c>
      <c r="G82" s="21">
        <f t="shared" si="8"/>
        <v>0</v>
      </c>
      <c r="H82" s="56">
        <f t="shared" si="8"/>
        <v>1039350</v>
      </c>
      <c r="I82" s="56">
        <f t="shared" si="8"/>
        <v>0</v>
      </c>
      <c r="J82" s="56">
        <f t="shared" si="8"/>
        <v>0</v>
      </c>
      <c r="K82" s="56">
        <f t="shared" si="8"/>
        <v>1039350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f t="shared" ref="I86:I96" si="9">H86*F$114</f>
        <v>0</v>
      </c>
      <c r="J86" s="15"/>
      <c r="K86" s="16">
        <f t="shared" ref="K86:K96" si="10">(H86+I86)-J86</f>
        <v>0</v>
      </c>
    </row>
    <row r="87" spans="1:11" ht="18" customHeight="1">
      <c r="A87" s="5" t="s">
        <v>114</v>
      </c>
      <c r="B87" s="1" t="s">
        <v>14</v>
      </c>
      <c r="F87" s="54"/>
      <c r="G87" s="54"/>
      <c r="H87" s="15"/>
      <c r="I87" s="55">
        <f t="shared" si="9"/>
        <v>0</v>
      </c>
      <c r="J87" s="15"/>
      <c r="K87" s="16">
        <f t="shared" si="10"/>
        <v>0</v>
      </c>
    </row>
    <row r="88" spans="1:11" ht="18" customHeight="1">
      <c r="A88" s="5" t="s">
        <v>115</v>
      </c>
      <c r="B88" s="1" t="s">
        <v>116</v>
      </c>
      <c r="F88" s="54"/>
      <c r="G88" s="54"/>
      <c r="H88" s="15">
        <v>51124</v>
      </c>
      <c r="I88" s="55">
        <f t="shared" si="9"/>
        <v>27080.800833314122</v>
      </c>
      <c r="J88" s="15">
        <v>30000</v>
      </c>
      <c r="K88" s="16">
        <f t="shared" si="10"/>
        <v>48204.800833314119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 t="shared" si="9"/>
        <v>0</v>
      </c>
      <c r="J89" s="15"/>
      <c r="K89" s="16">
        <f t="shared" si="10"/>
        <v>0</v>
      </c>
    </row>
    <row r="90" spans="1:11" ht="18" customHeight="1">
      <c r="A90" s="5" t="s">
        <v>118</v>
      </c>
      <c r="B90" s="550" t="s">
        <v>59</v>
      </c>
      <c r="C90" s="551"/>
      <c r="F90" s="54"/>
      <c r="G90" s="54"/>
      <c r="H90" s="15"/>
      <c r="I90" s="55">
        <f t="shared" si="9"/>
        <v>0</v>
      </c>
      <c r="J90" s="15"/>
      <c r="K90" s="16">
        <f t="shared" si="10"/>
        <v>0</v>
      </c>
    </row>
    <row r="91" spans="1:11" ht="18" customHeight="1">
      <c r="A91" s="5" t="s">
        <v>119</v>
      </c>
      <c r="B91" s="1" t="s">
        <v>60</v>
      </c>
      <c r="F91" s="54"/>
      <c r="G91" s="54"/>
      <c r="H91" s="15"/>
      <c r="I91" s="55">
        <f t="shared" si="9"/>
        <v>0</v>
      </c>
      <c r="J91" s="15"/>
      <c r="K91" s="16">
        <f t="shared" si="10"/>
        <v>0</v>
      </c>
    </row>
    <row r="92" spans="1:11" ht="18" customHeight="1">
      <c r="A92" s="5" t="s">
        <v>120</v>
      </c>
      <c r="B92" s="1" t="s">
        <v>121</v>
      </c>
      <c r="F92" s="38"/>
      <c r="G92" s="38"/>
      <c r="H92" s="39"/>
      <c r="I92" s="55">
        <f t="shared" si="9"/>
        <v>0</v>
      </c>
      <c r="J92" s="39"/>
      <c r="K92" s="16">
        <f t="shared" si="10"/>
        <v>0</v>
      </c>
    </row>
    <row r="93" spans="1:11" ht="18" customHeight="1">
      <c r="A93" s="5" t="s">
        <v>122</v>
      </c>
      <c r="B93" s="1" t="s">
        <v>123</v>
      </c>
      <c r="F93" s="54"/>
      <c r="G93" s="54"/>
      <c r="H93" s="15"/>
      <c r="I93" s="55">
        <f t="shared" si="9"/>
        <v>0</v>
      </c>
      <c r="J93" s="15"/>
      <c r="K93" s="16">
        <f t="shared" si="10"/>
        <v>0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f t="shared" si="9"/>
        <v>0</v>
      </c>
      <c r="J94" s="15"/>
      <c r="K94" s="16">
        <f t="shared" si="10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9"/>
        <v>0</v>
      </c>
      <c r="J95" s="15"/>
      <c r="K95" s="16">
        <f t="shared" si="10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9"/>
        <v>0</v>
      </c>
      <c r="J96" s="15"/>
      <c r="K96" s="16">
        <f t="shared" si="10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1">SUM(F86:F96)</f>
        <v>0</v>
      </c>
      <c r="G98" s="18">
        <f t="shared" si="11"/>
        <v>0</v>
      </c>
      <c r="H98" s="18">
        <f t="shared" si="11"/>
        <v>51124</v>
      </c>
      <c r="I98" s="18">
        <f t="shared" si="11"/>
        <v>27080.800833314122</v>
      </c>
      <c r="J98" s="18">
        <f t="shared" si="11"/>
        <v>30000</v>
      </c>
      <c r="K98" s="18">
        <f t="shared" si="11"/>
        <v>48204.800833314119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/>
      <c r="G102" s="54"/>
      <c r="H102" s="15"/>
      <c r="I102" s="55">
        <f>H102*F$114</f>
        <v>0</v>
      </c>
      <c r="J102" s="15"/>
      <c r="K102" s="16">
        <f>(H102+I102)-J102</f>
        <v>0</v>
      </c>
    </row>
    <row r="103" spans="1:11" ht="18" customHeight="1">
      <c r="A103" s="5" t="s">
        <v>132</v>
      </c>
      <c r="B103" s="550" t="s">
        <v>62</v>
      </c>
      <c r="C103" s="550"/>
      <c r="F103" s="54"/>
      <c r="G103" s="54"/>
      <c r="H103" s="15"/>
      <c r="I103" s="55">
        <f>H103*F$114</f>
        <v>0</v>
      </c>
      <c r="J103" s="15"/>
      <c r="K103" s="16">
        <f>(H103+I103)-J103</f>
        <v>0</v>
      </c>
    </row>
    <row r="104" spans="1:11" ht="18" customHeight="1">
      <c r="A104" s="5" t="s">
        <v>128</v>
      </c>
      <c r="B104" s="530"/>
      <c r="C104" s="531"/>
      <c r="D104" s="532"/>
      <c r="F104" s="54"/>
      <c r="G104" s="54"/>
      <c r="H104" s="15"/>
      <c r="I104" s="55">
        <f>H104*F$114</f>
        <v>0</v>
      </c>
      <c r="J104" s="15"/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2">SUM(F102:F106)</f>
        <v>0</v>
      </c>
      <c r="G108" s="18">
        <f t="shared" si="12"/>
        <v>0</v>
      </c>
      <c r="H108" s="16">
        <f t="shared" si="12"/>
        <v>0</v>
      </c>
      <c r="I108" s="16">
        <f t="shared" si="12"/>
        <v>0</v>
      </c>
      <c r="J108" s="16">
        <f t="shared" si="12"/>
        <v>0</v>
      </c>
      <c r="K108" s="16">
        <f t="shared" si="12"/>
        <v>0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21195691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0.52970817685067917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413222662</v>
      </c>
    </row>
    <row r="118" spans="1:6" ht="18" customHeight="1">
      <c r="A118" s="5" t="s">
        <v>173</v>
      </c>
      <c r="B118" t="s">
        <v>18</v>
      </c>
      <c r="F118" s="15">
        <v>9909340</v>
      </c>
    </row>
    <row r="119" spans="1:6" ht="18" customHeight="1">
      <c r="A119" s="5" t="s">
        <v>174</v>
      </c>
      <c r="B119" s="2" t="s">
        <v>19</v>
      </c>
      <c r="F119" s="56">
        <f>SUM(F117:F118)</f>
        <v>423132002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379701946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v>43430056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478886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v>43908942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3">SUM(F131:F135)</f>
        <v>0</v>
      </c>
      <c r="G137" s="18">
        <f t="shared" si="13"/>
        <v>0</v>
      </c>
      <c r="H137" s="16">
        <f t="shared" si="13"/>
        <v>0</v>
      </c>
      <c r="I137" s="16">
        <f t="shared" si="13"/>
        <v>0</v>
      </c>
      <c r="J137" s="16">
        <f t="shared" si="13"/>
        <v>0</v>
      </c>
      <c r="K137" s="16">
        <f t="shared" si="13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4">F36</f>
        <v>11564</v>
      </c>
      <c r="G141" s="41">
        <f t="shared" si="14"/>
        <v>25610</v>
      </c>
      <c r="H141" s="41">
        <f t="shared" si="14"/>
        <v>656852.24</v>
      </c>
      <c r="I141" s="41">
        <f t="shared" si="14"/>
        <v>343507.80706501269</v>
      </c>
      <c r="J141" s="41">
        <f t="shared" si="14"/>
        <v>57327</v>
      </c>
      <c r="K141" s="41">
        <f t="shared" si="14"/>
        <v>943033.04706501262</v>
      </c>
    </row>
    <row r="142" spans="1:11" ht="18" customHeight="1">
      <c r="A142" s="5" t="s">
        <v>142</v>
      </c>
      <c r="B142" s="2" t="s">
        <v>65</v>
      </c>
      <c r="F142" s="41">
        <f t="shared" ref="F142:K142" si="15">F49</f>
        <v>151840</v>
      </c>
      <c r="G142" s="41">
        <f t="shared" si="15"/>
        <v>0</v>
      </c>
      <c r="H142" s="41">
        <f t="shared" si="15"/>
        <v>6533721.4606214818</v>
      </c>
      <c r="I142" s="41">
        <f t="shared" si="15"/>
        <v>0</v>
      </c>
      <c r="J142" s="41">
        <f t="shared" si="15"/>
        <v>0</v>
      </c>
      <c r="K142" s="41">
        <f t="shared" si="15"/>
        <v>6533721.4606214818</v>
      </c>
    </row>
    <row r="143" spans="1:11" ht="18" customHeight="1">
      <c r="A143" s="5" t="s">
        <v>144</v>
      </c>
      <c r="B143" s="2" t="s">
        <v>66</v>
      </c>
      <c r="F143" s="41">
        <f t="shared" ref="F143:K143" si="16">F64</f>
        <v>6691</v>
      </c>
      <c r="G143" s="41">
        <f t="shared" si="16"/>
        <v>3645</v>
      </c>
      <c r="H143" s="41">
        <f t="shared" si="16"/>
        <v>3626122.54</v>
      </c>
      <c r="I143" s="41">
        <f t="shared" si="16"/>
        <v>1002860.471075365</v>
      </c>
      <c r="J143" s="41">
        <f t="shared" si="16"/>
        <v>673508</v>
      </c>
      <c r="K143" s="41">
        <f t="shared" si="16"/>
        <v>3955475.0110753649</v>
      </c>
    </row>
    <row r="144" spans="1:11" ht="18" customHeight="1">
      <c r="A144" s="5" t="s">
        <v>146</v>
      </c>
      <c r="B144" s="2" t="s">
        <v>67</v>
      </c>
      <c r="F144" s="41">
        <f t="shared" ref="F144:K144" si="17">F74</f>
        <v>5564</v>
      </c>
      <c r="G144" s="41">
        <f t="shared" si="17"/>
        <v>0</v>
      </c>
      <c r="H144" s="41">
        <f t="shared" si="17"/>
        <v>292956</v>
      </c>
      <c r="I144" s="41">
        <f t="shared" si="17"/>
        <v>155181.18865746757</v>
      </c>
      <c r="J144" s="41">
        <f t="shared" si="17"/>
        <v>269924</v>
      </c>
      <c r="K144" s="41">
        <f t="shared" si="17"/>
        <v>178213.1886574676</v>
      </c>
    </row>
    <row r="145" spans="1:11" ht="18" customHeight="1">
      <c r="A145" s="5" t="s">
        <v>148</v>
      </c>
      <c r="B145" s="2" t="s">
        <v>68</v>
      </c>
      <c r="F145" s="41">
        <f t="shared" ref="F145:K145" si="18">F82</f>
        <v>0</v>
      </c>
      <c r="G145" s="41">
        <f t="shared" si="18"/>
        <v>0</v>
      </c>
      <c r="H145" s="41">
        <f t="shared" si="18"/>
        <v>1039350</v>
      </c>
      <c r="I145" s="41">
        <f t="shared" si="18"/>
        <v>0</v>
      </c>
      <c r="J145" s="41">
        <f t="shared" si="18"/>
        <v>0</v>
      </c>
      <c r="K145" s="41">
        <f t="shared" si="18"/>
        <v>1039350</v>
      </c>
    </row>
    <row r="146" spans="1:11" ht="18" customHeight="1">
      <c r="A146" s="5" t="s">
        <v>150</v>
      </c>
      <c r="B146" s="2" t="s">
        <v>69</v>
      </c>
      <c r="F146" s="41">
        <f t="shared" ref="F146:K146" si="19">F98</f>
        <v>0</v>
      </c>
      <c r="G146" s="41">
        <f t="shared" si="19"/>
        <v>0</v>
      </c>
      <c r="H146" s="41">
        <f t="shared" si="19"/>
        <v>51124</v>
      </c>
      <c r="I146" s="41">
        <f t="shared" si="19"/>
        <v>27080.800833314122</v>
      </c>
      <c r="J146" s="41">
        <f t="shared" si="19"/>
        <v>30000</v>
      </c>
      <c r="K146" s="41">
        <f t="shared" si="19"/>
        <v>48204.800833314119</v>
      </c>
    </row>
    <row r="147" spans="1:11" ht="18" customHeight="1">
      <c r="A147" s="5" t="s">
        <v>153</v>
      </c>
      <c r="B147" s="2" t="s">
        <v>61</v>
      </c>
      <c r="F147" s="18">
        <f t="shared" ref="F147:K147" si="20">F108</f>
        <v>0</v>
      </c>
      <c r="G147" s="18">
        <f t="shared" si="20"/>
        <v>0</v>
      </c>
      <c r="H147" s="18">
        <f t="shared" si="20"/>
        <v>0</v>
      </c>
      <c r="I147" s="18">
        <f t="shared" si="20"/>
        <v>0</v>
      </c>
      <c r="J147" s="18">
        <f t="shared" si="20"/>
        <v>0</v>
      </c>
      <c r="K147" s="18">
        <f t="shared" si="20"/>
        <v>0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21195691</v>
      </c>
    </row>
    <row r="149" spans="1:11" ht="18" customHeight="1">
      <c r="A149" s="5" t="s">
        <v>163</v>
      </c>
      <c r="B149" s="2" t="s">
        <v>71</v>
      </c>
      <c r="F149" s="18">
        <f t="shared" ref="F149:K149" si="21">F137</f>
        <v>0</v>
      </c>
      <c r="G149" s="18">
        <f t="shared" si="21"/>
        <v>0</v>
      </c>
      <c r="H149" s="18">
        <f t="shared" si="21"/>
        <v>0</v>
      </c>
      <c r="I149" s="18">
        <f t="shared" si="21"/>
        <v>0</v>
      </c>
      <c r="J149" s="18">
        <f t="shared" si="21"/>
        <v>0</v>
      </c>
      <c r="K149" s="18">
        <f t="shared" si="21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10352951</v>
      </c>
      <c r="I150" s="18">
        <f>I18</f>
        <v>0</v>
      </c>
      <c r="J150" s="18">
        <f>J18</f>
        <v>8853068</v>
      </c>
      <c r="K150" s="18">
        <f>K18</f>
        <v>1499883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2">SUM(F141:F150)</f>
        <v>175659</v>
      </c>
      <c r="G152" s="49">
        <f t="shared" si="22"/>
        <v>29255</v>
      </c>
      <c r="H152" s="49">
        <f t="shared" si="22"/>
        <v>22553077.240621481</v>
      </c>
      <c r="I152" s="49">
        <f t="shared" si="22"/>
        <v>1528630.2676311594</v>
      </c>
      <c r="J152" s="49">
        <f t="shared" si="22"/>
        <v>9883827</v>
      </c>
      <c r="K152" s="49">
        <f t="shared" si="22"/>
        <v>35393571.508252643</v>
      </c>
    </row>
    <row r="154" spans="1:11" ht="18" customHeight="1">
      <c r="A154" s="6" t="s">
        <v>168</v>
      </c>
      <c r="B154" s="2" t="s">
        <v>28</v>
      </c>
      <c r="F154" s="89">
        <f>K152/F121</f>
        <v>9.3214090370378672E-2</v>
      </c>
    </row>
    <row r="155" spans="1:11" ht="18" customHeight="1">
      <c r="A155" s="6" t="s">
        <v>169</v>
      </c>
      <c r="B155" s="2" t="s">
        <v>72</v>
      </c>
      <c r="F155" s="89">
        <f>K152/F127</f>
        <v>0.80606750917051573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B62:D62"/>
    <mergeCell ref="B103:C103"/>
    <mergeCell ref="C7:G7"/>
    <mergeCell ref="C9:G9"/>
    <mergeCell ref="B134:D134"/>
    <mergeCell ref="B135:D135"/>
    <mergeCell ref="B133:D133"/>
    <mergeCell ref="B104:D104"/>
    <mergeCell ref="B13:H13"/>
    <mergeCell ref="B52:C52"/>
    <mergeCell ref="B105:D105"/>
    <mergeCell ref="B106:D106"/>
    <mergeCell ref="B94:D94"/>
    <mergeCell ref="B96:D96"/>
    <mergeCell ref="B56:D56"/>
    <mergeCell ref="B95:D95"/>
    <mergeCell ref="B57:D57"/>
    <mergeCell ref="B59:D59"/>
    <mergeCell ref="B90:C90"/>
    <mergeCell ref="B53:D53"/>
    <mergeCell ref="B55:D55"/>
    <mergeCell ref="D2:H2"/>
    <mergeCell ref="B45:D45"/>
    <mergeCell ref="B46:D46"/>
    <mergeCell ref="B47:D47"/>
    <mergeCell ref="B34:D34"/>
    <mergeCell ref="C11:G11"/>
    <mergeCell ref="B41:C41"/>
    <mergeCell ref="B44:D44"/>
    <mergeCell ref="B31:D31"/>
    <mergeCell ref="C10:G10"/>
    <mergeCell ref="B30:D30"/>
    <mergeCell ref="C5:G5"/>
    <mergeCell ref="C6:G6"/>
  </mergeCells>
  <printOptions headings="1" gridLines="1"/>
  <pageMargins left="0.17" right="0.16" top="0.35" bottom="0.32" header="0.17" footer="0.17"/>
  <pageSetup scale="59" fitToHeight="3" orientation="landscape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80" zoomScaleNormal="90" zoomScaleSheetLayoutView="8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84" t="s">
        <v>474</v>
      </c>
      <c r="D5" s="534"/>
      <c r="E5" s="534"/>
      <c r="F5" s="534"/>
      <c r="G5" s="535"/>
    </row>
    <row r="6" spans="1:11" ht="18" customHeight="1">
      <c r="B6" s="5" t="s">
        <v>3</v>
      </c>
      <c r="C6" s="653" t="s">
        <v>473</v>
      </c>
      <c r="D6" s="537"/>
      <c r="E6" s="537"/>
      <c r="F6" s="537"/>
      <c r="G6" s="538"/>
    </row>
    <row r="7" spans="1:11" ht="18" customHeight="1">
      <c r="B7" s="5" t="s">
        <v>4</v>
      </c>
      <c r="C7" s="640">
        <v>1920</v>
      </c>
      <c r="D7" s="641"/>
      <c r="E7" s="641"/>
      <c r="F7" s="641"/>
      <c r="G7" s="642"/>
    </row>
    <row r="9" spans="1:11" ht="18" customHeight="1">
      <c r="B9" s="5" t="s">
        <v>1</v>
      </c>
      <c r="C9" s="584" t="s">
        <v>472</v>
      </c>
      <c r="D9" s="534"/>
      <c r="E9" s="534"/>
      <c r="F9" s="534"/>
      <c r="G9" s="535"/>
    </row>
    <row r="10" spans="1:11" ht="18" customHeight="1">
      <c r="B10" s="5" t="s">
        <v>2</v>
      </c>
      <c r="C10" s="586" t="s">
        <v>471</v>
      </c>
      <c r="D10" s="543"/>
      <c r="E10" s="543"/>
      <c r="F10" s="543"/>
      <c r="G10" s="544"/>
    </row>
    <row r="11" spans="1:11" ht="18" customHeight="1">
      <c r="B11" s="5" t="s">
        <v>32</v>
      </c>
      <c r="C11" s="584" t="s">
        <v>470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9736752</v>
      </c>
      <c r="I18" s="55">
        <v>0</v>
      </c>
      <c r="J18" s="15">
        <v>8326140</v>
      </c>
      <c r="K18" s="16">
        <f>(H18+I18)-J18</f>
        <v>1410612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1461.5</v>
      </c>
      <c r="G21" s="54">
        <v>26850</v>
      </c>
      <c r="H21" s="54">
        <v>100496</v>
      </c>
      <c r="I21" s="55">
        <v>0</v>
      </c>
      <c r="J21" s="15">
        <v>0</v>
      </c>
      <c r="K21" s="16">
        <f t="shared" ref="K21:K34" si="0">(H21+I21)-J21</f>
        <v>100496</v>
      </c>
    </row>
    <row r="22" spans="1:11" ht="18" customHeight="1">
      <c r="A22" s="5" t="s">
        <v>76</v>
      </c>
      <c r="B22" t="s">
        <v>6</v>
      </c>
      <c r="F22" s="54">
        <v>377.5</v>
      </c>
      <c r="G22" s="54">
        <v>995</v>
      </c>
      <c r="H22" s="54">
        <v>16367</v>
      </c>
      <c r="I22" s="55">
        <v>0</v>
      </c>
      <c r="J22" s="15">
        <v>0</v>
      </c>
      <c r="K22" s="16">
        <f t="shared" si="0"/>
        <v>16367</v>
      </c>
    </row>
    <row r="23" spans="1:11" ht="18" customHeight="1">
      <c r="A23" s="5" t="s">
        <v>77</v>
      </c>
      <c r="B23" t="s">
        <v>43</v>
      </c>
      <c r="F23" s="54">
        <v>1480.8</v>
      </c>
      <c r="G23" s="54">
        <v>6719</v>
      </c>
      <c r="H23" s="54">
        <v>64024</v>
      </c>
      <c r="I23" s="55">
        <v>0</v>
      </c>
      <c r="J23" s="15">
        <v>3200</v>
      </c>
      <c r="K23" s="16">
        <f t="shared" si="0"/>
        <v>60824</v>
      </c>
    </row>
    <row r="24" spans="1:11" ht="18" customHeight="1">
      <c r="A24" s="5" t="s">
        <v>78</v>
      </c>
      <c r="B24" t="s">
        <v>44</v>
      </c>
      <c r="F24" s="54">
        <v>0</v>
      </c>
      <c r="G24" s="54">
        <v>1487</v>
      </c>
      <c r="H24" s="54">
        <v>746862</v>
      </c>
      <c r="I24" s="55">
        <v>170770</v>
      </c>
      <c r="J24" s="15">
        <v>0</v>
      </c>
      <c r="K24" s="16">
        <f t="shared" si="0"/>
        <v>917632</v>
      </c>
    </row>
    <row r="25" spans="1:11" ht="18" customHeight="1">
      <c r="A25" s="5" t="s">
        <v>79</v>
      </c>
      <c r="B25" t="s">
        <v>5</v>
      </c>
      <c r="F25" s="54">
        <v>881</v>
      </c>
      <c r="G25" s="54">
        <v>2228</v>
      </c>
      <c r="H25" s="54">
        <v>49911</v>
      </c>
      <c r="I25" s="55">
        <v>0</v>
      </c>
      <c r="J25" s="15">
        <v>0</v>
      </c>
      <c r="K25" s="16">
        <f t="shared" si="0"/>
        <v>49911</v>
      </c>
    </row>
    <row r="26" spans="1:11" ht="18" customHeight="1">
      <c r="A26" s="5" t="s">
        <v>80</v>
      </c>
      <c r="B26" t="s">
        <v>45</v>
      </c>
      <c r="F26" s="54">
        <v>243.5</v>
      </c>
      <c r="G26" s="54">
        <v>2830</v>
      </c>
      <c r="H26" s="54">
        <v>41926</v>
      </c>
      <c r="I26" s="55">
        <v>0</v>
      </c>
      <c r="J26" s="15">
        <v>0</v>
      </c>
      <c r="K26" s="16">
        <f t="shared" si="0"/>
        <v>41926</v>
      </c>
    </row>
    <row r="27" spans="1:11" ht="18" customHeight="1">
      <c r="A27" s="5" t="s">
        <v>81</v>
      </c>
      <c r="B27" t="s">
        <v>46</v>
      </c>
      <c r="F27" s="54"/>
      <c r="G27" s="54"/>
      <c r="H27" s="15"/>
      <c r="I27" s="55">
        <v>0</v>
      </c>
      <c r="J27" s="15"/>
      <c r="K27" s="16">
        <f t="shared" si="0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15"/>
      <c r="I28" s="55">
        <v>0</v>
      </c>
      <c r="J28" s="15"/>
      <c r="K28" s="16">
        <f t="shared" si="0"/>
        <v>0</v>
      </c>
    </row>
    <row r="29" spans="1:11" ht="18" customHeight="1">
      <c r="A29" s="5" t="s">
        <v>83</v>
      </c>
      <c r="B29" t="s">
        <v>48</v>
      </c>
      <c r="F29" s="54">
        <v>378.3</v>
      </c>
      <c r="G29" s="54">
        <v>1505</v>
      </c>
      <c r="H29" s="54">
        <v>198792</v>
      </c>
      <c r="I29" s="55">
        <v>0</v>
      </c>
      <c r="J29" s="15">
        <v>0</v>
      </c>
      <c r="K29" s="16">
        <f t="shared" si="0"/>
        <v>198792</v>
      </c>
    </row>
    <row r="30" spans="1:11" ht="18" customHeight="1">
      <c r="A30" s="5" t="s">
        <v>84</v>
      </c>
      <c r="B30" s="547" t="s">
        <v>469</v>
      </c>
      <c r="C30" s="548"/>
      <c r="D30" s="549"/>
      <c r="F30" s="54">
        <v>6</v>
      </c>
      <c r="G30" s="54">
        <v>30</v>
      </c>
      <c r="H30" s="54">
        <v>301</v>
      </c>
      <c r="I30" s="55">
        <v>0</v>
      </c>
      <c r="J30" s="15">
        <v>0</v>
      </c>
      <c r="K30" s="16">
        <f t="shared" si="0"/>
        <v>301</v>
      </c>
    </row>
    <row r="31" spans="1:11" ht="18" customHeight="1">
      <c r="A31" s="5" t="s">
        <v>133</v>
      </c>
      <c r="B31" s="547" t="s">
        <v>5</v>
      </c>
      <c r="C31" s="548"/>
      <c r="D31" s="549"/>
      <c r="F31" s="54">
        <v>721.5</v>
      </c>
      <c r="G31" s="54">
        <v>973</v>
      </c>
      <c r="H31" s="54">
        <v>33004</v>
      </c>
      <c r="I31" s="55">
        <v>0</v>
      </c>
      <c r="J31" s="15">
        <v>0</v>
      </c>
      <c r="K31" s="16">
        <f t="shared" si="0"/>
        <v>33004</v>
      </c>
    </row>
    <row r="32" spans="1:11" ht="18" customHeight="1">
      <c r="A32" s="5" t="s">
        <v>134</v>
      </c>
      <c r="B32" s="191"/>
      <c r="C32" s="192"/>
      <c r="D32" s="193"/>
      <c r="F32" s="54"/>
      <c r="G32" s="52" t="s">
        <v>85</v>
      </c>
      <c r="H32" s="15"/>
      <c r="I32" s="55">
        <v>0</v>
      </c>
      <c r="J32" s="15"/>
      <c r="K32" s="16">
        <f t="shared" si="0"/>
        <v>0</v>
      </c>
    </row>
    <row r="33" spans="1:11" ht="18" customHeight="1">
      <c r="A33" s="5" t="s">
        <v>135</v>
      </c>
      <c r="B33" s="191"/>
      <c r="C33" s="192"/>
      <c r="D33" s="193"/>
      <c r="F33" s="54"/>
      <c r="G33" s="52" t="s">
        <v>85</v>
      </c>
      <c r="H33" s="15"/>
      <c r="I33" s="55">
        <v>0</v>
      </c>
      <c r="J33" s="15"/>
      <c r="K33" s="16">
        <f t="shared" si="0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v>0</v>
      </c>
      <c r="J34" s="15"/>
      <c r="K34" s="16">
        <f t="shared" si="0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1">SUM(F21:F34)</f>
        <v>5550.1</v>
      </c>
      <c r="G36" s="18">
        <f t="shared" si="1"/>
        <v>43617</v>
      </c>
      <c r="H36" s="18">
        <f t="shared" si="1"/>
        <v>1251683</v>
      </c>
      <c r="I36" s="16">
        <f t="shared" si="1"/>
        <v>170770</v>
      </c>
      <c r="J36" s="16">
        <f t="shared" si="1"/>
        <v>3200</v>
      </c>
      <c r="K36" s="16">
        <f t="shared" si="1"/>
        <v>1419253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/>
      <c r="G40" s="54"/>
      <c r="H40" s="15"/>
      <c r="I40" s="55">
        <v>0</v>
      </c>
      <c r="J40" s="15"/>
      <c r="K40" s="16">
        <f t="shared" ref="K40:K47" si="2">(H40+I40)-J40</f>
        <v>0</v>
      </c>
    </row>
    <row r="41" spans="1:11" ht="18" customHeight="1">
      <c r="A41" s="5" t="s">
        <v>88</v>
      </c>
      <c r="B41" s="550" t="s">
        <v>50</v>
      </c>
      <c r="C41" s="551"/>
      <c r="F41" s="54">
        <v>540</v>
      </c>
      <c r="G41" s="54">
        <v>493</v>
      </c>
      <c r="H41" s="54">
        <v>35650</v>
      </c>
      <c r="I41" s="55">
        <v>0</v>
      </c>
      <c r="J41" s="15">
        <v>0</v>
      </c>
      <c r="K41" s="16">
        <f t="shared" si="2"/>
        <v>35650</v>
      </c>
    </row>
    <row r="42" spans="1:11" ht="18" customHeight="1">
      <c r="A42" s="5" t="s">
        <v>89</v>
      </c>
      <c r="B42" s="1" t="s">
        <v>11</v>
      </c>
      <c r="F42" s="54">
        <v>0</v>
      </c>
      <c r="G42" s="54">
        <v>0</v>
      </c>
      <c r="H42" s="54">
        <v>3400</v>
      </c>
      <c r="I42" s="55">
        <v>0</v>
      </c>
      <c r="J42" s="15">
        <v>0</v>
      </c>
      <c r="K42" s="16">
        <f t="shared" si="2"/>
        <v>3400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/>
      <c r="I43" s="55">
        <v>0</v>
      </c>
      <c r="J43" s="15"/>
      <c r="K43" s="16">
        <f t="shared" si="2"/>
        <v>0</v>
      </c>
    </row>
    <row r="44" spans="1:11" ht="18" customHeight="1">
      <c r="A44" s="5" t="s">
        <v>91</v>
      </c>
      <c r="B44" s="547"/>
      <c r="C44" s="548"/>
      <c r="D44" s="549"/>
      <c r="F44" s="82"/>
      <c r="G44" s="82"/>
      <c r="H44" s="82"/>
      <c r="I44" s="83">
        <v>0</v>
      </c>
      <c r="J44" s="82"/>
      <c r="K44" s="81">
        <f t="shared" si="2"/>
        <v>0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2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2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2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3">SUM(F40:F47)</f>
        <v>540</v>
      </c>
      <c r="G49" s="23">
        <f t="shared" si="3"/>
        <v>493</v>
      </c>
      <c r="H49" s="16">
        <f t="shared" si="3"/>
        <v>39050</v>
      </c>
      <c r="I49" s="16">
        <f t="shared" si="3"/>
        <v>0</v>
      </c>
      <c r="J49" s="16">
        <f t="shared" si="3"/>
        <v>0</v>
      </c>
      <c r="K49" s="16">
        <f t="shared" si="3"/>
        <v>39050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85" t="s">
        <v>468</v>
      </c>
      <c r="C53" s="559"/>
      <c r="D53" s="532"/>
      <c r="F53" s="54">
        <v>10</v>
      </c>
      <c r="G53" s="52">
        <v>0</v>
      </c>
      <c r="H53" s="54">
        <v>5301124</v>
      </c>
      <c r="I53" s="55">
        <v>0</v>
      </c>
      <c r="J53" s="15">
        <v>0</v>
      </c>
      <c r="K53" s="16">
        <f t="shared" ref="K53:K62" si="4">(H53+I53)-J53</f>
        <v>5301124</v>
      </c>
    </row>
    <row r="54" spans="1:11" ht="18" customHeight="1">
      <c r="A54" s="5" t="s">
        <v>93</v>
      </c>
      <c r="B54" s="189"/>
      <c r="C54" s="190"/>
      <c r="D54" s="188"/>
      <c r="F54" s="54"/>
      <c r="G54" s="54"/>
      <c r="H54" s="15"/>
      <c r="I54" s="55">
        <v>0</v>
      </c>
      <c r="J54" s="15"/>
      <c r="K54" s="16">
        <f t="shared" si="4"/>
        <v>0</v>
      </c>
    </row>
    <row r="55" spans="1:11" ht="18" customHeight="1">
      <c r="A55" s="5" t="s">
        <v>94</v>
      </c>
      <c r="B55" s="530"/>
      <c r="C55" s="531"/>
      <c r="D55" s="532"/>
      <c r="F55" s="54"/>
      <c r="G55" s="54"/>
      <c r="H55" s="15"/>
      <c r="I55" s="55">
        <v>0</v>
      </c>
      <c r="J55" s="15"/>
      <c r="K55" s="16">
        <f t="shared" si="4"/>
        <v>0</v>
      </c>
    </row>
    <row r="56" spans="1:11" ht="18" customHeight="1">
      <c r="A56" s="5" t="s">
        <v>95</v>
      </c>
      <c r="B56" s="530"/>
      <c r="C56" s="531"/>
      <c r="D56" s="532"/>
      <c r="F56" s="54" t="s">
        <v>740</v>
      </c>
      <c r="G56" s="54"/>
      <c r="H56" s="15"/>
      <c r="I56" s="55">
        <v>0</v>
      </c>
      <c r="J56" s="15"/>
      <c r="K56" s="16">
        <f t="shared" si="4"/>
        <v>0</v>
      </c>
    </row>
    <row r="57" spans="1:11" ht="18" customHeight="1">
      <c r="A57" s="5" t="s">
        <v>96</v>
      </c>
      <c r="B57" s="530"/>
      <c r="C57" s="531"/>
      <c r="D57" s="532"/>
      <c r="F57" s="54"/>
      <c r="G57" s="54"/>
      <c r="H57" s="15"/>
      <c r="I57" s="55">
        <v>0</v>
      </c>
      <c r="J57" s="15"/>
      <c r="K57" s="16">
        <f t="shared" si="4"/>
        <v>0</v>
      </c>
    </row>
    <row r="58" spans="1:11" ht="18" customHeight="1">
      <c r="A58" s="5" t="s">
        <v>97</v>
      </c>
      <c r="B58" s="189"/>
      <c r="C58" s="190"/>
      <c r="D58" s="188"/>
      <c r="F58" s="54"/>
      <c r="G58" s="54"/>
      <c r="H58" s="15"/>
      <c r="I58" s="55">
        <v>0</v>
      </c>
      <c r="J58" s="15"/>
      <c r="K58" s="16">
        <f t="shared" si="4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v>0</v>
      </c>
      <c r="J59" s="15"/>
      <c r="K59" s="16">
        <f t="shared" si="4"/>
        <v>0</v>
      </c>
    </row>
    <row r="60" spans="1:11" ht="18" customHeight="1">
      <c r="A60" s="5" t="s">
        <v>99</v>
      </c>
      <c r="B60" s="189"/>
      <c r="C60" s="190"/>
      <c r="D60" s="188"/>
      <c r="F60" s="54"/>
      <c r="G60" s="54"/>
      <c r="H60" s="15"/>
      <c r="I60" s="55">
        <v>0</v>
      </c>
      <c r="J60" s="15"/>
      <c r="K60" s="16">
        <f t="shared" si="4"/>
        <v>0</v>
      </c>
    </row>
    <row r="61" spans="1:11" ht="18" customHeight="1">
      <c r="A61" s="5" t="s">
        <v>100</v>
      </c>
      <c r="B61" s="189"/>
      <c r="C61" s="190"/>
      <c r="D61" s="188"/>
      <c r="F61" s="54"/>
      <c r="G61" s="54"/>
      <c r="H61" s="15"/>
      <c r="I61" s="55">
        <v>0</v>
      </c>
      <c r="J61" s="15"/>
      <c r="K61" s="16">
        <f t="shared" si="4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4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5">SUM(F53:F62)</f>
        <v>10</v>
      </c>
      <c r="G64" s="18">
        <f t="shared" si="5"/>
        <v>0</v>
      </c>
      <c r="H64" s="16">
        <f t="shared" si="5"/>
        <v>5301124</v>
      </c>
      <c r="I64" s="16">
        <f t="shared" si="5"/>
        <v>0</v>
      </c>
      <c r="J64" s="16">
        <f t="shared" si="5"/>
        <v>0</v>
      </c>
      <c r="K64" s="16">
        <f t="shared" si="5"/>
        <v>5301124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>
        <v>5963</v>
      </c>
      <c r="G68" s="51">
        <v>0</v>
      </c>
      <c r="H68" s="51">
        <v>243410</v>
      </c>
      <c r="I68" s="55">
        <v>0</v>
      </c>
      <c r="J68" s="290">
        <v>0</v>
      </c>
      <c r="K68" s="16">
        <f>(H68+I68)-J68</f>
        <v>243410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189"/>
      <c r="C70" s="190"/>
      <c r="D70" s="188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189"/>
      <c r="C71" s="190"/>
      <c r="D71" s="188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186"/>
      <c r="C72" s="187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6">SUM(F68:F72)</f>
        <v>5963</v>
      </c>
      <c r="G74" s="21">
        <f t="shared" si="6"/>
        <v>0</v>
      </c>
      <c r="H74" s="21">
        <f t="shared" si="6"/>
        <v>243410</v>
      </c>
      <c r="I74" s="53">
        <f t="shared" si="6"/>
        <v>0</v>
      </c>
      <c r="J74" s="21">
        <f t="shared" si="6"/>
        <v>0</v>
      </c>
      <c r="K74" s="56">
        <f t="shared" si="6"/>
        <v>243410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>
        <v>11</v>
      </c>
      <c r="G77" s="54">
        <v>50000</v>
      </c>
      <c r="H77" s="54">
        <v>1407</v>
      </c>
      <c r="I77" s="55">
        <v>0</v>
      </c>
      <c r="J77" s="15">
        <v>0</v>
      </c>
      <c r="K77" s="16">
        <f>(H77+I77)-J77</f>
        <v>1407</v>
      </c>
    </row>
    <row r="78" spans="1:11" ht="18" customHeight="1">
      <c r="A78" s="5" t="s">
        <v>108</v>
      </c>
      <c r="B78" s="1" t="s">
        <v>55</v>
      </c>
      <c r="F78" s="54"/>
      <c r="G78" s="54"/>
      <c r="H78" s="15"/>
      <c r="I78" s="55"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>
        <v>0</v>
      </c>
      <c r="G79" s="54">
        <v>59</v>
      </c>
      <c r="H79" s="54">
        <v>13196</v>
      </c>
      <c r="I79" s="55">
        <v>0</v>
      </c>
      <c r="J79" s="15">
        <v>0</v>
      </c>
      <c r="K79" s="16">
        <f>(H79+I79)-J79</f>
        <v>13196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7">SUM(F77:F80)</f>
        <v>11</v>
      </c>
      <c r="G82" s="21">
        <f t="shared" si="7"/>
        <v>50059</v>
      </c>
      <c r="H82" s="56">
        <f t="shared" si="7"/>
        <v>14603</v>
      </c>
      <c r="I82" s="56">
        <f t="shared" si="7"/>
        <v>0</v>
      </c>
      <c r="J82" s="56">
        <f t="shared" si="7"/>
        <v>0</v>
      </c>
      <c r="K82" s="56">
        <f t="shared" si="7"/>
        <v>14603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v>0</v>
      </c>
      <c r="J86" s="15"/>
      <c r="K86" s="16">
        <f t="shared" ref="K86:K96" si="8">(H86+I86)-J86</f>
        <v>0</v>
      </c>
    </row>
    <row r="87" spans="1:11" ht="18" customHeight="1">
      <c r="A87" s="5" t="s">
        <v>114</v>
      </c>
      <c r="B87" s="1" t="s">
        <v>14</v>
      </c>
      <c r="F87" s="54"/>
      <c r="G87" s="54"/>
      <c r="H87" s="15"/>
      <c r="I87" s="55">
        <v>0</v>
      </c>
      <c r="J87" s="15"/>
      <c r="K87" s="16">
        <f t="shared" si="8"/>
        <v>0</v>
      </c>
    </row>
    <row r="88" spans="1:11" ht="18" customHeight="1">
      <c r="A88" s="5" t="s">
        <v>115</v>
      </c>
      <c r="B88" s="1" t="s">
        <v>116</v>
      </c>
      <c r="F88" s="54">
        <v>97.5</v>
      </c>
      <c r="G88" s="54">
        <v>32</v>
      </c>
      <c r="H88" s="54">
        <v>3979</v>
      </c>
      <c r="I88" s="55">
        <v>0</v>
      </c>
      <c r="J88" s="15">
        <v>0</v>
      </c>
      <c r="K88" s="16">
        <f t="shared" si="8"/>
        <v>3979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v>0</v>
      </c>
      <c r="J89" s="15"/>
      <c r="K89" s="16">
        <f t="shared" si="8"/>
        <v>0</v>
      </c>
    </row>
    <row r="90" spans="1:11" ht="18" customHeight="1">
      <c r="A90" s="5" t="s">
        <v>118</v>
      </c>
      <c r="B90" s="550" t="s">
        <v>59</v>
      </c>
      <c r="C90" s="551"/>
      <c r="F90" s="54"/>
      <c r="G90" s="54"/>
      <c r="H90" s="15"/>
      <c r="I90" s="55">
        <v>0</v>
      </c>
      <c r="J90" s="15"/>
      <c r="K90" s="16">
        <f t="shared" si="8"/>
        <v>0</v>
      </c>
    </row>
    <row r="91" spans="1:11" ht="18" customHeight="1">
      <c r="A91" s="5" t="s">
        <v>119</v>
      </c>
      <c r="B91" s="1" t="s">
        <v>60</v>
      </c>
      <c r="F91" s="54">
        <v>59.5</v>
      </c>
      <c r="G91" s="54">
        <v>98</v>
      </c>
      <c r="H91" s="54">
        <v>1328</v>
      </c>
      <c r="I91" s="55">
        <v>0</v>
      </c>
      <c r="J91" s="15">
        <v>0</v>
      </c>
      <c r="K91" s="16">
        <f t="shared" si="8"/>
        <v>1328</v>
      </c>
    </row>
    <row r="92" spans="1:11" ht="18" customHeight="1">
      <c r="A92" s="5" t="s">
        <v>120</v>
      </c>
      <c r="B92" s="1" t="s">
        <v>121</v>
      </c>
      <c r="F92" s="38"/>
      <c r="G92" s="38"/>
      <c r="H92" s="39"/>
      <c r="I92" s="55">
        <v>0</v>
      </c>
      <c r="J92" s="39"/>
      <c r="K92" s="16">
        <f t="shared" si="8"/>
        <v>0</v>
      </c>
    </row>
    <row r="93" spans="1:11" ht="18" customHeight="1">
      <c r="A93" s="5" t="s">
        <v>122</v>
      </c>
      <c r="B93" s="1" t="s">
        <v>123</v>
      </c>
      <c r="F93" s="54"/>
      <c r="G93" s="54"/>
      <c r="H93" s="15"/>
      <c r="I93" s="55">
        <v>0</v>
      </c>
      <c r="J93" s="15"/>
      <c r="K93" s="16">
        <f t="shared" si="8"/>
        <v>0</v>
      </c>
    </row>
    <row r="94" spans="1:11" ht="18" customHeight="1">
      <c r="A94" s="5" t="s">
        <v>124</v>
      </c>
      <c r="B94" s="557" t="s">
        <v>467</v>
      </c>
      <c r="C94" s="531"/>
      <c r="D94" s="532"/>
      <c r="F94" s="54">
        <v>0</v>
      </c>
      <c r="G94" s="54">
        <v>0</v>
      </c>
      <c r="H94" s="54">
        <v>25000</v>
      </c>
      <c r="I94" s="55">
        <v>0</v>
      </c>
      <c r="J94" s="15">
        <v>0</v>
      </c>
      <c r="K94" s="16">
        <f t="shared" si="8"/>
        <v>25000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v>0</v>
      </c>
      <c r="J95" s="15"/>
      <c r="K95" s="16">
        <f t="shared" si="8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v>0</v>
      </c>
      <c r="J96" s="15"/>
      <c r="K96" s="16">
        <f t="shared" si="8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9">SUM(F86:F96)</f>
        <v>157</v>
      </c>
      <c r="G98" s="18">
        <f t="shared" si="9"/>
        <v>130</v>
      </c>
      <c r="H98" s="18">
        <f t="shared" si="9"/>
        <v>30307</v>
      </c>
      <c r="I98" s="18">
        <f t="shared" si="9"/>
        <v>0</v>
      </c>
      <c r="J98" s="18">
        <f t="shared" si="9"/>
        <v>0</v>
      </c>
      <c r="K98" s="18">
        <f t="shared" si="9"/>
        <v>30307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>
        <v>87</v>
      </c>
      <c r="G102" s="54">
        <v>0</v>
      </c>
      <c r="H102" s="54">
        <v>3552</v>
      </c>
      <c r="I102" s="55">
        <v>0</v>
      </c>
      <c r="J102" s="15">
        <v>0</v>
      </c>
      <c r="K102" s="16">
        <f>(H102+I102)-J102</f>
        <v>3552</v>
      </c>
    </row>
    <row r="103" spans="1:11" ht="18" customHeight="1">
      <c r="A103" s="5" t="s">
        <v>132</v>
      </c>
      <c r="B103" s="550" t="s">
        <v>62</v>
      </c>
      <c r="C103" s="550"/>
      <c r="F103" s="54"/>
      <c r="G103" s="54"/>
      <c r="H103" s="15"/>
      <c r="I103" s="55">
        <v>0</v>
      </c>
      <c r="J103" s="15"/>
      <c r="K103" s="16">
        <f>(H103+I103)-J103</f>
        <v>0</v>
      </c>
    </row>
    <row r="104" spans="1:11" ht="18" customHeight="1">
      <c r="A104" s="5" t="s">
        <v>128</v>
      </c>
      <c r="B104" s="557" t="s">
        <v>466</v>
      </c>
      <c r="C104" s="531"/>
      <c r="D104" s="532"/>
      <c r="F104" s="54">
        <v>24</v>
      </c>
      <c r="G104" s="54">
        <v>0</v>
      </c>
      <c r="H104" s="54">
        <v>1465</v>
      </c>
      <c r="I104" s="55">
        <v>0</v>
      </c>
      <c r="J104" s="15">
        <v>0</v>
      </c>
      <c r="K104" s="16">
        <f>(H104+I104)-J104</f>
        <v>1465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0">SUM(F102:F106)</f>
        <v>111</v>
      </c>
      <c r="G108" s="18">
        <f t="shared" si="10"/>
        <v>0</v>
      </c>
      <c r="H108" s="16">
        <f t="shared" si="10"/>
        <v>5017</v>
      </c>
      <c r="I108" s="16">
        <f t="shared" si="10"/>
        <v>0</v>
      </c>
      <c r="J108" s="16">
        <f t="shared" si="10"/>
        <v>0</v>
      </c>
      <c r="K108" s="16">
        <f t="shared" si="10"/>
        <v>5017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5450082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300640241.10000002</v>
      </c>
    </row>
    <row r="118" spans="1:6" ht="18" customHeight="1">
      <c r="A118" s="5" t="s">
        <v>173</v>
      </c>
      <c r="B118" t="s">
        <v>18</v>
      </c>
      <c r="F118" s="15">
        <v>9762970.4199999999</v>
      </c>
    </row>
    <row r="119" spans="1:6" ht="18" customHeight="1">
      <c r="A119" s="5" t="s">
        <v>174</v>
      </c>
      <c r="B119" s="2" t="s">
        <v>19</v>
      </c>
      <c r="F119" s="56">
        <f>SUM(F117:F118)</f>
        <v>310403211.52000004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317898968.54000002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f>F119-F121</f>
        <v>-7495757.0199999809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f>-4104066.51-253215.5</f>
        <v>-4357282.01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f>F123+F125</f>
        <v>-11853039.029999981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1">SUM(F131:F135)</f>
        <v>0</v>
      </c>
      <c r="G137" s="18">
        <f t="shared" si="11"/>
        <v>0</v>
      </c>
      <c r="H137" s="16">
        <f t="shared" si="11"/>
        <v>0</v>
      </c>
      <c r="I137" s="16">
        <f t="shared" si="11"/>
        <v>0</v>
      </c>
      <c r="J137" s="16">
        <f t="shared" si="11"/>
        <v>0</v>
      </c>
      <c r="K137" s="16">
        <f t="shared" si="11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2">F36</f>
        <v>5550.1</v>
      </c>
      <c r="G141" s="41">
        <f t="shared" si="12"/>
        <v>43617</v>
      </c>
      <c r="H141" s="41">
        <f t="shared" si="12"/>
        <v>1251683</v>
      </c>
      <c r="I141" s="41">
        <f t="shared" si="12"/>
        <v>170770</v>
      </c>
      <c r="J141" s="41">
        <f t="shared" si="12"/>
        <v>3200</v>
      </c>
      <c r="K141" s="41">
        <f t="shared" si="12"/>
        <v>1419253</v>
      </c>
    </row>
    <row r="142" spans="1:11" ht="18" customHeight="1">
      <c r="A142" s="5" t="s">
        <v>142</v>
      </c>
      <c r="B142" s="2" t="s">
        <v>65</v>
      </c>
      <c r="F142" s="41">
        <f t="shared" ref="F142:K142" si="13">F49</f>
        <v>540</v>
      </c>
      <c r="G142" s="41">
        <f t="shared" si="13"/>
        <v>493</v>
      </c>
      <c r="H142" s="41">
        <f t="shared" si="13"/>
        <v>39050</v>
      </c>
      <c r="I142" s="41">
        <f t="shared" si="13"/>
        <v>0</v>
      </c>
      <c r="J142" s="41">
        <f t="shared" si="13"/>
        <v>0</v>
      </c>
      <c r="K142" s="41">
        <f t="shared" si="13"/>
        <v>39050</v>
      </c>
    </row>
    <row r="143" spans="1:11" ht="18" customHeight="1">
      <c r="A143" s="5" t="s">
        <v>144</v>
      </c>
      <c r="B143" s="2" t="s">
        <v>66</v>
      </c>
      <c r="F143" s="41">
        <f t="shared" ref="F143:K143" si="14">F64</f>
        <v>10</v>
      </c>
      <c r="G143" s="41">
        <f t="shared" si="14"/>
        <v>0</v>
      </c>
      <c r="H143" s="41">
        <f t="shared" si="14"/>
        <v>5301124</v>
      </c>
      <c r="I143" s="41">
        <f t="shared" si="14"/>
        <v>0</v>
      </c>
      <c r="J143" s="41">
        <f t="shared" si="14"/>
        <v>0</v>
      </c>
      <c r="K143" s="41">
        <f t="shared" si="14"/>
        <v>5301124</v>
      </c>
    </row>
    <row r="144" spans="1:11" ht="18" customHeight="1">
      <c r="A144" s="5" t="s">
        <v>146</v>
      </c>
      <c r="B144" s="2" t="s">
        <v>67</v>
      </c>
      <c r="F144" s="41">
        <f t="shared" ref="F144:K144" si="15">F74</f>
        <v>5963</v>
      </c>
      <c r="G144" s="41">
        <f t="shared" si="15"/>
        <v>0</v>
      </c>
      <c r="H144" s="41">
        <f t="shared" si="15"/>
        <v>243410</v>
      </c>
      <c r="I144" s="41">
        <f t="shared" si="15"/>
        <v>0</v>
      </c>
      <c r="J144" s="41">
        <f t="shared" si="15"/>
        <v>0</v>
      </c>
      <c r="K144" s="41">
        <f t="shared" si="15"/>
        <v>243410</v>
      </c>
    </row>
    <row r="145" spans="1:11" ht="18" customHeight="1">
      <c r="A145" s="5" t="s">
        <v>148</v>
      </c>
      <c r="B145" s="2" t="s">
        <v>68</v>
      </c>
      <c r="F145" s="41">
        <f t="shared" ref="F145:K145" si="16">F82</f>
        <v>11</v>
      </c>
      <c r="G145" s="41">
        <f t="shared" si="16"/>
        <v>50059</v>
      </c>
      <c r="H145" s="41">
        <f t="shared" si="16"/>
        <v>14603</v>
      </c>
      <c r="I145" s="41">
        <f t="shared" si="16"/>
        <v>0</v>
      </c>
      <c r="J145" s="41">
        <f t="shared" si="16"/>
        <v>0</v>
      </c>
      <c r="K145" s="41">
        <f t="shared" si="16"/>
        <v>14603</v>
      </c>
    </row>
    <row r="146" spans="1:11" ht="18" customHeight="1">
      <c r="A146" s="5" t="s">
        <v>150</v>
      </c>
      <c r="B146" s="2" t="s">
        <v>69</v>
      </c>
      <c r="F146" s="41">
        <f t="shared" ref="F146:K146" si="17">F98</f>
        <v>157</v>
      </c>
      <c r="G146" s="41">
        <f t="shared" si="17"/>
        <v>130</v>
      </c>
      <c r="H146" s="41">
        <f t="shared" si="17"/>
        <v>30307</v>
      </c>
      <c r="I146" s="41">
        <f t="shared" si="17"/>
        <v>0</v>
      </c>
      <c r="J146" s="41">
        <f t="shared" si="17"/>
        <v>0</v>
      </c>
      <c r="K146" s="41">
        <f t="shared" si="17"/>
        <v>30307</v>
      </c>
    </row>
    <row r="147" spans="1:11" ht="18" customHeight="1">
      <c r="A147" s="5" t="s">
        <v>153</v>
      </c>
      <c r="B147" s="2" t="s">
        <v>61</v>
      </c>
      <c r="F147" s="18">
        <f t="shared" ref="F147:K147" si="18">F108</f>
        <v>111</v>
      </c>
      <c r="G147" s="18">
        <f t="shared" si="18"/>
        <v>0</v>
      </c>
      <c r="H147" s="18">
        <f t="shared" si="18"/>
        <v>5017</v>
      </c>
      <c r="I147" s="18">
        <f t="shared" si="18"/>
        <v>0</v>
      </c>
      <c r="J147" s="18">
        <f t="shared" si="18"/>
        <v>0</v>
      </c>
      <c r="K147" s="18">
        <f t="shared" si="18"/>
        <v>5017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5450082</v>
      </c>
    </row>
    <row r="149" spans="1:11" ht="18" customHeight="1">
      <c r="A149" s="5" t="s">
        <v>163</v>
      </c>
      <c r="B149" s="2" t="s">
        <v>71</v>
      </c>
      <c r="F149" s="18">
        <f t="shared" ref="F149:K149" si="19">F137</f>
        <v>0</v>
      </c>
      <c r="G149" s="18">
        <f t="shared" si="19"/>
        <v>0</v>
      </c>
      <c r="H149" s="18">
        <f t="shared" si="19"/>
        <v>0</v>
      </c>
      <c r="I149" s="18">
        <f t="shared" si="19"/>
        <v>0</v>
      </c>
      <c r="J149" s="18">
        <f t="shared" si="19"/>
        <v>0</v>
      </c>
      <c r="K149" s="18">
        <f t="shared" si="19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9736752</v>
      </c>
      <c r="I150" s="18">
        <f>I18</f>
        <v>0</v>
      </c>
      <c r="J150" s="18">
        <f>J18</f>
        <v>8326140</v>
      </c>
      <c r="K150" s="18">
        <f>K18</f>
        <v>1410612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0">SUM(F141:F150)</f>
        <v>12342.1</v>
      </c>
      <c r="G152" s="49">
        <f t="shared" si="20"/>
        <v>94299</v>
      </c>
      <c r="H152" s="49">
        <f t="shared" si="20"/>
        <v>16621946</v>
      </c>
      <c r="I152" s="49">
        <f t="shared" si="20"/>
        <v>170770</v>
      </c>
      <c r="J152" s="49">
        <f t="shared" si="20"/>
        <v>8329340</v>
      </c>
      <c r="K152" s="49">
        <f t="shared" si="20"/>
        <v>13913458</v>
      </c>
    </row>
    <row r="154" spans="1:11" ht="18" customHeight="1">
      <c r="A154" s="6" t="s">
        <v>168</v>
      </c>
      <c r="B154" s="2" t="s">
        <v>28</v>
      </c>
      <c r="F154" s="89">
        <f>K152/F121</f>
        <v>4.3766917722003626E-2</v>
      </c>
    </row>
    <row r="155" spans="1:11" ht="18" customHeight="1">
      <c r="A155" s="6" t="s">
        <v>169</v>
      </c>
      <c r="B155" s="2" t="s">
        <v>72</v>
      </c>
      <c r="F155" s="89">
        <f>K152/F127</f>
        <v>-1.1738304383192453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D2:H2"/>
    <mergeCell ref="B45:D45"/>
    <mergeCell ref="B46:D46"/>
    <mergeCell ref="B47:D47"/>
    <mergeCell ref="B34:D34"/>
    <mergeCell ref="C11:G11"/>
    <mergeCell ref="B41:C41"/>
    <mergeCell ref="B44:D44"/>
    <mergeCell ref="B31:D31"/>
    <mergeCell ref="C5:G5"/>
    <mergeCell ref="C6:G6"/>
    <mergeCell ref="C7:G7"/>
    <mergeCell ref="C9:G9"/>
    <mergeCell ref="C10:G10"/>
    <mergeCell ref="B13:H13"/>
    <mergeCell ref="B52:C52"/>
    <mergeCell ref="B90:C90"/>
    <mergeCell ref="B53:D53"/>
    <mergeCell ref="B62:D62"/>
    <mergeCell ref="B30:D30"/>
    <mergeCell ref="B55:D55"/>
    <mergeCell ref="B56:D56"/>
    <mergeCell ref="B95:D95"/>
    <mergeCell ref="B57:D57"/>
    <mergeCell ref="B103:C103"/>
    <mergeCell ref="B59:D59"/>
    <mergeCell ref="B135:D135"/>
    <mergeCell ref="B133:D133"/>
    <mergeCell ref="B104:D104"/>
    <mergeCell ref="B134:D134"/>
    <mergeCell ref="B105:D105"/>
    <mergeCell ref="B106:D106"/>
    <mergeCell ref="B94:D94"/>
    <mergeCell ref="B96:D96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85" zoomScaleNormal="80" zoomScaleSheetLayoutView="85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406</v>
      </c>
      <c r="D5" s="534"/>
      <c r="E5" s="534"/>
      <c r="F5" s="534"/>
      <c r="G5" s="535"/>
    </row>
    <row r="6" spans="1:11" ht="18" customHeight="1">
      <c r="B6" s="5" t="s">
        <v>3</v>
      </c>
      <c r="C6" s="588" t="s">
        <v>405</v>
      </c>
      <c r="D6" s="537"/>
      <c r="E6" s="537"/>
      <c r="F6" s="537"/>
      <c r="G6" s="538"/>
    </row>
    <row r="7" spans="1:11" ht="18" customHeight="1">
      <c r="B7" s="5" t="s">
        <v>4</v>
      </c>
      <c r="C7" s="640">
        <v>1842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404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403</v>
      </c>
      <c r="D10" s="543"/>
      <c r="E10" s="543"/>
      <c r="F10" s="543"/>
      <c r="G10" s="544"/>
    </row>
    <row r="11" spans="1:11" ht="18" customHeight="1">
      <c r="B11" s="5" t="s">
        <v>32</v>
      </c>
      <c r="C11" s="542" t="s">
        <v>402</v>
      </c>
      <c r="D11" s="543"/>
      <c r="E11" s="543"/>
      <c r="F11" s="543"/>
      <c r="G11" s="544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6829668</v>
      </c>
      <c r="I18" s="55">
        <v>0</v>
      </c>
      <c r="J18" s="15">
        <v>5840219</v>
      </c>
      <c r="K18" s="16">
        <f>(H18+I18)-J18</f>
        <v>989449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10710.880952380954</v>
      </c>
      <c r="G21" s="54">
        <v>547946.13888888888</v>
      </c>
      <c r="H21" s="15">
        <v>648464.0440201608</v>
      </c>
      <c r="I21" s="55">
        <f t="shared" ref="I21:I34" si="0">H21*F$114</f>
        <v>368736.42099376646</v>
      </c>
      <c r="J21" s="15">
        <v>105550</v>
      </c>
      <c r="K21" s="16">
        <f t="shared" ref="K21:K34" si="1">(H21+I21)-J21</f>
        <v>911650.46501392731</v>
      </c>
    </row>
    <row r="22" spans="1:11" ht="18" customHeight="1">
      <c r="A22" s="5" t="s">
        <v>76</v>
      </c>
      <c r="B22" t="s">
        <v>6</v>
      </c>
      <c r="F22" s="54">
        <v>296.25</v>
      </c>
      <c r="G22" s="54">
        <v>1059</v>
      </c>
      <c r="H22" s="15">
        <v>17295.652734693882</v>
      </c>
      <c r="I22" s="55">
        <f t="shared" si="0"/>
        <v>9834.8353265733167</v>
      </c>
      <c r="J22" s="15">
        <v>0</v>
      </c>
      <c r="K22" s="16">
        <f t="shared" si="1"/>
        <v>27130.488061267199</v>
      </c>
    </row>
    <row r="23" spans="1:11" ht="18" customHeight="1">
      <c r="A23" s="5" t="s">
        <v>77</v>
      </c>
      <c r="B23" t="s">
        <v>43</v>
      </c>
      <c r="F23" s="54">
        <v>27</v>
      </c>
      <c r="G23" s="54">
        <v>39371</v>
      </c>
      <c r="H23" s="15">
        <v>1358.1072000000001</v>
      </c>
      <c r="I23" s="55">
        <f t="shared" si="0"/>
        <v>772.26114982297463</v>
      </c>
      <c r="J23" s="15">
        <v>0</v>
      </c>
      <c r="K23" s="16">
        <f t="shared" si="1"/>
        <v>2130.3683498229748</v>
      </c>
    </row>
    <row r="24" spans="1:11" ht="18" customHeight="1">
      <c r="A24" s="5" t="s">
        <v>78</v>
      </c>
      <c r="B24" t="s">
        <v>44</v>
      </c>
      <c r="F24" s="54">
        <v>4021.4</v>
      </c>
      <c r="G24" s="54">
        <v>17605</v>
      </c>
      <c r="H24" s="15">
        <v>261970.04294796663</v>
      </c>
      <c r="I24" s="55">
        <f t="shared" si="0"/>
        <v>148964.15142057324</v>
      </c>
      <c r="J24" s="15">
        <v>41244</v>
      </c>
      <c r="K24" s="16">
        <f t="shared" si="1"/>
        <v>369690.19436853984</v>
      </c>
    </row>
    <row r="25" spans="1:11" ht="18" customHeight="1">
      <c r="A25" s="5" t="s">
        <v>79</v>
      </c>
      <c r="B25" t="s">
        <v>5</v>
      </c>
      <c r="F25" s="54">
        <v>1578.1</v>
      </c>
      <c r="G25" s="54">
        <v>7607</v>
      </c>
      <c r="H25" s="15">
        <v>93043.63489999999</v>
      </c>
      <c r="I25" s="55">
        <f t="shared" si="0"/>
        <v>52907.446828632557</v>
      </c>
      <c r="J25" s="15">
        <v>30933</v>
      </c>
      <c r="K25" s="16">
        <f t="shared" si="1"/>
        <v>115018.08172863256</v>
      </c>
    </row>
    <row r="26" spans="1:11" ht="18" customHeight="1">
      <c r="A26" s="5" t="s">
        <v>80</v>
      </c>
      <c r="B26" t="s">
        <v>45</v>
      </c>
      <c r="F26" s="54">
        <v>262</v>
      </c>
      <c r="G26" s="54">
        <v>531</v>
      </c>
      <c r="H26" s="15">
        <v>40467.545189460645</v>
      </c>
      <c r="I26" s="55">
        <f t="shared" si="0"/>
        <v>23011.079669208779</v>
      </c>
      <c r="J26" s="15">
        <v>0</v>
      </c>
      <c r="K26" s="16">
        <f t="shared" si="1"/>
        <v>63478.624858669427</v>
      </c>
    </row>
    <row r="27" spans="1:11" ht="18" customHeight="1">
      <c r="A27" s="5" t="s">
        <v>81</v>
      </c>
      <c r="B27" t="s">
        <v>46</v>
      </c>
      <c r="F27" s="54">
        <v>12</v>
      </c>
      <c r="G27" s="54">
        <v>71</v>
      </c>
      <c r="H27" s="15">
        <v>614.48544000000015</v>
      </c>
      <c r="I27" s="55">
        <f t="shared" si="0"/>
        <v>349.41515106014947</v>
      </c>
      <c r="J27" s="15">
        <v>0</v>
      </c>
      <c r="K27" s="16">
        <f t="shared" si="1"/>
        <v>963.90059106014962</v>
      </c>
    </row>
    <row r="28" spans="1:11" ht="18" customHeight="1">
      <c r="A28" s="5" t="s">
        <v>82</v>
      </c>
      <c r="B28" t="s">
        <v>47</v>
      </c>
      <c r="F28" s="54">
        <v>0</v>
      </c>
      <c r="G28" s="54">
        <v>0</v>
      </c>
      <c r="H28" s="15">
        <v>0</v>
      </c>
      <c r="I28" s="55">
        <f t="shared" si="0"/>
        <v>0</v>
      </c>
      <c r="J28" s="15">
        <v>0</v>
      </c>
      <c r="K28" s="16">
        <f t="shared" si="1"/>
        <v>0</v>
      </c>
    </row>
    <row r="29" spans="1:11" ht="18" customHeight="1">
      <c r="A29" s="5" t="s">
        <v>83</v>
      </c>
      <c r="B29" t="s">
        <v>48</v>
      </c>
      <c r="F29" s="54">
        <v>15804.25</v>
      </c>
      <c r="G29" s="54">
        <v>1480</v>
      </c>
      <c r="H29" s="15">
        <v>375790.73618026718</v>
      </c>
      <c r="I29" s="55">
        <f t="shared" si="0"/>
        <v>213686.06691386015</v>
      </c>
      <c r="J29" s="15">
        <v>0</v>
      </c>
      <c r="K29" s="16">
        <f t="shared" si="1"/>
        <v>589476.80309412733</v>
      </c>
    </row>
    <row r="30" spans="1:11" ht="18" customHeight="1">
      <c r="A30" s="5" t="s">
        <v>84</v>
      </c>
      <c r="B30" s="530" t="s">
        <v>401</v>
      </c>
      <c r="C30" s="531"/>
      <c r="D30" s="532"/>
      <c r="F30" s="54">
        <v>3.5</v>
      </c>
      <c r="G30" s="54">
        <v>3</v>
      </c>
      <c r="H30" s="15">
        <v>152.45322400000001</v>
      </c>
      <c r="I30" s="55">
        <f t="shared" si="0"/>
        <v>86.689550029967819</v>
      </c>
      <c r="J30" s="15">
        <v>0</v>
      </c>
      <c r="K30" s="16">
        <f t="shared" si="1"/>
        <v>239.14277402996782</v>
      </c>
    </row>
    <row r="31" spans="1:11" ht="18" customHeight="1">
      <c r="A31" s="5" t="s">
        <v>133</v>
      </c>
      <c r="B31" s="530" t="s">
        <v>400</v>
      </c>
      <c r="C31" s="531"/>
      <c r="D31" s="532"/>
      <c r="F31" s="54">
        <v>0</v>
      </c>
      <c r="G31" s="54">
        <v>25</v>
      </c>
      <c r="H31" s="15">
        <v>18611.07</v>
      </c>
      <c r="I31" s="55">
        <f t="shared" si="0"/>
        <v>10582.821678315135</v>
      </c>
      <c r="J31" s="15">
        <v>0</v>
      </c>
      <c r="K31" s="16">
        <f t="shared" si="1"/>
        <v>29193.891678315136</v>
      </c>
    </row>
    <row r="32" spans="1:11" ht="18" customHeight="1">
      <c r="A32" s="5" t="s">
        <v>134</v>
      </c>
      <c r="B32" s="68"/>
      <c r="C32" s="69"/>
      <c r="D32" s="70"/>
      <c r="F32" s="54"/>
      <c r="G32" s="52" t="s">
        <v>85</v>
      </c>
      <c r="H32" s="15"/>
      <c r="I32" s="55">
        <f t="shared" si="0"/>
        <v>0</v>
      </c>
      <c r="J32" s="15"/>
      <c r="K32" s="16">
        <f t="shared" si="1"/>
        <v>0</v>
      </c>
    </row>
    <row r="33" spans="1:11" ht="18" customHeight="1">
      <c r="A33" s="5" t="s">
        <v>135</v>
      </c>
      <c r="B33" s="68"/>
      <c r="C33" s="69"/>
      <c r="D33" s="70"/>
      <c r="F33" s="54"/>
      <c r="G33" s="52" t="s">
        <v>85</v>
      </c>
      <c r="H33" s="15"/>
      <c r="I33" s="55">
        <f t="shared" si="0"/>
        <v>0</v>
      </c>
      <c r="J33" s="15"/>
      <c r="K33" s="16">
        <f t="shared" si="1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 t="shared" si="0"/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32715.380952380954</v>
      </c>
      <c r="G36" s="18">
        <f t="shared" si="2"/>
        <v>615698.13888888888</v>
      </c>
      <c r="H36" s="18">
        <f t="shared" si="2"/>
        <v>1457767.7718365493</v>
      </c>
      <c r="I36" s="16">
        <f t="shared" si="2"/>
        <v>828931.18868184253</v>
      </c>
      <c r="J36" s="16">
        <f t="shared" si="2"/>
        <v>177727</v>
      </c>
      <c r="K36" s="16">
        <f t="shared" si="2"/>
        <v>2108971.9605183918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>
        <v>1653.5</v>
      </c>
      <c r="G40" s="54">
        <v>1987</v>
      </c>
      <c r="H40" s="15">
        <v>138747.89008000001</v>
      </c>
      <c r="I40" s="55">
        <f>H40*0.199707619836237</f>
        <v>27709.010885176642</v>
      </c>
      <c r="J40" s="15">
        <v>0</v>
      </c>
      <c r="K40" s="16">
        <f t="shared" ref="K40:K47" si="3">(H40+I40)-J40</f>
        <v>166456.90096517664</v>
      </c>
    </row>
    <row r="41" spans="1:11" ht="18" customHeight="1">
      <c r="A41" s="5" t="s">
        <v>88</v>
      </c>
      <c r="B41" s="550" t="s">
        <v>50</v>
      </c>
      <c r="C41" s="551"/>
      <c r="F41" s="54">
        <v>41009.5</v>
      </c>
      <c r="G41" s="54">
        <v>3097</v>
      </c>
      <c r="H41" s="15">
        <v>2322281.7430399992</v>
      </c>
      <c r="I41" s="55">
        <f>H41*F$114</f>
        <v>1320520.1836003603</v>
      </c>
      <c r="J41" s="15">
        <v>260624</v>
      </c>
      <c r="K41" s="16">
        <f t="shared" si="3"/>
        <v>3382177.9266403597</v>
      </c>
    </row>
    <row r="42" spans="1:11" ht="18" customHeight="1">
      <c r="A42" s="5" t="s">
        <v>89</v>
      </c>
      <c r="B42" s="1" t="s">
        <v>11</v>
      </c>
      <c r="F42" s="54">
        <v>6975.5</v>
      </c>
      <c r="G42" s="54">
        <v>1478.5</v>
      </c>
      <c r="H42" s="15">
        <v>442687.77471199998</v>
      </c>
      <c r="I42" s="55">
        <f>H42*0.199707619836237</f>
        <v>88408.121818333821</v>
      </c>
      <c r="J42" s="15">
        <v>0</v>
      </c>
      <c r="K42" s="16">
        <f t="shared" si="3"/>
        <v>531095.89653033379</v>
      </c>
    </row>
    <row r="43" spans="1:11" ht="18" customHeight="1">
      <c r="A43" s="5" t="s">
        <v>90</v>
      </c>
      <c r="B43" s="47" t="s">
        <v>10</v>
      </c>
      <c r="C43" s="10"/>
      <c r="D43" s="10"/>
      <c r="F43" s="54">
        <v>274.5</v>
      </c>
      <c r="G43" s="54">
        <v>109</v>
      </c>
      <c r="H43" s="15">
        <v>60863.861863333332</v>
      </c>
      <c r="I43" s="55">
        <v>0</v>
      </c>
      <c r="J43" s="15">
        <v>0</v>
      </c>
      <c r="K43" s="16">
        <f t="shared" si="3"/>
        <v>60863.861863333332</v>
      </c>
    </row>
    <row r="44" spans="1:11" ht="18" customHeight="1">
      <c r="A44" s="5" t="s">
        <v>91</v>
      </c>
      <c r="B44" s="530" t="s">
        <v>399</v>
      </c>
      <c r="C44" s="531"/>
      <c r="D44" s="532"/>
      <c r="F44" s="54">
        <v>8576</v>
      </c>
      <c r="G44" s="54">
        <v>591</v>
      </c>
      <c r="H44" s="15">
        <v>422768.9785599999</v>
      </c>
      <c r="I44" s="55">
        <v>0</v>
      </c>
      <c r="J44" s="15">
        <v>0</v>
      </c>
      <c r="K44" s="56">
        <f t="shared" si="3"/>
        <v>422768.9785599999</v>
      </c>
    </row>
    <row r="45" spans="1:11" ht="18" customHeight="1">
      <c r="A45" s="5" t="s">
        <v>139</v>
      </c>
      <c r="B45" s="530" t="s">
        <v>398</v>
      </c>
      <c r="C45" s="531"/>
      <c r="D45" s="532"/>
      <c r="F45" s="54">
        <v>4</v>
      </c>
      <c r="G45" s="54">
        <v>2</v>
      </c>
      <c r="H45" s="15">
        <v>96.64</v>
      </c>
      <c r="I45" s="55">
        <v>0</v>
      </c>
      <c r="J45" s="15">
        <v>0</v>
      </c>
      <c r="K45" s="16">
        <f t="shared" si="3"/>
        <v>96.64</v>
      </c>
    </row>
    <row r="46" spans="1:11" ht="18" customHeight="1">
      <c r="A46" s="5" t="s">
        <v>140</v>
      </c>
      <c r="B46" s="530" t="s">
        <v>397</v>
      </c>
      <c r="C46" s="531"/>
      <c r="D46" s="532"/>
      <c r="F46" s="54">
        <v>2257.1428571428573</v>
      </c>
      <c r="G46" s="54">
        <v>524</v>
      </c>
      <c r="H46" s="15">
        <v>112031.92182857142</v>
      </c>
      <c r="I46" s="55"/>
      <c r="J46" s="15">
        <v>0</v>
      </c>
      <c r="K46" s="16">
        <f t="shared" si="3"/>
        <v>112031.92182857142</v>
      </c>
    </row>
    <row r="47" spans="1:11" ht="18" customHeight="1">
      <c r="A47" s="5" t="s">
        <v>141</v>
      </c>
      <c r="B47" s="530" t="s">
        <v>396</v>
      </c>
      <c r="C47" s="531"/>
      <c r="D47" s="532"/>
      <c r="F47" s="54">
        <v>105</v>
      </c>
      <c r="G47" s="54">
        <v>1308</v>
      </c>
      <c r="H47" s="15">
        <v>6513.56016</v>
      </c>
      <c r="I47" s="55">
        <v>0</v>
      </c>
      <c r="J47" s="15">
        <v>0</v>
      </c>
      <c r="K47" s="16">
        <f t="shared" si="3"/>
        <v>6513.56016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60855.142857142855</v>
      </c>
      <c r="G49" s="23">
        <f t="shared" si="4"/>
        <v>9096.5</v>
      </c>
      <c r="H49" s="16">
        <f t="shared" si="4"/>
        <v>3505992.3702439032</v>
      </c>
      <c r="I49" s="16">
        <f t="shared" si="4"/>
        <v>1436637.3163038709</v>
      </c>
      <c r="J49" s="16">
        <f t="shared" si="4"/>
        <v>260624</v>
      </c>
      <c r="K49" s="16">
        <f t="shared" si="4"/>
        <v>4682005.6865477748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 t="s">
        <v>395</v>
      </c>
      <c r="C53" s="559"/>
      <c r="D53" s="532"/>
      <c r="F53" s="54">
        <v>0</v>
      </c>
      <c r="G53" s="54">
        <v>0</v>
      </c>
      <c r="H53" s="15">
        <f>499224+632767.96+365000</f>
        <v>1496991.96</v>
      </c>
      <c r="I53" s="55">
        <f>H53*0.199707619836237</f>
        <v>298960.7012455833</v>
      </c>
      <c r="J53" s="15">
        <v>681981</v>
      </c>
      <c r="K53" s="16">
        <f t="shared" ref="K53:K62" si="5">(H53+I53)-J53</f>
        <v>1113971.6612455833</v>
      </c>
    </row>
    <row r="54" spans="1:11" ht="18" customHeight="1">
      <c r="A54" s="5" t="s">
        <v>93</v>
      </c>
      <c r="B54" s="65" t="s">
        <v>394</v>
      </c>
      <c r="C54" s="66"/>
      <c r="D54" s="67"/>
      <c r="F54" s="54">
        <v>0</v>
      </c>
      <c r="G54" s="54">
        <v>23381.200000000001</v>
      </c>
      <c r="H54" s="15">
        <v>0</v>
      </c>
      <c r="I54" s="55">
        <f>H54*F$114</f>
        <v>0</v>
      </c>
      <c r="J54" s="15">
        <v>0</v>
      </c>
      <c r="K54" s="16">
        <f t="shared" si="5"/>
        <v>0</v>
      </c>
    </row>
    <row r="55" spans="1:11" ht="18" customHeight="1">
      <c r="A55" s="5" t="s">
        <v>94</v>
      </c>
      <c r="B55" s="530" t="s">
        <v>393</v>
      </c>
      <c r="C55" s="531"/>
      <c r="D55" s="532"/>
      <c r="F55" s="54">
        <v>3350</v>
      </c>
      <c r="G55" s="54">
        <v>7916</v>
      </c>
      <c r="H55" s="15">
        <v>199662.41200000001</v>
      </c>
      <c r="I55" s="55">
        <f>H55*F$114</f>
        <v>113534.1332904711</v>
      </c>
      <c r="J55" s="15">
        <v>20180</v>
      </c>
      <c r="K55" s="16">
        <f t="shared" si="5"/>
        <v>293016.54529047111</v>
      </c>
    </row>
    <row r="56" spans="1:11" ht="18" customHeight="1">
      <c r="A56" s="5" t="s">
        <v>95</v>
      </c>
      <c r="B56" s="530" t="s">
        <v>392</v>
      </c>
      <c r="C56" s="531"/>
      <c r="D56" s="532"/>
      <c r="F56" s="54" t="s">
        <v>740</v>
      </c>
      <c r="G56" s="54">
        <v>0</v>
      </c>
      <c r="H56" s="15">
        <v>174200</v>
      </c>
      <c r="I56" s="55">
        <v>0</v>
      </c>
      <c r="J56" s="15"/>
      <c r="K56" s="16">
        <f t="shared" si="5"/>
        <v>174200</v>
      </c>
    </row>
    <row r="57" spans="1:11" ht="18" customHeight="1">
      <c r="A57" s="5" t="s">
        <v>96</v>
      </c>
      <c r="B57" s="530" t="s">
        <v>391</v>
      </c>
      <c r="C57" s="531"/>
      <c r="D57" s="532"/>
      <c r="F57" s="54">
        <v>0</v>
      </c>
      <c r="G57" s="54">
        <v>0</v>
      </c>
      <c r="H57" s="15">
        <v>191200</v>
      </c>
      <c r="I57" s="55">
        <v>0</v>
      </c>
      <c r="J57" s="15"/>
      <c r="K57" s="16">
        <f t="shared" si="5"/>
        <v>191200</v>
      </c>
    </row>
    <row r="58" spans="1:11" ht="18" customHeight="1">
      <c r="A58" s="5" t="s">
        <v>97</v>
      </c>
      <c r="B58" s="65" t="s">
        <v>390</v>
      </c>
      <c r="C58" s="66"/>
      <c r="D58" s="67"/>
      <c r="F58" s="54">
        <v>0</v>
      </c>
      <c r="G58" s="54">
        <v>0</v>
      </c>
      <c r="H58" s="15">
        <v>552986.71</v>
      </c>
      <c r="I58" s="55">
        <v>0</v>
      </c>
      <c r="J58" s="15"/>
      <c r="K58" s="16">
        <f t="shared" si="5"/>
        <v>552986.71</v>
      </c>
    </row>
    <row r="59" spans="1:11" ht="18" customHeight="1">
      <c r="A59" s="5" t="s">
        <v>98</v>
      </c>
      <c r="B59" s="530" t="s">
        <v>389</v>
      </c>
      <c r="C59" s="531"/>
      <c r="D59" s="532"/>
      <c r="F59" s="54">
        <v>0</v>
      </c>
      <c r="G59" s="54">
        <v>0</v>
      </c>
      <c r="H59" s="15">
        <v>225776</v>
      </c>
      <c r="I59" s="55">
        <v>0</v>
      </c>
      <c r="J59" s="15"/>
      <c r="K59" s="16">
        <f t="shared" si="5"/>
        <v>225776</v>
      </c>
    </row>
    <row r="60" spans="1:11" ht="18" customHeight="1">
      <c r="A60" s="5" t="s">
        <v>99</v>
      </c>
      <c r="B60" s="65" t="s">
        <v>388</v>
      </c>
      <c r="C60" s="66"/>
      <c r="D60" s="67"/>
      <c r="F60" s="54">
        <v>0</v>
      </c>
      <c r="G60" s="54">
        <v>0</v>
      </c>
      <c r="H60" s="15">
        <v>112071.99</v>
      </c>
      <c r="I60" s="55">
        <v>0</v>
      </c>
      <c r="J60" s="15"/>
      <c r="K60" s="16">
        <f t="shared" si="5"/>
        <v>112071.99</v>
      </c>
    </row>
    <row r="61" spans="1:11" ht="18" customHeight="1">
      <c r="A61" s="5" t="s">
        <v>100</v>
      </c>
      <c r="B61" s="65" t="s">
        <v>387</v>
      </c>
      <c r="C61" s="66"/>
      <c r="D61" s="67"/>
      <c r="F61" s="54">
        <v>0</v>
      </c>
      <c r="G61" s="54">
        <v>0</v>
      </c>
      <c r="H61" s="15">
        <v>394232.5</v>
      </c>
      <c r="I61" s="55">
        <v>0</v>
      </c>
      <c r="J61" s="15"/>
      <c r="K61" s="16">
        <f t="shared" si="5"/>
        <v>394232.5</v>
      </c>
    </row>
    <row r="62" spans="1:11" ht="18" customHeight="1">
      <c r="A62" s="5" t="s">
        <v>101</v>
      </c>
      <c r="B62" s="530" t="s">
        <v>386</v>
      </c>
      <c r="C62" s="531"/>
      <c r="D62" s="532"/>
      <c r="F62" s="54">
        <v>0</v>
      </c>
      <c r="G62" s="54">
        <v>0</v>
      </c>
      <c r="H62" s="15">
        <v>2506650</v>
      </c>
      <c r="I62" s="55">
        <v>0</v>
      </c>
      <c r="J62" s="15">
        <v>0</v>
      </c>
      <c r="K62" s="16">
        <f t="shared" si="5"/>
        <v>2506650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6">SUM(F53:F62)</f>
        <v>3350</v>
      </c>
      <c r="G64" s="18">
        <f t="shared" si="6"/>
        <v>31297.200000000001</v>
      </c>
      <c r="H64" s="16">
        <f t="shared" si="6"/>
        <v>5853771.5720000006</v>
      </c>
      <c r="I64" s="16">
        <f t="shared" si="6"/>
        <v>412494.8345360544</v>
      </c>
      <c r="J64" s="16">
        <f t="shared" si="6"/>
        <v>702161</v>
      </c>
      <c r="K64" s="16">
        <f t="shared" si="6"/>
        <v>5564105.4065360548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>
        <v>39208</v>
      </c>
      <c r="G68" s="51">
        <v>1110</v>
      </c>
      <c r="H68" s="15">
        <v>0</v>
      </c>
      <c r="I68" s="55">
        <v>0</v>
      </c>
      <c r="J68" s="51">
        <v>0</v>
      </c>
      <c r="K68" s="16">
        <f>(H68+I68)-J68</f>
        <v>0</v>
      </c>
    </row>
    <row r="69" spans="1:11" ht="18" customHeight="1">
      <c r="A69" s="5" t="s">
        <v>104</v>
      </c>
      <c r="B69" s="1" t="s">
        <v>53</v>
      </c>
      <c r="F69" s="51">
        <v>0</v>
      </c>
      <c r="G69" s="51">
        <v>0</v>
      </c>
      <c r="H69" s="15">
        <v>0</v>
      </c>
      <c r="I69" s="55">
        <f>H69*F$114</f>
        <v>0</v>
      </c>
      <c r="J69" s="51">
        <v>0</v>
      </c>
      <c r="K69" s="16">
        <f>(H69+I69)-J69</f>
        <v>0</v>
      </c>
    </row>
    <row r="70" spans="1:11" ht="18" customHeight="1">
      <c r="A70" s="5" t="s">
        <v>178</v>
      </c>
      <c r="B70" s="65"/>
      <c r="C70" s="66"/>
      <c r="D70" s="67"/>
      <c r="E70" s="2"/>
      <c r="F70" s="35"/>
      <c r="G70" s="35"/>
      <c r="H70" s="15"/>
      <c r="I70" s="55">
        <f>H70*F$114</f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65"/>
      <c r="C71" s="66"/>
      <c r="D71" s="67"/>
      <c r="E71" s="2"/>
      <c r="F71" s="35"/>
      <c r="G71" s="35"/>
      <c r="H71" s="15"/>
      <c r="I71" s="55">
        <f>H71*F$114</f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71"/>
      <c r="C72" s="72"/>
      <c r="D72" s="34"/>
      <c r="E72" s="2"/>
      <c r="F72" s="54"/>
      <c r="G72" s="54"/>
      <c r="H72" s="15"/>
      <c r="I72" s="55">
        <f>H72*F$114</f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7">SUM(F68:F72)</f>
        <v>39208</v>
      </c>
      <c r="G74" s="21">
        <f t="shared" si="7"/>
        <v>1110</v>
      </c>
      <c r="H74" s="21">
        <f t="shared" si="7"/>
        <v>0</v>
      </c>
      <c r="I74" s="53">
        <f t="shared" si="7"/>
        <v>0</v>
      </c>
      <c r="J74" s="21">
        <f t="shared" si="7"/>
        <v>0</v>
      </c>
      <c r="K74" s="56">
        <f t="shared" si="7"/>
        <v>0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>
        <v>0</v>
      </c>
      <c r="G77" s="54">
        <v>112</v>
      </c>
      <c r="H77" s="15">
        <v>582026.79</v>
      </c>
      <c r="I77" s="55">
        <v>0</v>
      </c>
      <c r="J77" s="15">
        <v>0</v>
      </c>
      <c r="K77" s="16">
        <f>(H77+I77)-J77</f>
        <v>582026.79</v>
      </c>
    </row>
    <row r="78" spans="1:11" ht="18" customHeight="1">
      <c r="A78" s="5" t="s">
        <v>108</v>
      </c>
      <c r="B78" s="1" t="s">
        <v>55</v>
      </c>
      <c r="F78" s="54">
        <v>0</v>
      </c>
      <c r="G78" s="54">
        <v>0</v>
      </c>
      <c r="H78" s="15">
        <v>0</v>
      </c>
      <c r="I78" s="55">
        <v>0</v>
      </c>
      <c r="J78" s="15">
        <v>0</v>
      </c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>
        <v>403</v>
      </c>
      <c r="G79" s="54">
        <v>1546</v>
      </c>
      <c r="H79" s="15">
        <v>555001.21019896271</v>
      </c>
      <c r="I79" s="55">
        <v>0</v>
      </c>
      <c r="J79" s="15">
        <v>0</v>
      </c>
      <c r="K79" s="16">
        <f>(H79+I79)-J79</f>
        <v>555001.21019896271</v>
      </c>
    </row>
    <row r="80" spans="1:11" ht="18" customHeight="1">
      <c r="A80" s="5" t="s">
        <v>110</v>
      </c>
      <c r="B80" s="1" t="s">
        <v>56</v>
      </c>
      <c r="F80" s="54">
        <v>737</v>
      </c>
      <c r="G80" s="54">
        <v>26492</v>
      </c>
      <c r="H80" s="15">
        <v>51536.8990063866</v>
      </c>
      <c r="I80" s="55">
        <f>H80*F$114</f>
        <v>29305.451649901152</v>
      </c>
      <c r="J80" s="15">
        <v>0</v>
      </c>
      <c r="K80" s="16">
        <f>(H80+I80)-J80</f>
        <v>80842.350656287745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8">SUM(F77:F80)</f>
        <v>1140</v>
      </c>
      <c r="G82" s="21">
        <f t="shared" si="8"/>
        <v>28150</v>
      </c>
      <c r="H82" s="56">
        <f t="shared" si="8"/>
        <v>1188564.8992053492</v>
      </c>
      <c r="I82" s="56">
        <f t="shared" si="8"/>
        <v>29305.451649901152</v>
      </c>
      <c r="J82" s="56">
        <f t="shared" si="8"/>
        <v>0</v>
      </c>
      <c r="K82" s="56">
        <f t="shared" si="8"/>
        <v>1217870.3508552504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>
        <v>0</v>
      </c>
      <c r="G86" s="54">
        <v>0</v>
      </c>
      <c r="H86" s="15">
        <v>35034.559999999998</v>
      </c>
      <c r="I86" s="55">
        <f>H86*F$114</f>
        <v>19921.718689910482</v>
      </c>
      <c r="J86" s="15">
        <v>0</v>
      </c>
      <c r="K86" s="16">
        <f t="shared" ref="K86:K96" si="9">(H86+I86)-J86</f>
        <v>54956.278689910483</v>
      </c>
    </row>
    <row r="87" spans="1:11" ht="18" customHeight="1">
      <c r="A87" s="5" t="s">
        <v>114</v>
      </c>
      <c r="B87" s="1" t="s">
        <v>14</v>
      </c>
      <c r="F87" s="54">
        <v>665</v>
      </c>
      <c r="G87" s="54">
        <v>363</v>
      </c>
      <c r="H87" s="15">
        <v>76494.689831111114</v>
      </c>
      <c r="I87" s="55">
        <f>H87*F$114</f>
        <v>43497.212240923007</v>
      </c>
      <c r="J87" s="15">
        <v>0</v>
      </c>
      <c r="K87" s="16">
        <f t="shared" si="9"/>
        <v>119991.90207203412</v>
      </c>
    </row>
    <row r="88" spans="1:11" ht="18" customHeight="1">
      <c r="A88" s="5" t="s">
        <v>115</v>
      </c>
      <c r="B88" s="1" t="s">
        <v>116</v>
      </c>
      <c r="F88" s="54">
        <v>2583.1666666666665</v>
      </c>
      <c r="G88" s="54">
        <v>21375</v>
      </c>
      <c r="H88" s="15">
        <v>208226.33469325275</v>
      </c>
      <c r="I88" s="55">
        <f>H88*F$114</f>
        <v>118403.84076723467</v>
      </c>
      <c r="J88" s="15">
        <v>0</v>
      </c>
      <c r="K88" s="16">
        <f t="shared" si="9"/>
        <v>326630.17546048743</v>
      </c>
    </row>
    <row r="89" spans="1:11" ht="18" customHeight="1">
      <c r="A89" s="5" t="s">
        <v>117</v>
      </c>
      <c r="B89" s="1" t="s">
        <v>58</v>
      </c>
      <c r="F89" s="54">
        <v>1.5</v>
      </c>
      <c r="G89" s="54">
        <v>366</v>
      </c>
      <c r="H89" s="15">
        <v>20907.48</v>
      </c>
      <c r="I89" s="55">
        <v>0</v>
      </c>
      <c r="J89" s="15">
        <v>0</v>
      </c>
      <c r="K89" s="16">
        <f t="shared" si="9"/>
        <v>20907.48</v>
      </c>
    </row>
    <row r="90" spans="1:11" ht="18" customHeight="1">
      <c r="A90" s="5" t="s">
        <v>118</v>
      </c>
      <c r="B90" s="550" t="s">
        <v>59</v>
      </c>
      <c r="C90" s="551"/>
      <c r="F90" s="54">
        <v>23.5</v>
      </c>
      <c r="G90" s="54">
        <v>172</v>
      </c>
      <c r="H90" s="15">
        <v>4296.5293519999977</v>
      </c>
      <c r="I90" s="55">
        <f t="shared" ref="I90:I96" si="10">H90*F$114</f>
        <v>2443.1375502785627</v>
      </c>
      <c r="J90" s="15">
        <v>0</v>
      </c>
      <c r="K90" s="16">
        <f t="shared" si="9"/>
        <v>6739.6669022785609</v>
      </c>
    </row>
    <row r="91" spans="1:11" ht="18" customHeight="1">
      <c r="A91" s="5" t="s">
        <v>119</v>
      </c>
      <c r="B91" s="1" t="s">
        <v>60</v>
      </c>
      <c r="F91" s="54">
        <v>934</v>
      </c>
      <c r="G91" s="54">
        <v>5984</v>
      </c>
      <c r="H91" s="15">
        <v>82014.847908888929</v>
      </c>
      <c r="I91" s="55">
        <f t="shared" si="10"/>
        <v>46636.142381599144</v>
      </c>
      <c r="J91" s="15">
        <v>0</v>
      </c>
      <c r="K91" s="16">
        <f t="shared" si="9"/>
        <v>128650.99029048807</v>
      </c>
    </row>
    <row r="92" spans="1:11" ht="18" customHeight="1">
      <c r="A92" s="5" t="s">
        <v>120</v>
      </c>
      <c r="B92" s="1" t="s">
        <v>121</v>
      </c>
      <c r="F92" s="38">
        <v>1028.9000000000001</v>
      </c>
      <c r="G92" s="38">
        <v>132</v>
      </c>
      <c r="H92" s="39">
        <v>59399.012760000005</v>
      </c>
      <c r="I92" s="55">
        <f t="shared" si="10"/>
        <v>33776.089172038221</v>
      </c>
      <c r="J92" s="39">
        <v>20622</v>
      </c>
      <c r="K92" s="16">
        <f t="shared" si="9"/>
        <v>72553.101932038233</v>
      </c>
    </row>
    <row r="93" spans="1:11" ht="18" customHeight="1">
      <c r="A93" s="5" t="s">
        <v>122</v>
      </c>
      <c r="B93" s="1" t="s">
        <v>123</v>
      </c>
      <c r="F93" s="54">
        <v>1548</v>
      </c>
      <c r="G93" s="54">
        <v>6118</v>
      </c>
      <c r="H93" s="15">
        <v>119410.57971199999</v>
      </c>
      <c r="I93" s="55">
        <f t="shared" si="10"/>
        <v>67900.495328658202</v>
      </c>
      <c r="J93" s="15">
        <v>0</v>
      </c>
      <c r="K93" s="16">
        <f t="shared" si="9"/>
        <v>187311.07504065818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f t="shared" si="10"/>
        <v>0</v>
      </c>
      <c r="J94" s="15"/>
      <c r="K94" s="16">
        <f t="shared" si="9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10"/>
        <v>0</v>
      </c>
      <c r="J95" s="15"/>
      <c r="K95" s="16">
        <f t="shared" si="9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10"/>
        <v>0</v>
      </c>
      <c r="J96" s="15"/>
      <c r="K96" s="16">
        <f t="shared" si="9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1">SUM(F86:F96)</f>
        <v>6784.0666666666657</v>
      </c>
      <c r="G98" s="18">
        <f t="shared" si="11"/>
        <v>34510</v>
      </c>
      <c r="H98" s="18">
        <f t="shared" si="11"/>
        <v>605784.03425725282</v>
      </c>
      <c r="I98" s="18">
        <f t="shared" si="11"/>
        <v>332578.63613064232</v>
      </c>
      <c r="J98" s="18">
        <f t="shared" si="11"/>
        <v>20622</v>
      </c>
      <c r="K98" s="18">
        <f t="shared" si="11"/>
        <v>917740.67038789508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>
        <v>1845.7</v>
      </c>
      <c r="G102" s="54">
        <v>0</v>
      </c>
      <c r="H102" s="15">
        <v>55114.801399999997</v>
      </c>
      <c r="I102" s="55">
        <f>H102*F$114</f>
        <v>31339.95600747046</v>
      </c>
      <c r="J102" s="15">
        <v>0</v>
      </c>
      <c r="K102" s="16">
        <f>(H102+I102)-J102</f>
        <v>86454.757407470461</v>
      </c>
    </row>
    <row r="103" spans="1:11" ht="18" customHeight="1">
      <c r="A103" s="5" t="s">
        <v>132</v>
      </c>
      <c r="B103" s="550" t="s">
        <v>62</v>
      </c>
      <c r="C103" s="550"/>
      <c r="F103" s="54">
        <v>0</v>
      </c>
      <c r="G103" s="54">
        <v>0</v>
      </c>
      <c r="H103" s="15">
        <v>0</v>
      </c>
      <c r="I103" s="55">
        <f>H103*F$114</f>
        <v>0</v>
      </c>
      <c r="J103" s="15">
        <v>0</v>
      </c>
      <c r="K103" s="16">
        <f>(H103+I103)-J103</f>
        <v>0</v>
      </c>
    </row>
    <row r="104" spans="1:11" ht="18" customHeight="1">
      <c r="A104" s="5" t="s">
        <v>128</v>
      </c>
      <c r="B104" s="530" t="s">
        <v>385</v>
      </c>
      <c r="C104" s="531"/>
      <c r="D104" s="532"/>
      <c r="F104" s="54">
        <v>0</v>
      </c>
      <c r="G104" s="54">
        <v>0</v>
      </c>
      <c r="H104" s="15">
        <v>8161.9034999999994</v>
      </c>
      <c r="I104" s="55">
        <f>H104*F$114</f>
        <v>4641.1071096995584</v>
      </c>
      <c r="J104" s="15">
        <v>10311</v>
      </c>
      <c r="K104" s="16">
        <f>(H104+I104)-J104</f>
        <v>2492.0106096995587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2">SUM(F102:F106)</f>
        <v>1845.7</v>
      </c>
      <c r="G108" s="18">
        <f t="shared" si="12"/>
        <v>0</v>
      </c>
      <c r="H108" s="16">
        <f t="shared" si="12"/>
        <v>63276.704899999997</v>
      </c>
      <c r="I108" s="16">
        <f t="shared" si="12"/>
        <v>35981.063117170022</v>
      </c>
      <c r="J108" s="16">
        <f t="shared" si="12"/>
        <v>10311</v>
      </c>
      <c r="K108" s="16">
        <f t="shared" si="12"/>
        <v>88946.768017170019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4445433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0.56863048058575538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236686304.00000003</v>
      </c>
    </row>
    <row r="118" spans="1:6" ht="18" customHeight="1">
      <c r="A118" s="5" t="s">
        <v>173</v>
      </c>
      <c r="B118" t="s">
        <v>18</v>
      </c>
      <c r="F118" s="15">
        <v>16509687.250000002</v>
      </c>
    </row>
    <row r="119" spans="1:6" ht="18" customHeight="1">
      <c r="A119" s="5" t="s">
        <v>174</v>
      </c>
      <c r="B119" s="2" t="s">
        <v>19</v>
      </c>
      <c r="F119" s="56">
        <f>SUM(F117:F118)</f>
        <v>253195991.25000003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239149257.25000003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f>+F119-F121</f>
        <v>14046734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-2603825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f>+F123+F125</f>
        <v>11442909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>
        <v>0</v>
      </c>
      <c r="G131" s="54">
        <v>692.66666666666663</v>
      </c>
      <c r="H131" s="15">
        <v>160874.95000000001</v>
      </c>
      <c r="I131" s="55">
        <f>H131*F$114</f>
        <v>91478.400132709372</v>
      </c>
      <c r="J131" s="15">
        <v>0</v>
      </c>
      <c r="K131" s="16">
        <f>(H131+I131)-J131</f>
        <v>252353.35013270937</v>
      </c>
    </row>
    <row r="132" spans="1:11" ht="18" customHeight="1">
      <c r="A132" s="5" t="s">
        <v>159</v>
      </c>
      <c r="B132" t="s">
        <v>25</v>
      </c>
      <c r="F132" s="54">
        <v>0</v>
      </c>
      <c r="G132" s="54">
        <v>30223</v>
      </c>
      <c r="H132" s="15">
        <v>90225.36</v>
      </c>
      <c r="I132" s="55">
        <f>H132*F$114</f>
        <v>51304.88981782279</v>
      </c>
      <c r="J132" s="15">
        <v>0</v>
      </c>
      <c r="K132" s="16">
        <f>(H132+I132)-J132</f>
        <v>141530.2498178228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3">SUM(F131:F135)</f>
        <v>0</v>
      </c>
      <c r="G137" s="18">
        <f t="shared" si="13"/>
        <v>30915.666666666668</v>
      </c>
      <c r="H137" s="16">
        <f t="shared" si="13"/>
        <v>251100.31</v>
      </c>
      <c r="I137" s="16">
        <f t="shared" si="13"/>
        <v>142783.28995053217</v>
      </c>
      <c r="J137" s="16">
        <f t="shared" si="13"/>
        <v>0</v>
      </c>
      <c r="K137" s="16">
        <f t="shared" si="13"/>
        <v>393883.5999505322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4">F36</f>
        <v>32715.380952380954</v>
      </c>
      <c r="G141" s="41">
        <f t="shared" si="14"/>
        <v>615698.13888888888</v>
      </c>
      <c r="H141" s="41">
        <f t="shared" si="14"/>
        <v>1457767.7718365493</v>
      </c>
      <c r="I141" s="41">
        <f t="shared" si="14"/>
        <v>828931.18868184253</v>
      </c>
      <c r="J141" s="41">
        <f t="shared" si="14"/>
        <v>177727</v>
      </c>
      <c r="K141" s="41">
        <f t="shared" si="14"/>
        <v>2108971.9605183918</v>
      </c>
    </row>
    <row r="142" spans="1:11" ht="18" customHeight="1">
      <c r="A142" s="5" t="s">
        <v>142</v>
      </c>
      <c r="B142" s="2" t="s">
        <v>65</v>
      </c>
      <c r="F142" s="41">
        <f t="shared" ref="F142:K142" si="15">F49</f>
        <v>60855.142857142855</v>
      </c>
      <c r="G142" s="41">
        <f t="shared" si="15"/>
        <v>9096.5</v>
      </c>
      <c r="H142" s="41">
        <f t="shared" si="15"/>
        <v>3505992.3702439032</v>
      </c>
      <c r="I142" s="41">
        <f t="shared" si="15"/>
        <v>1436637.3163038709</v>
      </c>
      <c r="J142" s="41">
        <f t="shared" si="15"/>
        <v>260624</v>
      </c>
      <c r="K142" s="41">
        <f t="shared" si="15"/>
        <v>4682005.6865477748</v>
      </c>
    </row>
    <row r="143" spans="1:11" ht="18" customHeight="1">
      <c r="A143" s="5" t="s">
        <v>144</v>
      </c>
      <c r="B143" s="2" t="s">
        <v>66</v>
      </c>
      <c r="F143" s="41">
        <f t="shared" ref="F143:K143" si="16">F64</f>
        <v>3350</v>
      </c>
      <c r="G143" s="41">
        <f t="shared" si="16"/>
        <v>31297.200000000001</v>
      </c>
      <c r="H143" s="41">
        <f t="shared" si="16"/>
        <v>5853771.5720000006</v>
      </c>
      <c r="I143" s="41">
        <f t="shared" si="16"/>
        <v>412494.8345360544</v>
      </c>
      <c r="J143" s="41">
        <f t="shared" si="16"/>
        <v>702161</v>
      </c>
      <c r="K143" s="41">
        <f t="shared" si="16"/>
        <v>5564105.4065360548</v>
      </c>
    </row>
    <row r="144" spans="1:11" ht="18" customHeight="1">
      <c r="A144" s="5" t="s">
        <v>146</v>
      </c>
      <c r="B144" s="2" t="s">
        <v>67</v>
      </c>
      <c r="F144" s="41">
        <f t="shared" ref="F144:K144" si="17">F74</f>
        <v>39208</v>
      </c>
      <c r="G144" s="41">
        <f t="shared" si="17"/>
        <v>1110</v>
      </c>
      <c r="H144" s="41">
        <f t="shared" si="17"/>
        <v>0</v>
      </c>
      <c r="I144" s="41">
        <f t="shared" si="17"/>
        <v>0</v>
      </c>
      <c r="J144" s="41">
        <f t="shared" si="17"/>
        <v>0</v>
      </c>
      <c r="K144" s="41">
        <f t="shared" si="17"/>
        <v>0</v>
      </c>
    </row>
    <row r="145" spans="1:11" ht="18" customHeight="1">
      <c r="A145" s="5" t="s">
        <v>148</v>
      </c>
      <c r="B145" s="2" t="s">
        <v>68</v>
      </c>
      <c r="F145" s="41">
        <f t="shared" ref="F145:K145" si="18">F82</f>
        <v>1140</v>
      </c>
      <c r="G145" s="41">
        <f t="shared" si="18"/>
        <v>28150</v>
      </c>
      <c r="H145" s="41">
        <f t="shared" si="18"/>
        <v>1188564.8992053492</v>
      </c>
      <c r="I145" s="41">
        <f t="shared" si="18"/>
        <v>29305.451649901152</v>
      </c>
      <c r="J145" s="41">
        <f t="shared" si="18"/>
        <v>0</v>
      </c>
      <c r="K145" s="41">
        <f t="shared" si="18"/>
        <v>1217870.3508552504</v>
      </c>
    </row>
    <row r="146" spans="1:11" ht="18" customHeight="1">
      <c r="A146" s="5" t="s">
        <v>150</v>
      </c>
      <c r="B146" s="2" t="s">
        <v>69</v>
      </c>
      <c r="F146" s="41">
        <f t="shared" ref="F146:K146" si="19">F98</f>
        <v>6784.0666666666657</v>
      </c>
      <c r="G146" s="41">
        <f t="shared" si="19"/>
        <v>34510</v>
      </c>
      <c r="H146" s="41">
        <f t="shared" si="19"/>
        <v>605784.03425725282</v>
      </c>
      <c r="I146" s="41">
        <f t="shared" si="19"/>
        <v>332578.63613064232</v>
      </c>
      <c r="J146" s="41">
        <f t="shared" si="19"/>
        <v>20622</v>
      </c>
      <c r="K146" s="41">
        <f t="shared" si="19"/>
        <v>917740.67038789508</v>
      </c>
    </row>
    <row r="147" spans="1:11" ht="18" customHeight="1">
      <c r="A147" s="5" t="s">
        <v>153</v>
      </c>
      <c r="B147" s="2" t="s">
        <v>61</v>
      </c>
      <c r="F147" s="18">
        <f t="shared" ref="F147:K147" si="20">F108</f>
        <v>1845.7</v>
      </c>
      <c r="G147" s="18">
        <f t="shared" si="20"/>
        <v>0</v>
      </c>
      <c r="H147" s="18">
        <f t="shared" si="20"/>
        <v>63276.704899999997</v>
      </c>
      <c r="I147" s="18">
        <f t="shared" si="20"/>
        <v>35981.063117170022</v>
      </c>
      <c r="J147" s="18">
        <f t="shared" si="20"/>
        <v>10311</v>
      </c>
      <c r="K147" s="18">
        <f t="shared" si="20"/>
        <v>88946.768017170019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4445433</v>
      </c>
    </row>
    <row r="149" spans="1:11" ht="18" customHeight="1">
      <c r="A149" s="5" t="s">
        <v>163</v>
      </c>
      <c r="B149" s="2" t="s">
        <v>71</v>
      </c>
      <c r="F149" s="18">
        <f t="shared" ref="F149:K149" si="21">F137</f>
        <v>0</v>
      </c>
      <c r="G149" s="18">
        <f t="shared" si="21"/>
        <v>30915.666666666668</v>
      </c>
      <c r="H149" s="18">
        <f t="shared" si="21"/>
        <v>251100.31</v>
      </c>
      <c r="I149" s="18">
        <f t="shared" si="21"/>
        <v>142783.28995053217</v>
      </c>
      <c r="J149" s="18">
        <f t="shared" si="21"/>
        <v>0</v>
      </c>
      <c r="K149" s="18">
        <f t="shared" si="21"/>
        <v>393883.5999505322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6829668</v>
      </c>
      <c r="I150" s="18">
        <f>I18</f>
        <v>0</v>
      </c>
      <c r="J150" s="18">
        <f>J18</f>
        <v>5840219</v>
      </c>
      <c r="K150" s="18">
        <f>K18</f>
        <v>989449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2">SUM(F141:F150)</f>
        <v>145898.29047619051</v>
      </c>
      <c r="G152" s="49">
        <f t="shared" si="22"/>
        <v>750777.50555555546</v>
      </c>
      <c r="H152" s="49">
        <f t="shared" si="22"/>
        <v>19755925.662443057</v>
      </c>
      <c r="I152" s="49">
        <f t="shared" si="22"/>
        <v>3218711.7803700133</v>
      </c>
      <c r="J152" s="49">
        <f t="shared" si="22"/>
        <v>7011664</v>
      </c>
      <c r="K152" s="49">
        <f t="shared" si="22"/>
        <v>20408406.442813072</v>
      </c>
    </row>
    <row r="154" spans="1:11" ht="18" customHeight="1">
      <c r="A154" s="6" t="s">
        <v>168</v>
      </c>
      <c r="B154" s="2" t="s">
        <v>28</v>
      </c>
      <c r="F154" s="64">
        <f>K152/F121</f>
        <v>8.533752802534815E-2</v>
      </c>
    </row>
    <row r="155" spans="1:11" ht="18" customHeight="1">
      <c r="A155" s="6" t="s">
        <v>169</v>
      </c>
      <c r="B155" s="2" t="s">
        <v>72</v>
      </c>
      <c r="F155" s="64">
        <f>K152/F127</f>
        <v>1.7834980985003963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C10:G10"/>
    <mergeCell ref="B30:D30"/>
    <mergeCell ref="D2:H2"/>
    <mergeCell ref="B45:D45"/>
    <mergeCell ref="C5:G5"/>
    <mergeCell ref="C6:G6"/>
    <mergeCell ref="C7:G7"/>
    <mergeCell ref="C9:G9"/>
    <mergeCell ref="C11:G11"/>
    <mergeCell ref="B41:C41"/>
    <mergeCell ref="B44:D44"/>
    <mergeCell ref="B13:H13"/>
    <mergeCell ref="B31:D31"/>
    <mergeCell ref="B135:D135"/>
    <mergeCell ref="B133:D133"/>
    <mergeCell ref="B104:D104"/>
    <mergeCell ref="B56:D56"/>
    <mergeCell ref="B59:D59"/>
    <mergeCell ref="B62:D62"/>
    <mergeCell ref="B105:D105"/>
    <mergeCell ref="B106:D106"/>
    <mergeCell ref="B94:D94"/>
    <mergeCell ref="B96:D96"/>
    <mergeCell ref="B90:C90"/>
    <mergeCell ref="B134:D134"/>
    <mergeCell ref="B95:D95"/>
    <mergeCell ref="B103:C103"/>
    <mergeCell ref="B57:D57"/>
    <mergeCell ref="B47:D47"/>
    <mergeCell ref="B34:D34"/>
    <mergeCell ref="B53:D53"/>
    <mergeCell ref="B55:D55"/>
    <mergeCell ref="B52:C52"/>
    <mergeCell ref="B46:D46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90" zoomScaleNormal="50" zoomScaleSheetLayoutView="9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255</v>
      </c>
      <c r="D5" s="534"/>
      <c r="E5" s="534"/>
      <c r="F5" s="534"/>
      <c r="G5" s="535"/>
    </row>
    <row r="6" spans="1:11" ht="18" customHeight="1">
      <c r="B6" s="5" t="s">
        <v>3</v>
      </c>
      <c r="C6" s="655">
        <v>210032</v>
      </c>
      <c r="D6" s="656"/>
      <c r="E6" s="656"/>
      <c r="F6" s="656"/>
      <c r="G6" s="657"/>
    </row>
    <row r="7" spans="1:11" ht="18" customHeight="1">
      <c r="B7" s="5" t="s">
        <v>4</v>
      </c>
      <c r="C7" s="640">
        <v>1092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254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253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252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3761637</v>
      </c>
      <c r="I18" s="55">
        <v>0</v>
      </c>
      <c r="J18" s="15">
        <v>3216670</v>
      </c>
      <c r="K18" s="16">
        <f>(H18+I18)-J18</f>
        <v>544967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1262.5999999999999</v>
      </c>
      <c r="G21" s="54">
        <v>6156</v>
      </c>
      <c r="H21" s="15">
        <v>39214</v>
      </c>
      <c r="I21" s="55">
        <v>15378</v>
      </c>
      <c r="J21" s="15">
        <v>0</v>
      </c>
      <c r="K21" s="16">
        <f t="shared" ref="K21:K34" si="0">(H21+I21)-J21</f>
        <v>54592</v>
      </c>
    </row>
    <row r="22" spans="1:11" ht="18" customHeight="1">
      <c r="A22" s="5" t="s">
        <v>76</v>
      </c>
      <c r="B22" t="s">
        <v>6</v>
      </c>
      <c r="F22" s="54">
        <v>658</v>
      </c>
      <c r="G22" s="54">
        <v>1505</v>
      </c>
      <c r="H22" s="15">
        <v>24076</v>
      </c>
      <c r="I22" s="55">
        <v>16996</v>
      </c>
      <c r="J22" s="15">
        <v>0</v>
      </c>
      <c r="K22" s="16">
        <f t="shared" si="0"/>
        <v>41072</v>
      </c>
    </row>
    <row r="23" spans="1:11" ht="18" customHeight="1">
      <c r="A23" s="5" t="s">
        <v>77</v>
      </c>
      <c r="B23" t="s">
        <v>43</v>
      </c>
      <c r="F23" s="54">
        <v>0</v>
      </c>
      <c r="G23" s="54">
        <v>0</v>
      </c>
      <c r="H23" s="15">
        <v>0</v>
      </c>
      <c r="I23" s="55">
        <v>0</v>
      </c>
      <c r="J23" s="15">
        <v>0</v>
      </c>
      <c r="K23" s="16">
        <f t="shared" si="0"/>
        <v>0</v>
      </c>
    </row>
    <row r="24" spans="1:11" ht="18" customHeight="1">
      <c r="A24" s="5" t="s">
        <v>78</v>
      </c>
      <c r="B24" t="s">
        <v>44</v>
      </c>
      <c r="F24" s="54">
        <v>567</v>
      </c>
      <c r="G24" s="54">
        <v>312</v>
      </c>
      <c r="H24" s="15">
        <v>20896</v>
      </c>
      <c r="I24" s="55">
        <v>0</v>
      </c>
      <c r="J24" s="15">
        <v>0</v>
      </c>
      <c r="K24" s="16">
        <f t="shared" si="0"/>
        <v>20896</v>
      </c>
    </row>
    <row r="25" spans="1:11" ht="18" customHeight="1">
      <c r="A25" s="5" t="s">
        <v>79</v>
      </c>
      <c r="B25" t="s">
        <v>5</v>
      </c>
      <c r="F25" s="54">
        <v>344</v>
      </c>
      <c r="G25" s="54">
        <v>1003</v>
      </c>
      <c r="H25" s="15">
        <v>13990</v>
      </c>
      <c r="I25" s="55">
        <v>5011</v>
      </c>
      <c r="J25" s="15">
        <v>0</v>
      </c>
      <c r="K25" s="16">
        <f t="shared" si="0"/>
        <v>19001</v>
      </c>
    </row>
    <row r="26" spans="1:11" ht="18" customHeight="1">
      <c r="A26" s="5" t="s">
        <v>80</v>
      </c>
      <c r="B26" t="s">
        <v>45</v>
      </c>
      <c r="F26" s="54">
        <v>235.24</v>
      </c>
      <c r="G26" s="54">
        <v>562</v>
      </c>
      <c r="H26" s="15">
        <v>2516</v>
      </c>
      <c r="I26" s="55">
        <v>0</v>
      </c>
      <c r="J26" s="15">
        <v>0</v>
      </c>
      <c r="K26" s="16">
        <f t="shared" si="0"/>
        <v>2516</v>
      </c>
    </row>
    <row r="27" spans="1:11" ht="18" customHeight="1">
      <c r="A27" s="5" t="s">
        <v>81</v>
      </c>
      <c r="B27" t="s">
        <v>46</v>
      </c>
      <c r="F27" s="54">
        <v>0</v>
      </c>
      <c r="G27" s="54">
        <v>0</v>
      </c>
      <c r="H27" s="15">
        <v>0</v>
      </c>
      <c r="I27" s="55">
        <v>0</v>
      </c>
      <c r="J27" s="15">
        <v>0</v>
      </c>
      <c r="K27" s="16">
        <f t="shared" si="0"/>
        <v>0</v>
      </c>
    </row>
    <row r="28" spans="1:11" ht="18" customHeight="1">
      <c r="A28" s="5" t="s">
        <v>82</v>
      </c>
      <c r="B28" t="s">
        <v>47</v>
      </c>
      <c r="F28" s="54">
        <v>0</v>
      </c>
      <c r="G28" s="54">
        <v>0</v>
      </c>
      <c r="H28" s="15">
        <v>0</v>
      </c>
      <c r="I28" s="55">
        <v>0</v>
      </c>
      <c r="J28" s="15">
        <v>0</v>
      </c>
      <c r="K28" s="16">
        <f t="shared" si="0"/>
        <v>0</v>
      </c>
    </row>
    <row r="29" spans="1:11" ht="18" customHeight="1">
      <c r="A29" s="5" t="s">
        <v>83</v>
      </c>
      <c r="B29" t="s">
        <v>48</v>
      </c>
      <c r="F29" s="54">
        <v>536.5</v>
      </c>
      <c r="G29" s="54">
        <v>1036</v>
      </c>
      <c r="H29" s="15">
        <v>118878</v>
      </c>
      <c r="I29" s="55">
        <v>3609</v>
      </c>
      <c r="J29" s="15">
        <v>104522</v>
      </c>
      <c r="K29" s="16">
        <f t="shared" si="0"/>
        <v>17965</v>
      </c>
    </row>
    <row r="30" spans="1:11" ht="18" customHeight="1">
      <c r="A30" s="5" t="s">
        <v>84</v>
      </c>
      <c r="B30" s="547" t="s">
        <v>251</v>
      </c>
      <c r="C30" s="548"/>
      <c r="D30" s="549"/>
      <c r="F30" s="54">
        <v>0</v>
      </c>
      <c r="G30" s="54">
        <v>141</v>
      </c>
      <c r="H30" s="15">
        <v>17011</v>
      </c>
      <c r="I30" s="55">
        <v>0</v>
      </c>
      <c r="J30" s="15">
        <v>17011</v>
      </c>
      <c r="K30" s="16">
        <f t="shared" si="0"/>
        <v>0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/>
      <c r="J31" s="15"/>
      <c r="K31" s="16">
        <f t="shared" si="0"/>
        <v>0</v>
      </c>
    </row>
    <row r="32" spans="1:11" ht="18" customHeight="1">
      <c r="A32" s="5" t="s">
        <v>134</v>
      </c>
      <c r="B32" s="68"/>
      <c r="C32" s="69"/>
      <c r="D32" s="70"/>
      <c r="F32" s="54"/>
      <c r="G32" s="52" t="s">
        <v>85</v>
      </c>
      <c r="H32" s="15"/>
      <c r="I32" s="55"/>
      <c r="J32" s="15"/>
      <c r="K32" s="16">
        <f t="shared" si="0"/>
        <v>0</v>
      </c>
    </row>
    <row r="33" spans="1:11" ht="18" customHeight="1">
      <c r="A33" s="5" t="s">
        <v>135</v>
      </c>
      <c r="B33" s="68"/>
      <c r="C33" s="69"/>
      <c r="D33" s="70"/>
      <c r="F33" s="54"/>
      <c r="G33" s="52" t="s">
        <v>85</v>
      </c>
      <c r="H33" s="15"/>
      <c r="I33" s="55"/>
      <c r="J33" s="15"/>
      <c r="K33" s="16">
        <f t="shared" si="0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/>
      <c r="J34" s="15"/>
      <c r="K34" s="16">
        <f t="shared" si="0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1">SUM(F21:F34)</f>
        <v>3603.34</v>
      </c>
      <c r="G36" s="18">
        <f t="shared" si="1"/>
        <v>10715</v>
      </c>
      <c r="H36" s="18">
        <f t="shared" si="1"/>
        <v>236581</v>
      </c>
      <c r="I36" s="16">
        <f t="shared" si="1"/>
        <v>40994</v>
      </c>
      <c r="J36" s="16">
        <f t="shared" si="1"/>
        <v>121533</v>
      </c>
      <c r="K36" s="16">
        <f t="shared" si="1"/>
        <v>156042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>
        <v>1067.5999999999999</v>
      </c>
      <c r="G40" s="54">
        <v>18</v>
      </c>
      <c r="H40" s="15">
        <v>33057</v>
      </c>
      <c r="I40" s="55">
        <v>23798</v>
      </c>
      <c r="J40" s="15">
        <v>0</v>
      </c>
      <c r="K40" s="16">
        <f t="shared" ref="K40:K47" si="2">(H40+I40)-J40</f>
        <v>56855</v>
      </c>
    </row>
    <row r="41" spans="1:11" ht="18" customHeight="1">
      <c r="A41" s="5" t="s">
        <v>88</v>
      </c>
      <c r="B41" s="550" t="s">
        <v>50</v>
      </c>
      <c r="C41" s="551"/>
      <c r="F41" s="54">
        <v>4679.1000000000004</v>
      </c>
      <c r="G41" s="54">
        <v>277</v>
      </c>
      <c r="H41" s="15">
        <v>154253</v>
      </c>
      <c r="I41" s="55">
        <v>111055</v>
      </c>
      <c r="J41" s="15">
        <v>0</v>
      </c>
      <c r="K41" s="16">
        <f t="shared" si="2"/>
        <v>265308</v>
      </c>
    </row>
    <row r="42" spans="1:11" ht="18" customHeight="1">
      <c r="A42" s="5" t="s">
        <v>89</v>
      </c>
      <c r="B42" s="1" t="s">
        <v>11</v>
      </c>
      <c r="F42" s="54">
        <v>2024</v>
      </c>
      <c r="G42" s="54">
        <v>350</v>
      </c>
      <c r="H42" s="15">
        <v>70154</v>
      </c>
      <c r="I42" s="55">
        <v>49962</v>
      </c>
      <c r="J42" s="15">
        <v>0</v>
      </c>
      <c r="K42" s="16">
        <f t="shared" si="2"/>
        <v>120116</v>
      </c>
    </row>
    <row r="43" spans="1:11" ht="18" customHeight="1">
      <c r="A43" s="5" t="s">
        <v>90</v>
      </c>
      <c r="B43" s="47" t="s">
        <v>10</v>
      </c>
      <c r="C43" s="10"/>
      <c r="D43" s="10"/>
      <c r="F43" s="54">
        <v>9.3000000000000007</v>
      </c>
      <c r="G43" s="54">
        <v>1</v>
      </c>
      <c r="H43" s="15">
        <v>401</v>
      </c>
      <c r="I43" s="55">
        <v>0</v>
      </c>
      <c r="J43" s="15">
        <v>0</v>
      </c>
      <c r="K43" s="16">
        <f t="shared" si="2"/>
        <v>401</v>
      </c>
    </row>
    <row r="44" spans="1:11" ht="18" customHeight="1">
      <c r="A44" s="5" t="s">
        <v>91</v>
      </c>
      <c r="B44" s="547"/>
      <c r="C44" s="548"/>
      <c r="D44" s="549"/>
      <c r="F44" s="82"/>
      <c r="G44" s="82"/>
      <c r="H44" s="82"/>
      <c r="I44" s="83"/>
      <c r="J44" s="82"/>
      <c r="K44" s="81">
        <f t="shared" si="2"/>
        <v>0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/>
      <c r="J45" s="15"/>
      <c r="K45" s="16">
        <f t="shared" si="2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/>
      <c r="J46" s="15"/>
      <c r="K46" s="16">
        <f t="shared" si="2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/>
      <c r="J47" s="15"/>
      <c r="K47" s="16">
        <f t="shared" si="2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3">SUM(F40:F47)</f>
        <v>7780.0000000000009</v>
      </c>
      <c r="G49" s="23">
        <f t="shared" si="3"/>
        <v>646</v>
      </c>
      <c r="H49" s="16">
        <f t="shared" si="3"/>
        <v>257865</v>
      </c>
      <c r="I49" s="16">
        <f t="shared" si="3"/>
        <v>184815</v>
      </c>
      <c r="J49" s="16">
        <f t="shared" si="3"/>
        <v>0</v>
      </c>
      <c r="K49" s="16">
        <f t="shared" si="3"/>
        <v>442680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/>
      <c r="C53" s="559"/>
      <c r="D53" s="532"/>
      <c r="F53" s="54"/>
      <c r="G53" s="54"/>
      <c r="H53" s="15"/>
      <c r="I53" s="55">
        <v>0</v>
      </c>
      <c r="J53" s="15"/>
      <c r="K53" s="16">
        <f t="shared" ref="K53:K62" si="4">(H53+I53)-J53</f>
        <v>0</v>
      </c>
    </row>
    <row r="54" spans="1:11" ht="18" customHeight="1">
      <c r="A54" s="5" t="s">
        <v>93</v>
      </c>
      <c r="B54" s="65"/>
      <c r="C54" s="66"/>
      <c r="D54" s="67"/>
      <c r="F54" s="54"/>
      <c r="G54" s="54"/>
      <c r="H54" s="15"/>
      <c r="I54" s="55">
        <v>0</v>
      </c>
      <c r="J54" s="15"/>
      <c r="K54" s="16">
        <f t="shared" si="4"/>
        <v>0</v>
      </c>
    </row>
    <row r="55" spans="1:11" ht="18" customHeight="1">
      <c r="A55" s="5" t="s">
        <v>94</v>
      </c>
      <c r="B55" s="557" t="s">
        <v>250</v>
      </c>
      <c r="C55" s="531"/>
      <c r="D55" s="532"/>
      <c r="F55" s="54">
        <v>152</v>
      </c>
      <c r="G55" s="54">
        <v>89</v>
      </c>
      <c r="H55" s="15">
        <v>9015370</v>
      </c>
      <c r="I55" s="55">
        <v>12950</v>
      </c>
      <c r="J55" s="15">
        <v>5240223</v>
      </c>
      <c r="K55" s="16">
        <f t="shared" si="4"/>
        <v>3788097</v>
      </c>
    </row>
    <row r="56" spans="1:11" ht="18" customHeight="1">
      <c r="A56" s="5" t="s">
        <v>95</v>
      </c>
      <c r="B56" s="530"/>
      <c r="C56" s="531"/>
      <c r="D56" s="532"/>
      <c r="F56" s="54" t="s">
        <v>740</v>
      </c>
      <c r="G56" s="54"/>
      <c r="H56" s="15"/>
      <c r="I56" s="55">
        <v>0</v>
      </c>
      <c r="J56" s="15"/>
      <c r="K56" s="16">
        <f t="shared" si="4"/>
        <v>0</v>
      </c>
    </row>
    <row r="57" spans="1:11" ht="18" customHeight="1">
      <c r="A57" s="5" t="s">
        <v>96</v>
      </c>
      <c r="B57" s="530"/>
      <c r="C57" s="531"/>
      <c r="D57" s="532"/>
      <c r="F57" s="54"/>
      <c r="G57" s="54"/>
      <c r="H57" s="15"/>
      <c r="I57" s="55">
        <v>0</v>
      </c>
      <c r="J57" s="15"/>
      <c r="K57" s="16">
        <f t="shared" si="4"/>
        <v>0</v>
      </c>
    </row>
    <row r="58" spans="1:11" ht="18" customHeight="1">
      <c r="A58" s="5" t="s">
        <v>97</v>
      </c>
      <c r="B58" s="65"/>
      <c r="C58" s="66"/>
      <c r="D58" s="67"/>
      <c r="F58" s="54"/>
      <c r="G58" s="54"/>
      <c r="H58" s="15"/>
      <c r="I58" s="55">
        <v>0</v>
      </c>
      <c r="J58" s="15"/>
      <c r="K58" s="16">
        <f t="shared" si="4"/>
        <v>0</v>
      </c>
    </row>
    <row r="59" spans="1:11" ht="18" customHeight="1">
      <c r="A59" s="5" t="s">
        <v>98</v>
      </c>
      <c r="B59" s="557" t="s">
        <v>249</v>
      </c>
      <c r="C59" s="531"/>
      <c r="D59" s="532"/>
      <c r="F59" s="54">
        <v>24569</v>
      </c>
      <c r="G59" s="54">
        <v>8478</v>
      </c>
      <c r="H59" s="15">
        <v>1097703</v>
      </c>
      <c r="I59" s="55">
        <v>0</v>
      </c>
      <c r="J59" s="15">
        <v>483376</v>
      </c>
      <c r="K59" s="16">
        <f t="shared" si="4"/>
        <v>614327</v>
      </c>
    </row>
    <row r="60" spans="1:11" ht="18" customHeight="1">
      <c r="A60" s="5" t="s">
        <v>99</v>
      </c>
      <c r="B60" s="65"/>
      <c r="C60" s="66"/>
      <c r="D60" s="67"/>
      <c r="F60" s="54"/>
      <c r="G60" s="54"/>
      <c r="H60" s="15"/>
      <c r="I60" s="55">
        <v>0</v>
      </c>
      <c r="J60" s="15"/>
      <c r="K60" s="16">
        <f t="shared" si="4"/>
        <v>0</v>
      </c>
    </row>
    <row r="61" spans="1:11" ht="18" customHeight="1">
      <c r="A61" s="5" t="s">
        <v>100</v>
      </c>
      <c r="B61" s="65"/>
      <c r="C61" s="66"/>
      <c r="D61" s="67"/>
      <c r="F61" s="54"/>
      <c r="G61" s="54"/>
      <c r="H61" s="15"/>
      <c r="I61" s="55">
        <v>0</v>
      </c>
      <c r="J61" s="15"/>
      <c r="K61" s="16">
        <f t="shared" si="4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4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5">SUM(F53:F62)</f>
        <v>24721</v>
      </c>
      <c r="G64" s="18">
        <f t="shared" si="5"/>
        <v>8567</v>
      </c>
      <c r="H64" s="16">
        <f t="shared" si="5"/>
        <v>10113073</v>
      </c>
      <c r="I64" s="16">
        <f t="shared" si="5"/>
        <v>12950</v>
      </c>
      <c r="J64" s="16">
        <f t="shared" si="5"/>
        <v>5723599</v>
      </c>
      <c r="K64" s="16">
        <f t="shared" si="5"/>
        <v>4402424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>
        <v>0</v>
      </c>
      <c r="G68" s="51">
        <v>0</v>
      </c>
      <c r="H68" s="51">
        <v>0</v>
      </c>
      <c r="I68" s="55">
        <v>0</v>
      </c>
      <c r="J68" s="51">
        <v>0</v>
      </c>
      <c r="K68" s="16">
        <f>(H68+I68)-J68</f>
        <v>0</v>
      </c>
    </row>
    <row r="69" spans="1:11" ht="18" customHeight="1">
      <c r="A69" s="5" t="s">
        <v>104</v>
      </c>
      <c r="B69" s="1" t="s">
        <v>53</v>
      </c>
      <c r="F69" s="51">
        <v>102</v>
      </c>
      <c r="G69" s="51">
        <v>34</v>
      </c>
      <c r="H69" s="51">
        <v>3942</v>
      </c>
      <c r="I69" s="55">
        <v>2836</v>
      </c>
      <c r="J69" s="51"/>
      <c r="K69" s="16">
        <f>(H69+I69)-J69</f>
        <v>6778</v>
      </c>
    </row>
    <row r="70" spans="1:11" ht="18" customHeight="1">
      <c r="A70" s="5" t="s">
        <v>178</v>
      </c>
      <c r="B70" s="65"/>
      <c r="C70" s="66"/>
      <c r="D70" s="67"/>
      <c r="E70" s="2"/>
      <c r="F70" s="35"/>
      <c r="G70" s="35"/>
      <c r="H70" s="36"/>
      <c r="I70" s="55"/>
      <c r="J70" s="36"/>
      <c r="K70" s="16">
        <f>(H70+I70)-J70</f>
        <v>0</v>
      </c>
    </row>
    <row r="71" spans="1:11" ht="18" customHeight="1">
      <c r="A71" s="5" t="s">
        <v>179</v>
      </c>
      <c r="B71" s="65"/>
      <c r="C71" s="66"/>
      <c r="D71" s="67"/>
      <c r="E71" s="2"/>
      <c r="F71" s="35"/>
      <c r="G71" s="35"/>
      <c r="H71" s="36"/>
      <c r="I71" s="55"/>
      <c r="J71" s="36"/>
      <c r="K71" s="16">
        <f>(H71+I71)-J71</f>
        <v>0</v>
      </c>
    </row>
    <row r="72" spans="1:11" ht="18" customHeight="1">
      <c r="A72" s="5" t="s">
        <v>180</v>
      </c>
      <c r="B72" s="71"/>
      <c r="C72" s="72"/>
      <c r="D72" s="34"/>
      <c r="E72" s="2"/>
      <c r="F72" s="54"/>
      <c r="G72" s="54"/>
      <c r="H72" s="15"/>
      <c r="I72" s="55"/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6">SUM(F68:F72)</f>
        <v>102</v>
      </c>
      <c r="G74" s="21">
        <f t="shared" si="6"/>
        <v>34</v>
      </c>
      <c r="H74" s="21">
        <f t="shared" si="6"/>
        <v>3942</v>
      </c>
      <c r="I74" s="53">
        <f t="shared" si="6"/>
        <v>2836</v>
      </c>
      <c r="J74" s="21">
        <f t="shared" si="6"/>
        <v>0</v>
      </c>
      <c r="K74" s="56">
        <f t="shared" si="6"/>
        <v>6778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>
        <v>0</v>
      </c>
      <c r="G77" s="54">
        <v>0</v>
      </c>
      <c r="H77" s="15">
        <v>48500</v>
      </c>
      <c r="I77" s="55">
        <v>0</v>
      </c>
      <c r="J77" s="15">
        <v>0</v>
      </c>
      <c r="K77" s="16">
        <f>(H77+I77)-J77</f>
        <v>48500</v>
      </c>
    </row>
    <row r="78" spans="1:11" ht="18" customHeight="1">
      <c r="A78" s="5" t="s">
        <v>108</v>
      </c>
      <c r="B78" s="1" t="s">
        <v>55</v>
      </c>
      <c r="F78" s="54">
        <v>0</v>
      </c>
      <c r="G78" s="54">
        <v>0</v>
      </c>
      <c r="H78" s="15">
        <v>0</v>
      </c>
      <c r="I78" s="55">
        <v>0</v>
      </c>
      <c r="J78" s="15">
        <v>0</v>
      </c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>
        <v>3663</v>
      </c>
      <c r="G79" s="54">
        <v>29897</v>
      </c>
      <c r="H79" s="15">
        <v>341576</v>
      </c>
      <c r="I79" s="55">
        <v>127775</v>
      </c>
      <c r="J79" s="15">
        <v>136180</v>
      </c>
      <c r="K79" s="16">
        <f>(H79+I79)-J79</f>
        <v>333171</v>
      </c>
    </row>
    <row r="80" spans="1:11" ht="18" customHeight="1">
      <c r="A80" s="5" t="s">
        <v>110</v>
      </c>
      <c r="B80" s="1" t="s">
        <v>56</v>
      </c>
      <c r="F80" s="54">
        <v>0</v>
      </c>
      <c r="G80" s="54">
        <v>0</v>
      </c>
      <c r="H80" s="15">
        <v>0</v>
      </c>
      <c r="I80" s="55">
        <v>0</v>
      </c>
      <c r="J80" s="15">
        <v>0</v>
      </c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7">SUM(F77:F80)</f>
        <v>3663</v>
      </c>
      <c r="G82" s="21">
        <f t="shared" si="7"/>
        <v>29897</v>
      </c>
      <c r="H82" s="56">
        <f t="shared" si="7"/>
        <v>390076</v>
      </c>
      <c r="I82" s="56">
        <f t="shared" si="7"/>
        <v>127775</v>
      </c>
      <c r="J82" s="56">
        <f t="shared" si="7"/>
        <v>136180</v>
      </c>
      <c r="K82" s="56">
        <f t="shared" si="7"/>
        <v>381671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>
        <v>73</v>
      </c>
      <c r="G86" s="54">
        <v>24</v>
      </c>
      <c r="H86" s="15">
        <v>1754</v>
      </c>
      <c r="I86" s="55">
        <v>0</v>
      </c>
      <c r="J86" s="15">
        <v>0</v>
      </c>
      <c r="K86" s="16">
        <f t="shared" ref="K86:K96" si="8">(H86+I86)-J86</f>
        <v>1754</v>
      </c>
    </row>
    <row r="87" spans="1:11" ht="18" customHeight="1">
      <c r="A87" s="5" t="s">
        <v>114</v>
      </c>
      <c r="B87" s="1" t="s">
        <v>14</v>
      </c>
      <c r="F87" s="54">
        <v>8.5</v>
      </c>
      <c r="G87" s="54">
        <v>33</v>
      </c>
      <c r="H87" s="15">
        <v>3004</v>
      </c>
      <c r="I87" s="55">
        <v>0</v>
      </c>
      <c r="J87" s="15">
        <v>0</v>
      </c>
      <c r="K87" s="16">
        <f t="shared" si="8"/>
        <v>3004</v>
      </c>
    </row>
    <row r="88" spans="1:11" ht="18" customHeight="1">
      <c r="A88" s="5" t="s">
        <v>115</v>
      </c>
      <c r="B88" s="1" t="s">
        <v>116</v>
      </c>
      <c r="F88" s="54">
        <v>41.3</v>
      </c>
      <c r="G88" s="54">
        <v>295</v>
      </c>
      <c r="H88" s="15">
        <v>1213</v>
      </c>
      <c r="I88" s="55">
        <v>130</v>
      </c>
      <c r="J88" s="15">
        <v>0</v>
      </c>
      <c r="K88" s="16">
        <f t="shared" si="8"/>
        <v>1343</v>
      </c>
    </row>
    <row r="89" spans="1:11" ht="18" customHeight="1">
      <c r="A89" s="5" t="s">
        <v>117</v>
      </c>
      <c r="B89" s="1" t="s">
        <v>58</v>
      </c>
      <c r="F89" s="54">
        <v>197.4</v>
      </c>
      <c r="G89" s="54">
        <v>47</v>
      </c>
      <c r="H89" s="15">
        <v>2177</v>
      </c>
      <c r="I89" s="55">
        <v>0</v>
      </c>
      <c r="J89" s="15">
        <v>0</v>
      </c>
      <c r="K89" s="16">
        <f t="shared" si="8"/>
        <v>2177</v>
      </c>
    </row>
    <row r="90" spans="1:11" ht="18" customHeight="1">
      <c r="A90" s="5" t="s">
        <v>118</v>
      </c>
      <c r="B90" s="550" t="s">
        <v>59</v>
      </c>
      <c r="C90" s="551"/>
      <c r="F90" s="54">
        <v>6</v>
      </c>
      <c r="G90" s="54">
        <v>123</v>
      </c>
      <c r="H90" s="15">
        <v>1180</v>
      </c>
      <c r="I90" s="55">
        <v>86</v>
      </c>
      <c r="J90" s="15">
        <v>0</v>
      </c>
      <c r="K90" s="16">
        <f t="shared" si="8"/>
        <v>1266</v>
      </c>
    </row>
    <row r="91" spans="1:11" ht="18" customHeight="1">
      <c r="A91" s="5" t="s">
        <v>119</v>
      </c>
      <c r="B91" s="1" t="s">
        <v>60</v>
      </c>
      <c r="F91" s="54">
        <v>29.4</v>
      </c>
      <c r="G91" s="54">
        <v>38</v>
      </c>
      <c r="H91" s="15">
        <v>5023</v>
      </c>
      <c r="I91" s="55">
        <v>0</v>
      </c>
      <c r="J91" s="15">
        <v>0</v>
      </c>
      <c r="K91" s="16">
        <f t="shared" si="8"/>
        <v>5023</v>
      </c>
    </row>
    <row r="92" spans="1:11" ht="18" customHeight="1">
      <c r="A92" s="5" t="s">
        <v>120</v>
      </c>
      <c r="B92" s="1" t="s">
        <v>121</v>
      </c>
      <c r="F92" s="38">
        <v>3.5</v>
      </c>
      <c r="G92" s="38">
        <v>125</v>
      </c>
      <c r="H92" s="39">
        <v>0</v>
      </c>
      <c r="I92" s="55">
        <v>0</v>
      </c>
      <c r="J92" s="39">
        <v>0</v>
      </c>
      <c r="K92" s="16">
        <f t="shared" si="8"/>
        <v>0</v>
      </c>
    </row>
    <row r="93" spans="1:11" ht="18" customHeight="1">
      <c r="A93" s="5" t="s">
        <v>122</v>
      </c>
      <c r="B93" s="1" t="s">
        <v>123</v>
      </c>
      <c r="F93" s="54">
        <v>544.29999999999995</v>
      </c>
      <c r="G93" s="54">
        <v>31</v>
      </c>
      <c r="H93" s="15">
        <v>51559</v>
      </c>
      <c r="I93" s="55">
        <v>6296</v>
      </c>
      <c r="J93" s="15">
        <v>0</v>
      </c>
      <c r="K93" s="16">
        <f t="shared" si="8"/>
        <v>57855</v>
      </c>
    </row>
    <row r="94" spans="1:11" ht="18" customHeight="1">
      <c r="A94" s="5" t="s">
        <v>124</v>
      </c>
      <c r="B94" s="530" t="s">
        <v>248</v>
      </c>
      <c r="C94" s="531"/>
      <c r="D94" s="532"/>
      <c r="F94" s="54">
        <v>128.5</v>
      </c>
      <c r="G94" s="54">
        <v>696</v>
      </c>
      <c r="H94" s="15">
        <v>24088</v>
      </c>
      <c r="I94" s="55">
        <v>0</v>
      </c>
      <c r="J94" s="15">
        <v>0</v>
      </c>
      <c r="K94" s="16">
        <f t="shared" si="8"/>
        <v>24088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/>
      <c r="J95" s="15"/>
      <c r="K95" s="16">
        <f t="shared" si="8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/>
      <c r="J96" s="15"/>
      <c r="K96" s="16">
        <f t="shared" si="8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9">SUM(F86:F96)</f>
        <v>1031.8999999999999</v>
      </c>
      <c r="G98" s="18">
        <f t="shared" si="9"/>
        <v>1412</v>
      </c>
      <c r="H98" s="18">
        <f t="shared" si="9"/>
        <v>89998</v>
      </c>
      <c r="I98" s="18">
        <f t="shared" si="9"/>
        <v>6512</v>
      </c>
      <c r="J98" s="18">
        <f t="shared" si="9"/>
        <v>0</v>
      </c>
      <c r="K98" s="18">
        <f t="shared" si="9"/>
        <v>96510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>
        <v>2172</v>
      </c>
      <c r="G102" s="54">
        <v>0</v>
      </c>
      <c r="H102" s="15">
        <v>68370</v>
      </c>
      <c r="I102" s="55">
        <v>49226</v>
      </c>
      <c r="J102" s="15">
        <v>0</v>
      </c>
      <c r="K102" s="16">
        <f>(H102+I102)-J102</f>
        <v>117596</v>
      </c>
    </row>
    <row r="103" spans="1:11" ht="18" customHeight="1">
      <c r="A103" s="5" t="s">
        <v>132</v>
      </c>
      <c r="B103" s="550" t="s">
        <v>62</v>
      </c>
      <c r="C103" s="550"/>
      <c r="F103" s="54">
        <v>87.5</v>
      </c>
      <c r="G103" s="54">
        <v>228</v>
      </c>
      <c r="H103" s="15">
        <v>13586</v>
      </c>
      <c r="I103" s="55">
        <v>169</v>
      </c>
      <c r="J103" s="15">
        <v>0</v>
      </c>
      <c r="K103" s="16">
        <f>(H103+I103)-J103</f>
        <v>13755</v>
      </c>
    </row>
    <row r="104" spans="1:11" ht="18" customHeight="1">
      <c r="A104" s="5" t="s">
        <v>128</v>
      </c>
      <c r="B104" s="530" t="s">
        <v>247</v>
      </c>
      <c r="C104" s="531"/>
      <c r="D104" s="532"/>
      <c r="F104" s="54">
        <v>99</v>
      </c>
      <c r="G104" s="54">
        <v>183</v>
      </c>
      <c r="H104" s="15">
        <v>6788</v>
      </c>
      <c r="I104" s="55">
        <v>135</v>
      </c>
      <c r="J104" s="15">
        <v>0</v>
      </c>
      <c r="K104" s="16">
        <f>(H104+I104)-J104</f>
        <v>6923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/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/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0">SUM(F102:F106)</f>
        <v>2358.5</v>
      </c>
      <c r="G108" s="18">
        <f t="shared" si="10"/>
        <v>411</v>
      </c>
      <c r="H108" s="16">
        <f t="shared" si="10"/>
        <v>88744</v>
      </c>
      <c r="I108" s="16">
        <f t="shared" si="10"/>
        <v>49530</v>
      </c>
      <c r="J108" s="16">
        <f t="shared" si="10"/>
        <v>0</v>
      </c>
      <c r="K108" s="16">
        <f t="shared" si="10"/>
        <v>138274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2772924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0.72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146197438</v>
      </c>
    </row>
    <row r="118" spans="1:6" ht="18" customHeight="1">
      <c r="A118" s="5" t="s">
        <v>173</v>
      </c>
      <c r="B118" t="s">
        <v>18</v>
      </c>
      <c r="F118" s="15">
        <v>2233360</v>
      </c>
    </row>
    <row r="119" spans="1:6" ht="18" customHeight="1">
      <c r="A119" s="5" t="s">
        <v>174</v>
      </c>
      <c r="B119" s="2" t="s">
        <v>19</v>
      </c>
      <c r="F119" s="56">
        <f>SUM(F117:F118)</f>
        <v>148430798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143517898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v>4912900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656515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v>4256385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>
        <v>0</v>
      </c>
      <c r="G131" s="54">
        <v>0</v>
      </c>
      <c r="H131" s="15">
        <v>0</v>
      </c>
      <c r="I131" s="55">
        <v>0</v>
      </c>
      <c r="J131" s="15">
        <v>0</v>
      </c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>
        <v>0</v>
      </c>
      <c r="G132" s="54">
        <v>0</v>
      </c>
      <c r="H132" s="15">
        <v>0</v>
      </c>
      <c r="I132" s="55">
        <v>0</v>
      </c>
      <c r="J132" s="15">
        <v>0</v>
      </c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/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/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/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1">SUM(F131:F135)</f>
        <v>0</v>
      </c>
      <c r="G137" s="18">
        <f t="shared" si="11"/>
        <v>0</v>
      </c>
      <c r="H137" s="16">
        <f t="shared" si="11"/>
        <v>0</v>
      </c>
      <c r="I137" s="16">
        <f t="shared" si="11"/>
        <v>0</v>
      </c>
      <c r="J137" s="16">
        <f t="shared" si="11"/>
        <v>0</v>
      </c>
      <c r="K137" s="16">
        <f t="shared" si="11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2">F36</f>
        <v>3603.34</v>
      </c>
      <c r="G141" s="41">
        <f t="shared" si="12"/>
        <v>10715</v>
      </c>
      <c r="H141" s="41">
        <f t="shared" si="12"/>
        <v>236581</v>
      </c>
      <c r="I141" s="41">
        <f t="shared" si="12"/>
        <v>40994</v>
      </c>
      <c r="J141" s="41">
        <f t="shared" si="12"/>
        <v>121533</v>
      </c>
      <c r="K141" s="41">
        <f t="shared" si="12"/>
        <v>156042</v>
      </c>
    </row>
    <row r="142" spans="1:11" ht="18" customHeight="1">
      <c r="A142" s="5" t="s">
        <v>142</v>
      </c>
      <c r="B142" s="2" t="s">
        <v>65</v>
      </c>
      <c r="F142" s="41">
        <f t="shared" ref="F142:K142" si="13">F49</f>
        <v>7780.0000000000009</v>
      </c>
      <c r="G142" s="41">
        <f t="shared" si="13"/>
        <v>646</v>
      </c>
      <c r="H142" s="41">
        <f t="shared" si="13"/>
        <v>257865</v>
      </c>
      <c r="I142" s="41">
        <f t="shared" si="13"/>
        <v>184815</v>
      </c>
      <c r="J142" s="41">
        <f t="shared" si="13"/>
        <v>0</v>
      </c>
      <c r="K142" s="41">
        <f t="shared" si="13"/>
        <v>442680</v>
      </c>
    </row>
    <row r="143" spans="1:11" ht="18" customHeight="1">
      <c r="A143" s="5" t="s">
        <v>144</v>
      </c>
      <c r="B143" s="2" t="s">
        <v>66</v>
      </c>
      <c r="F143" s="41">
        <f t="shared" ref="F143:K143" si="14">F64</f>
        <v>24721</v>
      </c>
      <c r="G143" s="41">
        <f t="shared" si="14"/>
        <v>8567</v>
      </c>
      <c r="H143" s="41">
        <f t="shared" si="14"/>
        <v>10113073</v>
      </c>
      <c r="I143" s="41">
        <f t="shared" si="14"/>
        <v>12950</v>
      </c>
      <c r="J143" s="41">
        <f t="shared" si="14"/>
        <v>5723599</v>
      </c>
      <c r="K143" s="41">
        <f t="shared" si="14"/>
        <v>4402424</v>
      </c>
    </row>
    <row r="144" spans="1:11" ht="18" customHeight="1">
      <c r="A144" s="5" t="s">
        <v>146</v>
      </c>
      <c r="B144" s="2" t="s">
        <v>67</v>
      </c>
      <c r="F144" s="41">
        <f t="shared" ref="F144:K144" si="15">F74</f>
        <v>102</v>
      </c>
      <c r="G144" s="41">
        <f t="shared" si="15"/>
        <v>34</v>
      </c>
      <c r="H144" s="41">
        <f t="shared" si="15"/>
        <v>3942</v>
      </c>
      <c r="I144" s="41">
        <f t="shared" si="15"/>
        <v>2836</v>
      </c>
      <c r="J144" s="41">
        <f t="shared" si="15"/>
        <v>0</v>
      </c>
      <c r="K144" s="41">
        <f t="shared" si="15"/>
        <v>6778</v>
      </c>
    </row>
    <row r="145" spans="1:11" ht="18" customHeight="1">
      <c r="A145" s="5" t="s">
        <v>148</v>
      </c>
      <c r="B145" s="2" t="s">
        <v>68</v>
      </c>
      <c r="F145" s="41">
        <f t="shared" ref="F145:K145" si="16">F82</f>
        <v>3663</v>
      </c>
      <c r="G145" s="41">
        <f t="shared" si="16"/>
        <v>29897</v>
      </c>
      <c r="H145" s="41">
        <f t="shared" si="16"/>
        <v>390076</v>
      </c>
      <c r="I145" s="41">
        <f t="shared" si="16"/>
        <v>127775</v>
      </c>
      <c r="J145" s="41">
        <f t="shared" si="16"/>
        <v>136180</v>
      </c>
      <c r="K145" s="41">
        <f t="shared" si="16"/>
        <v>381671</v>
      </c>
    </row>
    <row r="146" spans="1:11" ht="18" customHeight="1">
      <c r="A146" s="5" t="s">
        <v>150</v>
      </c>
      <c r="B146" s="2" t="s">
        <v>69</v>
      </c>
      <c r="F146" s="41">
        <f t="shared" ref="F146:K146" si="17">F98</f>
        <v>1031.8999999999999</v>
      </c>
      <c r="G146" s="41">
        <f t="shared" si="17"/>
        <v>1412</v>
      </c>
      <c r="H146" s="41">
        <f t="shared" si="17"/>
        <v>89998</v>
      </c>
      <c r="I146" s="41">
        <f t="shared" si="17"/>
        <v>6512</v>
      </c>
      <c r="J146" s="41">
        <f t="shared" si="17"/>
        <v>0</v>
      </c>
      <c r="K146" s="41">
        <f t="shared" si="17"/>
        <v>96510</v>
      </c>
    </row>
    <row r="147" spans="1:11" ht="18" customHeight="1">
      <c r="A147" s="5" t="s">
        <v>153</v>
      </c>
      <c r="B147" s="2" t="s">
        <v>61</v>
      </c>
      <c r="F147" s="18">
        <f t="shared" ref="F147:K147" si="18">F108</f>
        <v>2358.5</v>
      </c>
      <c r="G147" s="18">
        <f t="shared" si="18"/>
        <v>411</v>
      </c>
      <c r="H147" s="18">
        <f t="shared" si="18"/>
        <v>88744</v>
      </c>
      <c r="I147" s="18">
        <f t="shared" si="18"/>
        <v>49530</v>
      </c>
      <c r="J147" s="18">
        <f t="shared" si="18"/>
        <v>0</v>
      </c>
      <c r="K147" s="18">
        <f t="shared" si="18"/>
        <v>138274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2772924</v>
      </c>
    </row>
    <row r="149" spans="1:11" ht="18" customHeight="1">
      <c r="A149" s="5" t="s">
        <v>163</v>
      </c>
      <c r="B149" s="2" t="s">
        <v>71</v>
      </c>
      <c r="F149" s="18">
        <f t="shared" ref="F149:K149" si="19">F137</f>
        <v>0</v>
      </c>
      <c r="G149" s="18">
        <f t="shared" si="19"/>
        <v>0</v>
      </c>
      <c r="H149" s="18">
        <f t="shared" si="19"/>
        <v>0</v>
      </c>
      <c r="I149" s="18">
        <f t="shared" si="19"/>
        <v>0</v>
      </c>
      <c r="J149" s="18">
        <f t="shared" si="19"/>
        <v>0</v>
      </c>
      <c r="K149" s="18">
        <f t="shared" si="19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3761637</v>
      </c>
      <c r="I150" s="18">
        <f>I18</f>
        <v>0</v>
      </c>
      <c r="J150" s="18">
        <f>J18</f>
        <v>3216670</v>
      </c>
      <c r="K150" s="18">
        <f>K18</f>
        <v>544967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0">SUM(F141:F150)</f>
        <v>43259.74</v>
      </c>
      <c r="G152" s="49">
        <f t="shared" si="20"/>
        <v>51682</v>
      </c>
      <c r="H152" s="49">
        <f t="shared" si="20"/>
        <v>14941916</v>
      </c>
      <c r="I152" s="49">
        <f t="shared" si="20"/>
        <v>425412</v>
      </c>
      <c r="J152" s="49">
        <f t="shared" si="20"/>
        <v>9197982</v>
      </c>
      <c r="K152" s="49">
        <f t="shared" si="20"/>
        <v>8942270</v>
      </c>
    </row>
    <row r="154" spans="1:11" ht="18" customHeight="1">
      <c r="A154" s="6" t="s">
        <v>168</v>
      </c>
      <c r="B154" s="2" t="s">
        <v>28</v>
      </c>
      <c r="F154" s="89">
        <f>K152/F121</f>
        <v>6.2307699071791033E-2</v>
      </c>
    </row>
    <row r="155" spans="1:11" ht="18" customHeight="1">
      <c r="A155" s="6" t="s">
        <v>169</v>
      </c>
      <c r="B155" s="2" t="s">
        <v>72</v>
      </c>
      <c r="F155" s="89">
        <f>K152/F127</f>
        <v>2.1009072252627523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D2:H2"/>
    <mergeCell ref="B45:D45"/>
    <mergeCell ref="B46:D46"/>
    <mergeCell ref="B47:D47"/>
    <mergeCell ref="B34:D34"/>
    <mergeCell ref="C11:G11"/>
    <mergeCell ref="B41:C41"/>
    <mergeCell ref="B44:D44"/>
    <mergeCell ref="B31:D31"/>
    <mergeCell ref="C5:G5"/>
    <mergeCell ref="C6:G6"/>
    <mergeCell ref="C7:G7"/>
    <mergeCell ref="C9:G9"/>
    <mergeCell ref="C10:G10"/>
    <mergeCell ref="B13:H13"/>
    <mergeCell ref="B52:C52"/>
    <mergeCell ref="B90:C90"/>
    <mergeCell ref="B53:D53"/>
    <mergeCell ref="B62:D62"/>
    <mergeCell ref="B30:D30"/>
    <mergeCell ref="B55:D55"/>
    <mergeCell ref="B56:D56"/>
    <mergeCell ref="B95:D95"/>
    <mergeCell ref="B57:D57"/>
    <mergeCell ref="B103:C103"/>
    <mergeCell ref="B59:D59"/>
    <mergeCell ref="B135:D135"/>
    <mergeCell ref="B133:D133"/>
    <mergeCell ref="B104:D104"/>
    <mergeCell ref="B134:D134"/>
    <mergeCell ref="B105:D105"/>
    <mergeCell ref="B106:D106"/>
    <mergeCell ref="B94:D94"/>
    <mergeCell ref="B96:D96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56"/>
  <sheetViews>
    <sheetView view="pageBreakPreview" zoomScale="80" zoomScaleNormal="80" zoomScaleSheetLayoutView="8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269</v>
      </c>
      <c r="D5" s="534"/>
      <c r="E5" s="534"/>
      <c r="F5" s="534"/>
      <c r="G5" s="535"/>
    </row>
    <row r="6" spans="1:11" ht="18" customHeight="1">
      <c r="B6" s="5" t="s">
        <v>3</v>
      </c>
      <c r="C6" s="536" t="s">
        <v>268</v>
      </c>
      <c r="D6" s="537"/>
      <c r="E6" s="537"/>
      <c r="F6" s="537"/>
      <c r="G6" s="538"/>
    </row>
    <row r="7" spans="1:11" ht="18" customHeight="1">
      <c r="B7" s="5" t="s">
        <v>4</v>
      </c>
      <c r="C7" s="640">
        <v>7999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267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266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265</v>
      </c>
      <c r="D11" s="541"/>
      <c r="E11" s="541"/>
      <c r="F11" s="541"/>
      <c r="G11" s="589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  <c r="H15">
        <v>2854646</v>
      </c>
      <c r="J15">
        <v>2441079</v>
      </c>
      <c r="K15">
        <f>(H15+I15)-J15</f>
        <v>413567</v>
      </c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38462844</v>
      </c>
      <c r="I18" s="55">
        <v>0</v>
      </c>
      <c r="J18" s="15">
        <v>32890540</v>
      </c>
      <c r="K18" s="16">
        <f>(H18+I18)-J18</f>
        <v>5572304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9771.4</v>
      </c>
      <c r="G21" s="54">
        <v>454</v>
      </c>
      <c r="H21" s="54">
        <v>1046260.2918398738</v>
      </c>
      <c r="I21" s="55">
        <f t="shared" ref="I21:I34" si="0">H21*F$114</f>
        <v>373593.58834517206</v>
      </c>
      <c r="J21" s="15"/>
      <c r="K21" s="16">
        <f t="shared" ref="K21:K34" si="1">(H21+I21)-J21</f>
        <v>1419853.8801850458</v>
      </c>
    </row>
    <row r="22" spans="1:11" ht="18" customHeight="1">
      <c r="A22" s="5" t="s">
        <v>76</v>
      </c>
      <c r="B22" t="s">
        <v>6</v>
      </c>
      <c r="F22" s="54">
        <v>404</v>
      </c>
      <c r="G22" s="54">
        <v>33</v>
      </c>
      <c r="H22" s="94">
        <v>10906.739999771118</v>
      </c>
      <c r="I22" s="55">
        <f t="shared" si="0"/>
        <v>3894.5262144058593</v>
      </c>
      <c r="J22" s="15"/>
      <c r="K22" s="16">
        <f t="shared" si="1"/>
        <v>14801.266214176978</v>
      </c>
    </row>
    <row r="23" spans="1:11" ht="18" customHeight="1">
      <c r="A23" s="5" t="s">
        <v>77</v>
      </c>
      <c r="B23" t="s">
        <v>43</v>
      </c>
      <c r="F23" s="54"/>
      <c r="G23" s="54"/>
      <c r="H23" s="94"/>
      <c r="I23" s="55">
        <f t="shared" si="0"/>
        <v>0</v>
      </c>
      <c r="J23" s="15"/>
      <c r="K23" s="16">
        <f t="shared" si="1"/>
        <v>0</v>
      </c>
    </row>
    <row r="24" spans="1:11" ht="18" customHeight="1">
      <c r="A24" s="5" t="s">
        <v>78</v>
      </c>
      <c r="B24" t="s">
        <v>44</v>
      </c>
      <c r="F24" s="54"/>
      <c r="G24" s="54"/>
      <c r="H24" s="15"/>
      <c r="I24" s="55">
        <f t="shared" si="0"/>
        <v>0</v>
      </c>
      <c r="J24" s="15"/>
      <c r="K24" s="16">
        <f t="shared" si="1"/>
        <v>0</v>
      </c>
    </row>
    <row r="25" spans="1:11" ht="18" customHeight="1">
      <c r="A25" s="5" t="s">
        <v>79</v>
      </c>
      <c r="B25" t="s">
        <v>5</v>
      </c>
      <c r="F25" s="54">
        <v>0</v>
      </c>
      <c r="G25" s="54">
        <v>0</v>
      </c>
      <c r="H25" s="54">
        <v>174531</v>
      </c>
      <c r="I25" s="55">
        <f t="shared" si="0"/>
        <v>62320.68929310987</v>
      </c>
      <c r="J25" s="15"/>
      <c r="K25" s="16">
        <f t="shared" si="1"/>
        <v>236851.68929310987</v>
      </c>
    </row>
    <row r="26" spans="1:11" ht="18" customHeight="1">
      <c r="A26" s="5" t="s">
        <v>80</v>
      </c>
      <c r="B26" t="s">
        <v>45</v>
      </c>
      <c r="F26" s="54"/>
      <c r="G26" s="54"/>
      <c r="H26" s="94"/>
      <c r="I26" s="55">
        <f t="shared" si="0"/>
        <v>0</v>
      </c>
      <c r="J26" s="15"/>
      <c r="K26" s="16">
        <f t="shared" si="1"/>
        <v>0</v>
      </c>
    </row>
    <row r="27" spans="1:11" ht="18" customHeight="1">
      <c r="A27" s="5" t="s">
        <v>81</v>
      </c>
      <c r="B27" t="s">
        <v>46</v>
      </c>
      <c r="F27" s="54"/>
      <c r="G27" s="54"/>
      <c r="H27" s="94"/>
      <c r="I27" s="55">
        <f t="shared" si="0"/>
        <v>0</v>
      </c>
      <c r="J27" s="15"/>
      <c r="K27" s="16">
        <f t="shared" si="1"/>
        <v>0</v>
      </c>
    </row>
    <row r="28" spans="1:11" ht="18" customHeight="1">
      <c r="A28" s="5" t="s">
        <v>82</v>
      </c>
      <c r="B28" t="s">
        <v>47</v>
      </c>
      <c r="F28" s="54">
        <v>0</v>
      </c>
      <c r="G28" s="54">
        <v>1000</v>
      </c>
      <c r="H28" s="54">
        <v>166252.31972074509</v>
      </c>
      <c r="I28" s="55">
        <f t="shared" si="0"/>
        <v>59364.577992306906</v>
      </c>
      <c r="J28" s="15"/>
      <c r="K28" s="16">
        <f t="shared" si="1"/>
        <v>225616.89771305199</v>
      </c>
    </row>
    <row r="29" spans="1:11" ht="18" customHeight="1">
      <c r="A29" s="5" t="s">
        <v>83</v>
      </c>
      <c r="B29" t="s">
        <v>48</v>
      </c>
      <c r="F29" s="54"/>
      <c r="G29" s="54"/>
      <c r="H29" s="15"/>
      <c r="I29" s="55">
        <f t="shared" si="0"/>
        <v>0</v>
      </c>
      <c r="J29" s="15"/>
      <c r="K29" s="16">
        <f t="shared" si="1"/>
        <v>0</v>
      </c>
    </row>
    <row r="30" spans="1:11" ht="18" customHeight="1">
      <c r="A30" s="5" t="s">
        <v>84</v>
      </c>
      <c r="B30" s="547"/>
      <c r="C30" s="548"/>
      <c r="D30" s="549"/>
      <c r="F30" s="54"/>
      <c r="G30" s="54"/>
      <c r="H30" s="15"/>
      <c r="I30" s="55">
        <f t="shared" si="0"/>
        <v>0</v>
      </c>
      <c r="J30" s="15"/>
      <c r="K30" s="16">
        <f t="shared" si="1"/>
        <v>0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 t="shared" si="0"/>
        <v>0</v>
      </c>
      <c r="J31" s="15"/>
      <c r="K31" s="16">
        <f t="shared" si="1"/>
        <v>0</v>
      </c>
    </row>
    <row r="32" spans="1:11" ht="18" customHeight="1">
      <c r="A32" s="5" t="s">
        <v>134</v>
      </c>
      <c r="B32" s="68"/>
      <c r="C32" s="69"/>
      <c r="D32" s="70"/>
      <c r="F32" s="54"/>
      <c r="G32" s="52" t="s">
        <v>85</v>
      </c>
      <c r="H32" s="15"/>
      <c r="I32" s="55">
        <f t="shared" si="0"/>
        <v>0</v>
      </c>
      <c r="J32" s="15"/>
      <c r="K32" s="16">
        <f t="shared" si="1"/>
        <v>0</v>
      </c>
    </row>
    <row r="33" spans="1:11" ht="18" customHeight="1">
      <c r="A33" s="5" t="s">
        <v>135</v>
      </c>
      <c r="B33" s="68"/>
      <c r="C33" s="69"/>
      <c r="D33" s="70"/>
      <c r="F33" s="54"/>
      <c r="G33" s="52" t="s">
        <v>85</v>
      </c>
      <c r="H33" s="15"/>
      <c r="I33" s="55">
        <f t="shared" si="0"/>
        <v>0</v>
      </c>
      <c r="J33" s="15"/>
      <c r="K33" s="16">
        <f t="shared" si="1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 t="shared" si="0"/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10175.4</v>
      </c>
      <c r="G36" s="18">
        <f t="shared" si="2"/>
        <v>1487</v>
      </c>
      <c r="H36" s="18">
        <f t="shared" si="2"/>
        <v>1397950.3515603901</v>
      </c>
      <c r="I36" s="16">
        <f t="shared" si="2"/>
        <v>499173.38184499467</v>
      </c>
      <c r="J36" s="16">
        <f t="shared" si="2"/>
        <v>0</v>
      </c>
      <c r="K36" s="16">
        <f t="shared" si="2"/>
        <v>1897123.7334053847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>
        <v>1546477.9699436242</v>
      </c>
      <c r="G40" s="54"/>
      <c r="H40" s="94">
        <v>73839229.337050334</v>
      </c>
      <c r="I40" s="55">
        <f t="shared" ref="I40:I47" si="3">H40*F$114</f>
        <v>26366156.551884748</v>
      </c>
      <c r="J40" s="15"/>
      <c r="K40" s="16">
        <f t="shared" ref="K40:K47" si="4">(H40+I40)-J40</f>
        <v>100205385.88893509</v>
      </c>
    </row>
    <row r="41" spans="1:11" ht="18" customHeight="1">
      <c r="A41" s="5" t="s">
        <v>88</v>
      </c>
      <c r="B41" s="550" t="s">
        <v>50</v>
      </c>
      <c r="C41" s="551"/>
      <c r="F41" s="54"/>
      <c r="G41" s="54"/>
      <c r="H41" s="94"/>
      <c r="I41" s="55">
        <f t="shared" si="3"/>
        <v>0</v>
      </c>
      <c r="J41" s="15"/>
      <c r="K41" s="16">
        <f t="shared" si="4"/>
        <v>0</v>
      </c>
    </row>
    <row r="42" spans="1:11" ht="18" customHeight="1">
      <c r="A42" s="5" t="s">
        <v>89</v>
      </c>
      <c r="B42" s="1" t="s">
        <v>11</v>
      </c>
      <c r="F42" s="54"/>
      <c r="G42" s="54"/>
      <c r="H42" s="15"/>
      <c r="I42" s="55">
        <f t="shared" si="3"/>
        <v>0</v>
      </c>
      <c r="J42" s="15"/>
      <c r="K42" s="16">
        <f t="shared" si="4"/>
        <v>0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/>
      <c r="I43" s="55">
        <f t="shared" si="3"/>
        <v>0</v>
      </c>
      <c r="J43" s="15"/>
      <c r="K43" s="16">
        <f t="shared" si="4"/>
        <v>0</v>
      </c>
    </row>
    <row r="44" spans="1:11" ht="18" customHeight="1">
      <c r="A44" s="5" t="s">
        <v>91</v>
      </c>
      <c r="B44" s="547"/>
      <c r="C44" s="548"/>
      <c r="D44" s="549"/>
      <c r="F44" s="54"/>
      <c r="G44" s="54"/>
      <c r="H44" s="54"/>
      <c r="I44" s="55">
        <f t="shared" si="3"/>
        <v>0</v>
      </c>
      <c r="J44" s="54"/>
      <c r="K44" s="56">
        <f t="shared" si="4"/>
        <v>0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f t="shared" si="3"/>
        <v>0</v>
      </c>
      <c r="J45" s="15"/>
      <c r="K45" s="16">
        <f t="shared" si="4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f t="shared" si="3"/>
        <v>0</v>
      </c>
      <c r="J46" s="15"/>
      <c r="K46" s="16">
        <f t="shared" si="4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93"/>
      <c r="H47" s="15"/>
      <c r="I47" s="55">
        <f t="shared" si="3"/>
        <v>0</v>
      </c>
      <c r="J47" s="15"/>
      <c r="K47" s="16">
        <f t="shared" si="4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5">SUM(F40:F47)</f>
        <v>1546477.9699436242</v>
      </c>
      <c r="G49" s="23">
        <f t="shared" si="5"/>
        <v>0</v>
      </c>
      <c r="H49" s="16">
        <f t="shared" si="5"/>
        <v>73839229.337050334</v>
      </c>
      <c r="I49" s="16">
        <f t="shared" si="5"/>
        <v>26366156.551884748</v>
      </c>
      <c r="J49" s="16">
        <f t="shared" si="5"/>
        <v>0</v>
      </c>
      <c r="K49" s="16">
        <f t="shared" si="5"/>
        <v>100205385.88893509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 t="s">
        <v>264</v>
      </c>
      <c r="C53" s="559"/>
      <c r="D53" s="532"/>
      <c r="F53" s="54">
        <v>38548</v>
      </c>
      <c r="G53" s="54">
        <v>31052</v>
      </c>
      <c r="H53" s="15">
        <v>8570132</v>
      </c>
      <c r="I53" s="55">
        <f t="shared" ref="I53:I62" si="6">H53*F$114</f>
        <v>3060181.4782069563</v>
      </c>
      <c r="J53" s="15">
        <v>5078667</v>
      </c>
      <c r="K53" s="16">
        <f t="shared" ref="K53:K62" si="7">(H53+I53)-J53</f>
        <v>6551646.4782069568</v>
      </c>
    </row>
    <row r="54" spans="1:11" ht="18" customHeight="1">
      <c r="A54" s="5" t="s">
        <v>93</v>
      </c>
      <c r="B54" s="65" t="s">
        <v>263</v>
      </c>
      <c r="C54" s="66"/>
      <c r="D54" s="67"/>
      <c r="F54" s="54">
        <v>227994</v>
      </c>
      <c r="G54" s="54">
        <v>50694</v>
      </c>
      <c r="H54" s="15">
        <v>12720968.15</v>
      </c>
      <c r="I54" s="55">
        <f t="shared" si="6"/>
        <v>4542342.0686508222</v>
      </c>
      <c r="J54" s="15">
        <v>5781917</v>
      </c>
      <c r="K54" s="16">
        <f t="shared" si="7"/>
        <v>11481393.218650822</v>
      </c>
    </row>
    <row r="55" spans="1:11" ht="18" customHeight="1">
      <c r="A55" s="5" t="s">
        <v>94</v>
      </c>
      <c r="B55" s="530"/>
      <c r="C55" s="531"/>
      <c r="D55" s="532"/>
      <c r="F55" s="54"/>
      <c r="G55" s="54"/>
      <c r="H55" s="15"/>
      <c r="I55" s="55">
        <f t="shared" si="6"/>
        <v>0</v>
      </c>
      <c r="J55" s="15"/>
      <c r="K55" s="16">
        <f t="shared" si="7"/>
        <v>0</v>
      </c>
    </row>
    <row r="56" spans="1:11" ht="18" customHeight="1">
      <c r="A56" s="5" t="s">
        <v>95</v>
      </c>
      <c r="B56" s="530"/>
      <c r="C56" s="531"/>
      <c r="D56" s="532"/>
      <c r="F56" s="54" t="s">
        <v>740</v>
      </c>
      <c r="G56" s="54"/>
      <c r="H56" s="15"/>
      <c r="I56" s="55">
        <f t="shared" si="6"/>
        <v>0</v>
      </c>
      <c r="J56" s="15"/>
      <c r="K56" s="16">
        <f t="shared" si="7"/>
        <v>0</v>
      </c>
    </row>
    <row r="57" spans="1:11" ht="18" customHeight="1">
      <c r="A57" s="5" t="s">
        <v>96</v>
      </c>
      <c r="B57" s="530"/>
      <c r="C57" s="531"/>
      <c r="D57" s="532"/>
      <c r="F57" s="54"/>
      <c r="G57" s="54"/>
      <c r="H57" s="15"/>
      <c r="I57" s="55">
        <f t="shared" si="6"/>
        <v>0</v>
      </c>
      <c r="J57" s="15"/>
      <c r="K57" s="16">
        <f t="shared" si="7"/>
        <v>0</v>
      </c>
    </row>
    <row r="58" spans="1:11" ht="18" customHeight="1">
      <c r="A58" s="5" t="s">
        <v>97</v>
      </c>
      <c r="B58" s="65"/>
      <c r="C58" s="66"/>
      <c r="D58" s="67"/>
      <c r="F58" s="54"/>
      <c r="G58" s="54"/>
      <c r="H58" s="15"/>
      <c r="I58" s="55">
        <f t="shared" si="6"/>
        <v>0</v>
      </c>
      <c r="J58" s="15"/>
      <c r="K58" s="16">
        <f t="shared" si="7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f t="shared" si="6"/>
        <v>0</v>
      </c>
      <c r="J59" s="15"/>
      <c r="K59" s="16">
        <f t="shared" si="7"/>
        <v>0</v>
      </c>
    </row>
    <row r="60" spans="1:11" ht="18" customHeight="1">
      <c r="A60" s="5" t="s">
        <v>99</v>
      </c>
      <c r="B60" s="65"/>
      <c r="C60" s="66"/>
      <c r="D60" s="67"/>
      <c r="F60" s="54"/>
      <c r="G60" s="54"/>
      <c r="H60" s="15"/>
      <c r="I60" s="55">
        <f t="shared" si="6"/>
        <v>0</v>
      </c>
      <c r="J60" s="15"/>
      <c r="K60" s="16">
        <f t="shared" si="7"/>
        <v>0</v>
      </c>
    </row>
    <row r="61" spans="1:11" ht="18" customHeight="1">
      <c r="A61" s="5" t="s">
        <v>100</v>
      </c>
      <c r="B61" s="65"/>
      <c r="C61" s="66"/>
      <c r="D61" s="67"/>
      <c r="F61" s="54"/>
      <c r="G61" s="54"/>
      <c r="H61" s="15"/>
      <c r="I61" s="55">
        <f t="shared" si="6"/>
        <v>0</v>
      </c>
      <c r="J61" s="15"/>
      <c r="K61" s="16">
        <f t="shared" si="7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f t="shared" si="6"/>
        <v>0</v>
      </c>
      <c r="J62" s="15"/>
      <c r="K62" s="16">
        <f t="shared" si="7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8">SUM(F53:F62)</f>
        <v>266542</v>
      </c>
      <c r="G64" s="18">
        <f t="shared" si="8"/>
        <v>81746</v>
      </c>
      <c r="H64" s="16">
        <f t="shared" si="8"/>
        <v>21291100.149999999</v>
      </c>
      <c r="I64" s="16">
        <f t="shared" si="8"/>
        <v>7602523.546857778</v>
      </c>
      <c r="J64" s="16">
        <f t="shared" si="8"/>
        <v>10860584</v>
      </c>
      <c r="K64" s="16">
        <f t="shared" si="8"/>
        <v>18033039.69685778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/>
      <c r="G68" s="51"/>
      <c r="H68" s="51"/>
      <c r="I68" s="55">
        <f>H68*F$114</f>
        <v>0</v>
      </c>
      <c r="J68" s="51"/>
      <c r="K68" s="16">
        <f>(H68+I68)-J68</f>
        <v>0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f>H69*F$114</f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65"/>
      <c r="C70" s="66"/>
      <c r="D70" s="67"/>
      <c r="E70" s="2"/>
      <c r="F70" s="35"/>
      <c r="G70" s="35"/>
      <c r="H70" s="36"/>
      <c r="I70" s="55">
        <f>H70*F$114</f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65"/>
      <c r="C71" s="66"/>
      <c r="D71" s="67"/>
      <c r="E71" s="2"/>
      <c r="F71" s="35"/>
      <c r="G71" s="35"/>
      <c r="H71" s="36"/>
      <c r="I71" s="55">
        <f>H71*F$114</f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71"/>
      <c r="C72" s="72"/>
      <c r="D72" s="34"/>
      <c r="E72" s="2"/>
      <c r="F72" s="54"/>
      <c r="G72" s="54"/>
      <c r="H72" s="15"/>
      <c r="I72" s="55">
        <f>H72*F$114</f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9">SUM(F68:F72)</f>
        <v>0</v>
      </c>
      <c r="G74" s="21">
        <f t="shared" si="9"/>
        <v>0</v>
      </c>
      <c r="H74" s="21">
        <f t="shared" si="9"/>
        <v>0</v>
      </c>
      <c r="I74" s="53">
        <f t="shared" si="9"/>
        <v>0</v>
      </c>
      <c r="J74" s="21">
        <f t="shared" si="9"/>
        <v>0</v>
      </c>
      <c r="K74" s="56">
        <f t="shared" si="9"/>
        <v>0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/>
      <c r="G77" s="54"/>
      <c r="H77" s="15">
        <v>493095</v>
      </c>
      <c r="I77" s="55">
        <f>H77*F$114</f>
        <v>176071.98885576779</v>
      </c>
      <c r="J77" s="15"/>
      <c r="K77" s="16">
        <f>(H77+I77)-J77</f>
        <v>669166.98885576776</v>
      </c>
    </row>
    <row r="78" spans="1:11" ht="18" customHeight="1">
      <c r="A78" s="5" t="s">
        <v>108</v>
      </c>
      <c r="B78" s="1" t="s">
        <v>55</v>
      </c>
      <c r="F78" s="54"/>
      <c r="G78" s="54"/>
      <c r="H78" s="15"/>
      <c r="I78" s="55">
        <f>H78*F$114</f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>
        <v>7</v>
      </c>
      <c r="G79" s="54">
        <v>1</v>
      </c>
      <c r="H79" s="15">
        <v>371</v>
      </c>
      <c r="I79" s="55">
        <f>H79*F$114</f>
        <v>132.47489401735945</v>
      </c>
      <c r="J79" s="15"/>
      <c r="K79" s="16">
        <f>(H79+I79)-J79</f>
        <v>503.47489401735947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f>H80*F$114</f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10">SUM(F77:F80)</f>
        <v>7</v>
      </c>
      <c r="G82" s="21">
        <f t="shared" si="10"/>
        <v>1</v>
      </c>
      <c r="H82" s="56">
        <f t="shared" si="10"/>
        <v>493466</v>
      </c>
      <c r="I82" s="56">
        <f t="shared" si="10"/>
        <v>176204.46374978515</v>
      </c>
      <c r="J82" s="56">
        <f t="shared" si="10"/>
        <v>0</v>
      </c>
      <c r="K82" s="56">
        <f t="shared" si="10"/>
        <v>669670.46374978509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>
        <v>144</v>
      </c>
      <c r="G86" s="54">
        <v>24</v>
      </c>
      <c r="H86" s="15">
        <v>4639</v>
      </c>
      <c r="I86" s="55">
        <f t="shared" ref="I86:I96" si="11">H86*F$114</f>
        <v>1656.471787996039</v>
      </c>
      <c r="J86" s="15"/>
      <c r="K86" s="16">
        <f t="shared" ref="K86:K96" si="12">(H86+I86)-J86</f>
        <v>6295.471787996039</v>
      </c>
    </row>
    <row r="87" spans="1:11" ht="18" customHeight="1">
      <c r="A87" s="5" t="s">
        <v>114</v>
      </c>
      <c r="B87" s="1" t="s">
        <v>14</v>
      </c>
      <c r="F87" s="54">
        <v>668</v>
      </c>
      <c r="G87" s="54"/>
      <c r="H87" s="15">
        <v>0</v>
      </c>
      <c r="I87" s="55">
        <f t="shared" si="11"/>
        <v>0</v>
      </c>
      <c r="J87" s="15"/>
      <c r="K87" s="16">
        <f t="shared" si="12"/>
        <v>0</v>
      </c>
    </row>
    <row r="88" spans="1:11" ht="18" customHeight="1">
      <c r="A88" s="5" t="s">
        <v>115</v>
      </c>
      <c r="B88" s="1" t="s">
        <v>116</v>
      </c>
      <c r="F88" s="54">
        <v>0</v>
      </c>
      <c r="G88" s="54">
        <v>0</v>
      </c>
      <c r="H88" s="15">
        <v>0</v>
      </c>
      <c r="I88" s="55">
        <f t="shared" si="11"/>
        <v>0</v>
      </c>
      <c r="J88" s="15"/>
      <c r="K88" s="16">
        <f t="shared" si="12"/>
        <v>0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 t="shared" si="11"/>
        <v>0</v>
      </c>
      <c r="J89" s="15"/>
      <c r="K89" s="16">
        <f t="shared" si="12"/>
        <v>0</v>
      </c>
    </row>
    <row r="90" spans="1:11" ht="18" customHeight="1">
      <c r="A90" s="5" t="s">
        <v>118</v>
      </c>
      <c r="B90" s="550" t="s">
        <v>59</v>
      </c>
      <c r="C90" s="551"/>
      <c r="F90" s="54"/>
      <c r="G90" s="54"/>
      <c r="H90" s="15"/>
      <c r="I90" s="55">
        <f t="shared" si="11"/>
        <v>0</v>
      </c>
      <c r="J90" s="15"/>
      <c r="K90" s="16">
        <f t="shared" si="12"/>
        <v>0</v>
      </c>
    </row>
    <row r="91" spans="1:11" ht="18" customHeight="1">
      <c r="A91" s="5" t="s">
        <v>119</v>
      </c>
      <c r="B91" s="1" t="s">
        <v>60</v>
      </c>
      <c r="F91" s="54"/>
      <c r="G91" s="54"/>
      <c r="H91" s="15"/>
      <c r="I91" s="55">
        <f t="shared" si="11"/>
        <v>0</v>
      </c>
      <c r="J91" s="15"/>
      <c r="K91" s="16">
        <f t="shared" si="12"/>
        <v>0</v>
      </c>
    </row>
    <row r="92" spans="1:11" ht="18" customHeight="1">
      <c r="A92" s="5" t="s">
        <v>120</v>
      </c>
      <c r="B92" s="1" t="s">
        <v>121</v>
      </c>
      <c r="F92" s="38"/>
      <c r="G92" s="38"/>
      <c r="H92" s="39"/>
      <c r="I92" s="55">
        <f t="shared" si="11"/>
        <v>0</v>
      </c>
      <c r="J92" s="39"/>
      <c r="K92" s="16">
        <f t="shared" si="12"/>
        <v>0</v>
      </c>
    </row>
    <row r="93" spans="1:11" ht="18" customHeight="1">
      <c r="A93" s="5" t="s">
        <v>122</v>
      </c>
      <c r="B93" s="1" t="s">
        <v>123</v>
      </c>
      <c r="F93" s="54">
        <v>4269</v>
      </c>
      <c r="G93" s="54">
        <v>171</v>
      </c>
      <c r="H93" s="15">
        <v>142520.0400390625</v>
      </c>
      <c r="I93" s="55">
        <f t="shared" si="11"/>
        <v>50890.369810039432</v>
      </c>
      <c r="J93" s="15"/>
      <c r="K93" s="16">
        <f t="shared" si="12"/>
        <v>193410.40984910194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f t="shared" si="11"/>
        <v>0</v>
      </c>
      <c r="J94" s="15"/>
      <c r="K94" s="16">
        <f t="shared" si="12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11"/>
        <v>0</v>
      </c>
      <c r="J95" s="15"/>
      <c r="K95" s="16">
        <f t="shared" si="12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11"/>
        <v>0</v>
      </c>
      <c r="J96" s="15"/>
      <c r="K96" s="16">
        <f t="shared" si="12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3">SUM(F86:F96)</f>
        <v>5081</v>
      </c>
      <c r="G98" s="18">
        <f t="shared" si="13"/>
        <v>195</v>
      </c>
      <c r="H98" s="18">
        <f t="shared" si="13"/>
        <v>147159.0400390625</v>
      </c>
      <c r="I98" s="18">
        <f t="shared" si="13"/>
        <v>52546.841598035469</v>
      </c>
      <c r="J98" s="18">
        <f t="shared" si="13"/>
        <v>0</v>
      </c>
      <c r="K98" s="18">
        <f t="shared" si="13"/>
        <v>199705.88163709798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>
        <v>1521.6</v>
      </c>
      <c r="G102" s="54"/>
      <c r="H102" s="15">
        <v>85614.051731491098</v>
      </c>
      <c r="I102" s="55">
        <f>H102*F$114</f>
        <v>30570.653448857174</v>
      </c>
      <c r="J102" s="15"/>
      <c r="K102" s="16">
        <f>(H102+I102)-J102</f>
        <v>116184.70518034828</v>
      </c>
    </row>
    <row r="103" spans="1:11" ht="18" customHeight="1">
      <c r="A103" s="5" t="s">
        <v>132</v>
      </c>
      <c r="B103" s="550" t="s">
        <v>62</v>
      </c>
      <c r="C103" s="550"/>
      <c r="F103" s="54"/>
      <c r="G103" s="54"/>
      <c r="H103" s="15"/>
      <c r="I103" s="55">
        <f>H103*F$114</f>
        <v>0</v>
      </c>
      <c r="J103" s="15"/>
      <c r="K103" s="16">
        <f>(H103+I103)-J103</f>
        <v>0</v>
      </c>
    </row>
    <row r="104" spans="1:11" ht="18" customHeight="1">
      <c r="A104" s="5" t="s">
        <v>128</v>
      </c>
      <c r="B104" s="530"/>
      <c r="C104" s="531"/>
      <c r="D104" s="532"/>
      <c r="F104" s="54"/>
      <c r="G104" s="54"/>
      <c r="H104" s="15"/>
      <c r="I104" s="55">
        <f>H104*F$114</f>
        <v>0</v>
      </c>
      <c r="J104" s="15"/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4">SUM(F102:F106)</f>
        <v>1521.6</v>
      </c>
      <c r="G108" s="18">
        <f t="shared" si="14"/>
        <v>0</v>
      </c>
      <c r="H108" s="16">
        <f t="shared" si="14"/>
        <v>85614.051731491098</v>
      </c>
      <c r="I108" s="16">
        <f t="shared" si="14"/>
        <v>30570.653448857174</v>
      </c>
      <c r="J108" s="16">
        <f t="shared" si="14"/>
        <v>0</v>
      </c>
      <c r="K108" s="16">
        <f t="shared" si="14"/>
        <v>116184.70518034828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69782763.920000002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0.35707518603061844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1311227000</v>
      </c>
    </row>
    <row r="118" spans="1:6" ht="18" customHeight="1">
      <c r="A118" s="5" t="s">
        <v>173</v>
      </c>
      <c r="B118" t="s">
        <v>18</v>
      </c>
      <c r="F118" s="15">
        <v>54765000</v>
      </c>
    </row>
    <row r="119" spans="1:6" ht="18" customHeight="1">
      <c r="A119" s="5" t="s">
        <v>174</v>
      </c>
      <c r="B119" s="2" t="s">
        <v>19</v>
      </c>
      <c r="F119" s="56">
        <f>+F118+F117</f>
        <v>1365992000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1294033000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92">
        <f>+F119-F121</f>
        <v>71959000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92">
        <v>-112302000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92">
        <f>+F123+F125</f>
        <v>-40343000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>
        <v>6464.4950001001353</v>
      </c>
      <c r="G131" s="54"/>
      <c r="H131" s="15">
        <v>200286.01314616203</v>
      </c>
      <c r="I131" s="55">
        <v>0</v>
      </c>
      <c r="J131" s="15"/>
      <c r="K131" s="16">
        <f>(H131+I131)-J131</f>
        <v>200286.01314616203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5">SUM(F131:F135)</f>
        <v>6464.4950001001353</v>
      </c>
      <c r="G137" s="18">
        <f t="shared" si="15"/>
        <v>0</v>
      </c>
      <c r="H137" s="16">
        <f t="shared" si="15"/>
        <v>200286.01314616203</v>
      </c>
      <c r="I137" s="16">
        <f t="shared" si="15"/>
        <v>0</v>
      </c>
      <c r="J137" s="16">
        <f t="shared" si="15"/>
        <v>0</v>
      </c>
      <c r="K137" s="16">
        <f t="shared" si="15"/>
        <v>200286.01314616203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6">F36</f>
        <v>10175.4</v>
      </c>
      <c r="G141" s="41">
        <f t="shared" si="16"/>
        <v>1487</v>
      </c>
      <c r="H141" s="41">
        <f t="shared" si="16"/>
        <v>1397950.3515603901</v>
      </c>
      <c r="I141" s="41">
        <f t="shared" si="16"/>
        <v>499173.38184499467</v>
      </c>
      <c r="J141" s="41">
        <f t="shared" si="16"/>
        <v>0</v>
      </c>
      <c r="K141" s="41">
        <f t="shared" si="16"/>
        <v>1897123.7334053847</v>
      </c>
    </row>
    <row r="142" spans="1:11" ht="18" customHeight="1">
      <c r="A142" s="5" t="s">
        <v>142</v>
      </c>
      <c r="B142" s="2" t="s">
        <v>65</v>
      </c>
      <c r="F142" s="41">
        <f t="shared" ref="F142:K142" si="17">F49</f>
        <v>1546477.9699436242</v>
      </c>
      <c r="G142" s="41">
        <f t="shared" si="17"/>
        <v>0</v>
      </c>
      <c r="H142" s="41">
        <f t="shared" si="17"/>
        <v>73839229.337050334</v>
      </c>
      <c r="I142" s="41">
        <f t="shared" si="17"/>
        <v>26366156.551884748</v>
      </c>
      <c r="J142" s="41">
        <f t="shared" si="17"/>
        <v>0</v>
      </c>
      <c r="K142" s="41">
        <f t="shared" si="17"/>
        <v>100205385.88893509</v>
      </c>
    </row>
    <row r="143" spans="1:11" ht="18" customHeight="1">
      <c r="A143" s="5" t="s">
        <v>144</v>
      </c>
      <c r="B143" s="2" t="s">
        <v>66</v>
      </c>
      <c r="F143" s="41">
        <f t="shared" ref="F143:K143" si="18">F64</f>
        <v>266542</v>
      </c>
      <c r="G143" s="41">
        <f t="shared" si="18"/>
        <v>81746</v>
      </c>
      <c r="H143" s="41">
        <f t="shared" si="18"/>
        <v>21291100.149999999</v>
      </c>
      <c r="I143" s="41">
        <f t="shared" si="18"/>
        <v>7602523.546857778</v>
      </c>
      <c r="J143" s="41">
        <f t="shared" si="18"/>
        <v>10860584</v>
      </c>
      <c r="K143" s="41">
        <f t="shared" si="18"/>
        <v>18033039.69685778</v>
      </c>
    </row>
    <row r="144" spans="1:11" ht="18" customHeight="1">
      <c r="A144" s="5" t="s">
        <v>146</v>
      </c>
      <c r="B144" s="2" t="s">
        <v>67</v>
      </c>
      <c r="F144" s="41">
        <f t="shared" ref="F144:K144" si="19">F74</f>
        <v>0</v>
      </c>
      <c r="G144" s="41">
        <f t="shared" si="19"/>
        <v>0</v>
      </c>
      <c r="H144" s="41">
        <f t="shared" si="19"/>
        <v>0</v>
      </c>
      <c r="I144" s="41">
        <f t="shared" si="19"/>
        <v>0</v>
      </c>
      <c r="J144" s="41">
        <f t="shared" si="19"/>
        <v>0</v>
      </c>
      <c r="K144" s="41">
        <f t="shared" si="19"/>
        <v>0</v>
      </c>
    </row>
    <row r="145" spans="1:11" ht="18" customHeight="1">
      <c r="A145" s="5" t="s">
        <v>148</v>
      </c>
      <c r="B145" s="2" t="s">
        <v>68</v>
      </c>
      <c r="F145" s="41">
        <f t="shared" ref="F145:K145" si="20">F82</f>
        <v>7</v>
      </c>
      <c r="G145" s="41">
        <f t="shared" si="20"/>
        <v>1</v>
      </c>
      <c r="H145" s="41">
        <f t="shared" si="20"/>
        <v>493466</v>
      </c>
      <c r="I145" s="41">
        <f t="shared" si="20"/>
        <v>176204.46374978515</v>
      </c>
      <c r="J145" s="41">
        <f t="shared" si="20"/>
        <v>0</v>
      </c>
      <c r="K145" s="41">
        <f t="shared" si="20"/>
        <v>669670.46374978509</v>
      </c>
    </row>
    <row r="146" spans="1:11" ht="18" customHeight="1">
      <c r="A146" s="5" t="s">
        <v>150</v>
      </c>
      <c r="B146" s="2" t="s">
        <v>69</v>
      </c>
      <c r="F146" s="41">
        <f t="shared" ref="F146:K146" si="21">F98</f>
        <v>5081</v>
      </c>
      <c r="G146" s="41">
        <f t="shared" si="21"/>
        <v>195</v>
      </c>
      <c r="H146" s="41">
        <f t="shared" si="21"/>
        <v>147159.0400390625</v>
      </c>
      <c r="I146" s="41">
        <f t="shared" si="21"/>
        <v>52546.841598035469</v>
      </c>
      <c r="J146" s="41">
        <f t="shared" si="21"/>
        <v>0</v>
      </c>
      <c r="K146" s="41">
        <f t="shared" si="21"/>
        <v>199705.88163709798</v>
      </c>
    </row>
    <row r="147" spans="1:11" ht="18" customHeight="1">
      <c r="A147" s="5" t="s">
        <v>153</v>
      </c>
      <c r="B147" s="2" t="s">
        <v>61</v>
      </c>
      <c r="F147" s="18">
        <f t="shared" ref="F147:K147" si="22">F108</f>
        <v>1521.6</v>
      </c>
      <c r="G147" s="18">
        <f t="shared" si="22"/>
        <v>0</v>
      </c>
      <c r="H147" s="18">
        <f t="shared" si="22"/>
        <v>85614.051731491098</v>
      </c>
      <c r="I147" s="18">
        <f t="shared" si="22"/>
        <v>30570.653448857174</v>
      </c>
      <c r="J147" s="18">
        <f t="shared" si="22"/>
        <v>0</v>
      </c>
      <c r="K147" s="18">
        <f t="shared" si="22"/>
        <v>116184.70518034828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69782763.920000002</v>
      </c>
    </row>
    <row r="149" spans="1:11" ht="18" customHeight="1">
      <c r="A149" s="5" t="s">
        <v>163</v>
      </c>
      <c r="B149" s="2" t="s">
        <v>71</v>
      </c>
      <c r="F149" s="18">
        <f t="shared" ref="F149:K149" si="23">F137</f>
        <v>6464.4950001001353</v>
      </c>
      <c r="G149" s="18">
        <f t="shared" si="23"/>
        <v>0</v>
      </c>
      <c r="H149" s="18">
        <f t="shared" si="23"/>
        <v>200286.01314616203</v>
      </c>
      <c r="I149" s="18">
        <f t="shared" si="23"/>
        <v>0</v>
      </c>
      <c r="J149" s="18">
        <f t="shared" si="23"/>
        <v>0</v>
      </c>
      <c r="K149" s="18">
        <f t="shared" si="23"/>
        <v>200286.01314616203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38462844</v>
      </c>
      <c r="I150" s="18">
        <f>I18</f>
        <v>0</v>
      </c>
      <c r="J150" s="18">
        <f>J18</f>
        <v>32890540</v>
      </c>
      <c r="K150" s="18">
        <f>K18</f>
        <v>5572304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4">SUM(F141:F150)</f>
        <v>1836269.4649437245</v>
      </c>
      <c r="G152" s="49">
        <f t="shared" si="24"/>
        <v>83429</v>
      </c>
      <c r="H152" s="49">
        <f t="shared" si="24"/>
        <v>135917648.94352743</v>
      </c>
      <c r="I152" s="49">
        <f t="shared" si="24"/>
        <v>34727175.4393842</v>
      </c>
      <c r="J152" s="49">
        <f t="shared" si="24"/>
        <v>43751124</v>
      </c>
      <c r="K152" s="49">
        <f t="shared" si="24"/>
        <v>196676464.30291164</v>
      </c>
    </row>
    <row r="154" spans="1:11" ht="18" customHeight="1">
      <c r="A154" s="6" t="s">
        <v>168</v>
      </c>
      <c r="B154" s="2" t="s">
        <v>28</v>
      </c>
      <c r="F154" s="91">
        <f>K152/F121</f>
        <v>0.15198720921561631</v>
      </c>
    </row>
    <row r="155" spans="1:11" ht="18" customHeight="1">
      <c r="A155" s="6" t="s">
        <v>169</v>
      </c>
      <c r="B155" s="2" t="s">
        <v>72</v>
      </c>
      <c r="F155" s="91">
        <f>K152/F127</f>
        <v>-4.8751075602437011</v>
      </c>
      <c r="G155" s="2"/>
    </row>
    <row r="156" spans="1:11" ht="18" customHeight="1">
      <c r="G156" s="2"/>
    </row>
  </sheetData>
  <mergeCells count="34">
    <mergeCell ref="B134:D134"/>
    <mergeCell ref="B135:D135"/>
    <mergeCell ref="B104:D104"/>
    <mergeCell ref="B105:D105"/>
    <mergeCell ref="B106:D106"/>
    <mergeCell ref="B133:D133"/>
    <mergeCell ref="B94:D94"/>
    <mergeCell ref="B95:D95"/>
    <mergeCell ref="B96:D96"/>
    <mergeCell ref="B103:C103"/>
    <mergeCell ref="B57:D57"/>
    <mergeCell ref="B59:D59"/>
    <mergeCell ref="B62:D62"/>
    <mergeCell ref="B90:C90"/>
    <mergeCell ref="B52:C52"/>
    <mergeCell ref="B53:D53"/>
    <mergeCell ref="B55:D55"/>
    <mergeCell ref="B56:D56"/>
    <mergeCell ref="B44:D44"/>
    <mergeCell ref="B45:D45"/>
    <mergeCell ref="B46:D46"/>
    <mergeCell ref="B47:D47"/>
    <mergeCell ref="B31:D31"/>
    <mergeCell ref="B34:D34"/>
    <mergeCell ref="B41:C41"/>
    <mergeCell ref="C9:G9"/>
    <mergeCell ref="C10:G10"/>
    <mergeCell ref="C11:G11"/>
    <mergeCell ref="B13:H13"/>
    <mergeCell ref="D2:H2"/>
    <mergeCell ref="C5:G5"/>
    <mergeCell ref="C6:G6"/>
    <mergeCell ref="C7:G7"/>
    <mergeCell ref="B30:D30"/>
  </mergeCells>
  <pageMargins left="0.26" right="0.75" top="0.59" bottom="1" header="0.28999999999999998" footer="0.5"/>
  <pageSetup scale="56" fitToHeight="4" orientation="landscape" r:id="rId1"/>
  <headerFooter alignWithMargins="0"/>
  <rowBreaks count="3" manualBreakCount="3">
    <brk id="37" max="16383" man="1"/>
    <brk id="74" max="16383" man="1"/>
    <brk id="109" max="16383" man="1"/>
  </rowBreaks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70" zoomScaleNormal="50" zoomScaleSheetLayoutView="70" workbookViewId="0">
      <selection activeCell="C7" sqref="C7:G7"/>
    </sheetView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465</v>
      </c>
      <c r="D5" s="534"/>
      <c r="E5" s="534"/>
      <c r="F5" s="534"/>
      <c r="G5" s="535"/>
    </row>
    <row r="6" spans="1:11" ht="18" customHeight="1">
      <c r="B6" s="5" t="s">
        <v>3</v>
      </c>
      <c r="C6" s="536" t="s">
        <v>464</v>
      </c>
      <c r="D6" s="537"/>
      <c r="E6" s="537"/>
      <c r="F6" s="537"/>
      <c r="G6" s="538"/>
    </row>
    <row r="7" spans="1:11" ht="18" customHeight="1">
      <c r="B7" s="5" t="s">
        <v>4</v>
      </c>
      <c r="C7" s="640">
        <v>1906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460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459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458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6599229</v>
      </c>
      <c r="I18" s="55">
        <v>0</v>
      </c>
      <c r="J18" s="15">
        <v>5643166</v>
      </c>
      <c r="K18" s="16">
        <f>(H18+I18)-J18</f>
        <v>956063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370</v>
      </c>
      <c r="G21" s="54">
        <v>5587</v>
      </c>
      <c r="H21" s="15">
        <v>926428</v>
      </c>
      <c r="I21" s="55">
        <f t="shared" ref="I21:I34" si="0">H21*F$114</f>
        <v>488134.91320000001</v>
      </c>
      <c r="J21" s="15">
        <v>917</v>
      </c>
      <c r="K21" s="16">
        <f t="shared" ref="K21:K34" si="1">(H21+I21)-J21</f>
        <v>1413645.9132000001</v>
      </c>
    </row>
    <row r="22" spans="1:11" ht="18" customHeight="1">
      <c r="A22" s="5" t="s">
        <v>76</v>
      </c>
      <c r="B22" t="s">
        <v>6</v>
      </c>
      <c r="F22" s="54">
        <v>963</v>
      </c>
      <c r="G22" s="54">
        <v>3706</v>
      </c>
      <c r="H22" s="15">
        <v>46982</v>
      </c>
      <c r="I22" s="55">
        <f t="shared" si="0"/>
        <v>24754.8158</v>
      </c>
      <c r="J22" s="15">
        <v>0</v>
      </c>
      <c r="K22" s="16">
        <f t="shared" si="1"/>
        <v>71736.815799999997</v>
      </c>
    </row>
    <row r="23" spans="1:11" ht="18" customHeight="1">
      <c r="A23" s="5" t="s">
        <v>77</v>
      </c>
      <c r="B23" t="s">
        <v>43</v>
      </c>
      <c r="F23" s="54"/>
      <c r="G23" s="54"/>
      <c r="H23" s="15">
        <v>27850</v>
      </c>
      <c r="I23" s="55">
        <f t="shared" si="0"/>
        <v>14674.165000000001</v>
      </c>
      <c r="J23" s="15">
        <v>0</v>
      </c>
      <c r="K23" s="16">
        <f t="shared" si="1"/>
        <v>42524.165000000001</v>
      </c>
    </row>
    <row r="24" spans="1:11" ht="18" customHeight="1">
      <c r="A24" s="5" t="s">
        <v>78</v>
      </c>
      <c r="B24" t="s">
        <v>44</v>
      </c>
      <c r="F24" s="54"/>
      <c r="G24" s="54"/>
      <c r="H24" s="15"/>
      <c r="I24" s="55">
        <f t="shared" si="0"/>
        <v>0</v>
      </c>
      <c r="J24" s="15"/>
      <c r="K24" s="16">
        <f t="shared" si="1"/>
        <v>0</v>
      </c>
    </row>
    <row r="25" spans="1:11" ht="18" customHeight="1">
      <c r="A25" s="5" t="s">
        <v>79</v>
      </c>
      <c r="B25" t="s">
        <v>5</v>
      </c>
      <c r="F25" s="54">
        <v>462</v>
      </c>
      <c r="G25" s="54">
        <v>10939</v>
      </c>
      <c r="H25" s="15">
        <v>76383</v>
      </c>
      <c r="I25" s="55">
        <f t="shared" si="0"/>
        <v>40246.202700000002</v>
      </c>
      <c r="J25" s="15">
        <v>4570</v>
      </c>
      <c r="K25" s="16">
        <f t="shared" si="1"/>
        <v>112059.20269999999</v>
      </c>
    </row>
    <row r="26" spans="1:11" ht="18" customHeight="1">
      <c r="A26" s="5" t="s">
        <v>80</v>
      </c>
      <c r="B26" t="s">
        <v>45</v>
      </c>
      <c r="F26" s="54"/>
      <c r="G26" s="54"/>
      <c r="H26" s="15">
        <v>25356</v>
      </c>
      <c r="I26" s="55">
        <f t="shared" si="0"/>
        <v>13360.076400000002</v>
      </c>
      <c r="J26" s="15">
        <v>10413</v>
      </c>
      <c r="K26" s="16">
        <f t="shared" si="1"/>
        <v>28303.076400000005</v>
      </c>
    </row>
    <row r="27" spans="1:11" ht="18" customHeight="1">
      <c r="A27" s="5" t="s">
        <v>81</v>
      </c>
      <c r="B27" t="s">
        <v>46</v>
      </c>
      <c r="F27" s="54"/>
      <c r="G27" s="54"/>
      <c r="H27" s="15">
        <v>52085</v>
      </c>
      <c r="I27" s="55">
        <f t="shared" si="0"/>
        <v>27443.586500000001</v>
      </c>
      <c r="J27" s="15">
        <v>47408</v>
      </c>
      <c r="K27" s="16">
        <f t="shared" si="1"/>
        <v>32120.586500000005</v>
      </c>
    </row>
    <row r="28" spans="1:11" ht="18" customHeight="1">
      <c r="A28" s="5" t="s">
        <v>82</v>
      </c>
      <c r="B28" t="s">
        <v>47</v>
      </c>
      <c r="F28" s="54"/>
      <c r="G28" s="54"/>
      <c r="H28" s="15">
        <v>6117</v>
      </c>
      <c r="I28" s="55">
        <f t="shared" si="0"/>
        <v>3223.0473000000002</v>
      </c>
      <c r="J28" s="15">
        <v>0</v>
      </c>
      <c r="K28" s="16">
        <f t="shared" si="1"/>
        <v>9340.0473000000002</v>
      </c>
    </row>
    <row r="29" spans="1:11" ht="18" customHeight="1">
      <c r="A29" s="5" t="s">
        <v>83</v>
      </c>
      <c r="B29" t="s">
        <v>48</v>
      </c>
      <c r="F29" s="54">
        <v>510</v>
      </c>
      <c r="G29" s="54">
        <v>32</v>
      </c>
      <c r="H29" s="15">
        <v>29609</v>
      </c>
      <c r="I29" s="55">
        <f t="shared" si="0"/>
        <v>15600.982100000001</v>
      </c>
      <c r="J29" s="15">
        <v>0</v>
      </c>
      <c r="K29" s="16">
        <f t="shared" si="1"/>
        <v>45209.982100000001</v>
      </c>
    </row>
    <row r="30" spans="1:11" ht="18" customHeight="1">
      <c r="A30" s="5" t="s">
        <v>84</v>
      </c>
      <c r="B30" s="547" t="s">
        <v>457</v>
      </c>
      <c r="C30" s="548"/>
      <c r="D30" s="549"/>
      <c r="F30" s="54"/>
      <c r="G30" s="54">
        <v>62</v>
      </c>
      <c r="H30" s="15">
        <v>524</v>
      </c>
      <c r="I30" s="55">
        <f t="shared" si="0"/>
        <v>276.09559999999999</v>
      </c>
      <c r="J30" s="15">
        <v>0</v>
      </c>
      <c r="K30" s="16">
        <f t="shared" si="1"/>
        <v>800.09559999999999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 t="shared" si="0"/>
        <v>0</v>
      </c>
      <c r="J31" s="15"/>
      <c r="K31" s="16">
        <f t="shared" si="1"/>
        <v>0</v>
      </c>
    </row>
    <row r="32" spans="1:11" ht="18" customHeight="1">
      <c r="A32" s="5" t="s">
        <v>134</v>
      </c>
      <c r="B32" s="73"/>
      <c r="C32" s="74"/>
      <c r="D32" s="75"/>
      <c r="F32" s="54"/>
      <c r="G32" s="52" t="s">
        <v>85</v>
      </c>
      <c r="H32" s="15"/>
      <c r="I32" s="55">
        <f t="shared" si="0"/>
        <v>0</v>
      </c>
      <c r="J32" s="15"/>
      <c r="K32" s="16">
        <f t="shared" si="1"/>
        <v>0</v>
      </c>
    </row>
    <row r="33" spans="1:11" ht="18" customHeight="1">
      <c r="A33" s="5" t="s">
        <v>135</v>
      </c>
      <c r="B33" s="73"/>
      <c r="C33" s="74"/>
      <c r="D33" s="75"/>
      <c r="F33" s="54"/>
      <c r="G33" s="52" t="s">
        <v>85</v>
      </c>
      <c r="H33" s="15"/>
      <c r="I33" s="55">
        <f t="shared" si="0"/>
        <v>0</v>
      </c>
      <c r="J33" s="15"/>
      <c r="K33" s="16">
        <f t="shared" si="1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 t="shared" si="0"/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2305</v>
      </c>
      <c r="G36" s="18">
        <f t="shared" si="2"/>
        <v>20326</v>
      </c>
      <c r="H36" s="18">
        <f t="shared" si="2"/>
        <v>1191334</v>
      </c>
      <c r="I36" s="16">
        <f t="shared" si="2"/>
        <v>627713.88459999999</v>
      </c>
      <c r="J36" s="16">
        <f t="shared" si="2"/>
        <v>63308</v>
      </c>
      <c r="K36" s="16">
        <f t="shared" si="2"/>
        <v>1755739.8845999998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>
        <v>50</v>
      </c>
      <c r="G40" s="54">
        <v>28</v>
      </c>
      <c r="H40" s="15">
        <v>9307</v>
      </c>
      <c r="I40" s="55">
        <v>0</v>
      </c>
      <c r="J40" s="15">
        <v>0</v>
      </c>
      <c r="K40" s="16">
        <f t="shared" ref="K40:K47" si="3">(H40+I40)-J40</f>
        <v>9307</v>
      </c>
    </row>
    <row r="41" spans="1:11" ht="18" customHeight="1">
      <c r="A41" s="5" t="s">
        <v>88</v>
      </c>
      <c r="B41" s="550" t="s">
        <v>50</v>
      </c>
      <c r="C41" s="551"/>
      <c r="F41" s="54">
        <v>5487</v>
      </c>
      <c r="G41" s="54">
        <v>0</v>
      </c>
      <c r="H41" s="15">
        <v>203937</v>
      </c>
      <c r="I41" s="55">
        <v>0</v>
      </c>
      <c r="J41" s="15">
        <v>0</v>
      </c>
      <c r="K41" s="16">
        <f t="shared" si="3"/>
        <v>203937</v>
      </c>
    </row>
    <row r="42" spans="1:11" ht="18" customHeight="1">
      <c r="A42" s="5" t="s">
        <v>89</v>
      </c>
      <c r="B42" s="1" t="s">
        <v>11</v>
      </c>
      <c r="F42" s="54">
        <v>8981</v>
      </c>
      <c r="G42" s="54">
        <v>380</v>
      </c>
      <c r="H42" s="15">
        <v>299737</v>
      </c>
      <c r="I42" s="55">
        <v>0</v>
      </c>
      <c r="J42" s="15">
        <v>0</v>
      </c>
      <c r="K42" s="16">
        <f t="shared" si="3"/>
        <v>299737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/>
      <c r="I43" s="55">
        <v>0</v>
      </c>
      <c r="J43" s="15"/>
      <c r="K43" s="16">
        <f t="shared" si="3"/>
        <v>0</v>
      </c>
    </row>
    <row r="44" spans="1:11" ht="18" customHeight="1">
      <c r="A44" s="5" t="s">
        <v>91</v>
      </c>
      <c r="B44" s="547"/>
      <c r="C44" s="548"/>
      <c r="D44" s="549"/>
      <c r="F44" s="82"/>
      <c r="G44" s="82"/>
      <c r="H44" s="82"/>
      <c r="I44" s="83">
        <v>0</v>
      </c>
      <c r="J44" s="82"/>
      <c r="K44" s="81">
        <f t="shared" si="3"/>
        <v>0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3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3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3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14518</v>
      </c>
      <c r="G49" s="23">
        <f t="shared" si="4"/>
        <v>408</v>
      </c>
      <c r="H49" s="16">
        <f t="shared" si="4"/>
        <v>512981</v>
      </c>
      <c r="I49" s="16">
        <f t="shared" si="4"/>
        <v>0</v>
      </c>
      <c r="J49" s="16">
        <f t="shared" si="4"/>
        <v>0</v>
      </c>
      <c r="K49" s="16">
        <f t="shared" si="4"/>
        <v>512981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 t="s">
        <v>463</v>
      </c>
      <c r="C53" s="559"/>
      <c r="D53" s="532"/>
      <c r="F53" s="54"/>
      <c r="G53" s="54"/>
      <c r="H53" s="15">
        <v>958910</v>
      </c>
      <c r="I53" s="55">
        <v>0</v>
      </c>
      <c r="J53" s="15">
        <v>0</v>
      </c>
      <c r="K53" s="16">
        <f t="shared" ref="K53:K62" si="5">(H53+I53)-J53</f>
        <v>958910</v>
      </c>
    </row>
    <row r="54" spans="1:11" ht="18" customHeight="1">
      <c r="A54" s="5" t="s">
        <v>93</v>
      </c>
      <c r="B54" s="76" t="s">
        <v>462</v>
      </c>
      <c r="C54" s="77"/>
      <c r="D54" s="78"/>
      <c r="F54" s="54"/>
      <c r="G54" s="54"/>
      <c r="H54" s="15">
        <v>2700000</v>
      </c>
      <c r="I54" s="55">
        <v>0</v>
      </c>
      <c r="J54" s="15">
        <v>0</v>
      </c>
      <c r="K54" s="16">
        <f t="shared" si="5"/>
        <v>2700000</v>
      </c>
    </row>
    <row r="55" spans="1:11" ht="18" customHeight="1">
      <c r="A55" s="5" t="s">
        <v>94</v>
      </c>
      <c r="B55" s="530"/>
      <c r="C55" s="531"/>
      <c r="D55" s="532"/>
      <c r="F55" s="54"/>
      <c r="G55" s="54"/>
      <c r="H55" s="15"/>
      <c r="I55" s="55">
        <v>0</v>
      </c>
      <c r="J55" s="15"/>
      <c r="K55" s="16">
        <f t="shared" si="5"/>
        <v>0</v>
      </c>
    </row>
    <row r="56" spans="1:11" ht="18" customHeight="1">
      <c r="A56" s="5" t="s">
        <v>95</v>
      </c>
      <c r="B56" s="530"/>
      <c r="C56" s="531"/>
      <c r="D56" s="532"/>
      <c r="F56" s="54" t="s">
        <v>740</v>
      </c>
      <c r="G56" s="54"/>
      <c r="H56" s="15"/>
      <c r="I56" s="55">
        <v>0</v>
      </c>
      <c r="J56" s="15"/>
      <c r="K56" s="16">
        <f t="shared" si="5"/>
        <v>0</v>
      </c>
    </row>
    <row r="57" spans="1:11" ht="18" customHeight="1">
      <c r="A57" s="5" t="s">
        <v>96</v>
      </c>
      <c r="B57" s="530"/>
      <c r="C57" s="531"/>
      <c r="D57" s="532"/>
      <c r="F57" s="54"/>
      <c r="G57" s="54"/>
      <c r="H57" s="15"/>
      <c r="I57" s="55">
        <v>0</v>
      </c>
      <c r="J57" s="15"/>
      <c r="K57" s="16">
        <f t="shared" si="5"/>
        <v>0</v>
      </c>
    </row>
    <row r="58" spans="1:11" ht="18" customHeight="1">
      <c r="A58" s="5" t="s">
        <v>97</v>
      </c>
      <c r="B58" s="76"/>
      <c r="C58" s="77"/>
      <c r="D58" s="78"/>
      <c r="F58" s="54"/>
      <c r="G58" s="54"/>
      <c r="H58" s="15"/>
      <c r="I58" s="55">
        <v>0</v>
      </c>
      <c r="J58" s="15"/>
      <c r="K58" s="16">
        <f t="shared" si="5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v>0</v>
      </c>
      <c r="J59" s="15"/>
      <c r="K59" s="16">
        <f t="shared" si="5"/>
        <v>0</v>
      </c>
    </row>
    <row r="60" spans="1:11" ht="18" customHeight="1">
      <c r="A60" s="5" t="s">
        <v>99</v>
      </c>
      <c r="B60" s="76"/>
      <c r="C60" s="77"/>
      <c r="D60" s="78"/>
      <c r="F60" s="54"/>
      <c r="G60" s="54"/>
      <c r="H60" s="15"/>
      <c r="I60" s="55">
        <v>0</v>
      </c>
      <c r="J60" s="15"/>
      <c r="K60" s="16">
        <f t="shared" si="5"/>
        <v>0</v>
      </c>
    </row>
    <row r="61" spans="1:11" ht="18" customHeight="1">
      <c r="A61" s="5" t="s">
        <v>100</v>
      </c>
      <c r="B61" s="76"/>
      <c r="C61" s="77"/>
      <c r="D61" s="78"/>
      <c r="F61" s="54"/>
      <c r="G61" s="54"/>
      <c r="H61" s="15"/>
      <c r="I61" s="55">
        <v>0</v>
      </c>
      <c r="J61" s="15"/>
      <c r="K61" s="16">
        <f t="shared" si="5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5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6">SUM(F53:F62)</f>
        <v>0</v>
      </c>
      <c r="G64" s="18">
        <f t="shared" si="6"/>
        <v>0</v>
      </c>
      <c r="H64" s="16">
        <f t="shared" si="6"/>
        <v>3658910</v>
      </c>
      <c r="I64" s="16">
        <f t="shared" si="6"/>
        <v>0</v>
      </c>
      <c r="J64" s="16">
        <f t="shared" si="6"/>
        <v>0</v>
      </c>
      <c r="K64" s="16">
        <f t="shared" si="6"/>
        <v>3658910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>
        <v>214</v>
      </c>
      <c r="G68" s="51">
        <v>12</v>
      </c>
      <c r="H68" s="51">
        <v>22033</v>
      </c>
      <c r="I68" s="55">
        <f>H68*F$114</f>
        <v>11609.1877</v>
      </c>
      <c r="J68" s="51">
        <v>0</v>
      </c>
      <c r="K68" s="16">
        <f>(H68+I68)-J68</f>
        <v>33642.187700000002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76"/>
      <c r="C70" s="77"/>
      <c r="D70" s="78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76"/>
      <c r="C71" s="77"/>
      <c r="D71" s="78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79"/>
      <c r="C72" s="80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7">SUM(F68:F72)</f>
        <v>214</v>
      </c>
      <c r="G74" s="21">
        <f t="shared" si="7"/>
        <v>12</v>
      </c>
      <c r="H74" s="21">
        <f t="shared" si="7"/>
        <v>22033</v>
      </c>
      <c r="I74" s="53">
        <f t="shared" si="7"/>
        <v>11609.1877</v>
      </c>
      <c r="J74" s="21">
        <f t="shared" si="7"/>
        <v>0</v>
      </c>
      <c r="K74" s="56">
        <f t="shared" si="7"/>
        <v>33642.187700000002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/>
      <c r="G77" s="54"/>
      <c r="H77" s="15"/>
      <c r="I77" s="55">
        <v>0</v>
      </c>
      <c r="J77" s="15"/>
      <c r="K77" s="16">
        <f>(H77+I77)-J77</f>
        <v>0</v>
      </c>
    </row>
    <row r="78" spans="1:11" ht="18" customHeight="1">
      <c r="A78" s="5" t="s">
        <v>108</v>
      </c>
      <c r="B78" s="1" t="s">
        <v>55</v>
      </c>
      <c r="F78" s="54"/>
      <c r="G78" s="54"/>
      <c r="H78" s="15">
        <v>165032</v>
      </c>
      <c r="I78" s="55">
        <f>H78*0.05</f>
        <v>8251.6</v>
      </c>
      <c r="J78" s="15">
        <v>0</v>
      </c>
      <c r="K78" s="16">
        <f>(H78+I78)-J78</f>
        <v>173283.6</v>
      </c>
    </row>
    <row r="79" spans="1:11" ht="18" customHeight="1">
      <c r="A79" s="5" t="s">
        <v>109</v>
      </c>
      <c r="B79" s="1" t="s">
        <v>13</v>
      </c>
      <c r="F79" s="54">
        <v>393</v>
      </c>
      <c r="G79" s="54">
        <v>18</v>
      </c>
      <c r="H79" s="15">
        <v>92349</v>
      </c>
      <c r="I79" s="55">
        <v>0</v>
      </c>
      <c r="J79" s="15">
        <v>0</v>
      </c>
      <c r="K79" s="16">
        <f>(H79+I79)-J79</f>
        <v>92349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8">SUM(F77:F80)</f>
        <v>393</v>
      </c>
      <c r="G82" s="21">
        <f t="shared" si="8"/>
        <v>18</v>
      </c>
      <c r="H82" s="56">
        <f t="shared" si="8"/>
        <v>257381</v>
      </c>
      <c r="I82" s="56">
        <f t="shared" si="8"/>
        <v>8251.6</v>
      </c>
      <c r="J82" s="56">
        <f t="shared" si="8"/>
        <v>0</v>
      </c>
      <c r="K82" s="56">
        <f t="shared" si="8"/>
        <v>265632.59999999998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f t="shared" ref="I86:I96" si="9">H86*F$114</f>
        <v>0</v>
      </c>
      <c r="J86" s="15"/>
      <c r="K86" s="16">
        <f t="shared" ref="K86:K96" si="10">(H86+I86)-J86</f>
        <v>0</v>
      </c>
    </row>
    <row r="87" spans="1:11" ht="18" customHeight="1">
      <c r="A87" s="5" t="s">
        <v>114</v>
      </c>
      <c r="B87" s="1" t="s">
        <v>14</v>
      </c>
      <c r="F87" s="54"/>
      <c r="G87" s="54"/>
      <c r="H87" s="15"/>
      <c r="I87" s="55">
        <f t="shared" si="9"/>
        <v>0</v>
      </c>
      <c r="J87" s="15"/>
      <c r="K87" s="16">
        <f t="shared" si="10"/>
        <v>0</v>
      </c>
    </row>
    <row r="88" spans="1:11" ht="18" customHeight="1">
      <c r="A88" s="5" t="s">
        <v>115</v>
      </c>
      <c r="B88" s="1" t="s">
        <v>116</v>
      </c>
      <c r="F88" s="54"/>
      <c r="G88" s="54"/>
      <c r="H88" s="15">
        <v>65747</v>
      </c>
      <c r="I88" s="55">
        <f t="shared" si="9"/>
        <v>34642.094300000004</v>
      </c>
      <c r="J88" s="15">
        <v>0</v>
      </c>
      <c r="K88" s="16">
        <f t="shared" si="10"/>
        <v>100389.0943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 t="shared" si="9"/>
        <v>0</v>
      </c>
      <c r="J89" s="15"/>
      <c r="K89" s="16">
        <f t="shared" si="10"/>
        <v>0</v>
      </c>
    </row>
    <row r="90" spans="1:11" ht="18" customHeight="1">
      <c r="A90" s="5" t="s">
        <v>118</v>
      </c>
      <c r="B90" s="550" t="s">
        <v>59</v>
      </c>
      <c r="C90" s="551"/>
      <c r="F90" s="54">
        <v>28</v>
      </c>
      <c r="G90" s="54">
        <v>32</v>
      </c>
      <c r="H90" s="15">
        <v>2149</v>
      </c>
      <c r="I90" s="55">
        <f t="shared" si="9"/>
        <v>1132.3081</v>
      </c>
      <c r="J90" s="15">
        <v>0</v>
      </c>
      <c r="K90" s="16">
        <f t="shared" si="10"/>
        <v>3281.3081000000002</v>
      </c>
    </row>
    <row r="91" spans="1:11" ht="18" customHeight="1">
      <c r="A91" s="5" t="s">
        <v>119</v>
      </c>
      <c r="B91" s="1" t="s">
        <v>60</v>
      </c>
      <c r="F91" s="54">
        <v>184</v>
      </c>
      <c r="G91" s="54">
        <v>0</v>
      </c>
      <c r="H91" s="15">
        <v>9279</v>
      </c>
      <c r="I91" s="55">
        <f t="shared" si="9"/>
        <v>4889.1051000000007</v>
      </c>
      <c r="J91" s="15">
        <v>0</v>
      </c>
      <c r="K91" s="16">
        <f t="shared" si="10"/>
        <v>14168.105100000001</v>
      </c>
    </row>
    <row r="92" spans="1:11" ht="18" customHeight="1">
      <c r="A92" s="5" t="s">
        <v>120</v>
      </c>
      <c r="B92" s="1" t="s">
        <v>121</v>
      </c>
      <c r="F92" s="38"/>
      <c r="G92" s="38"/>
      <c r="H92" s="39"/>
      <c r="I92" s="55">
        <f t="shared" si="9"/>
        <v>0</v>
      </c>
      <c r="J92" s="39"/>
      <c r="K92" s="16">
        <f t="shared" si="10"/>
        <v>0</v>
      </c>
    </row>
    <row r="93" spans="1:11" ht="18" customHeight="1">
      <c r="A93" s="5" t="s">
        <v>122</v>
      </c>
      <c r="B93" s="1" t="s">
        <v>123</v>
      </c>
      <c r="F93" s="54">
        <v>85</v>
      </c>
      <c r="G93" s="54">
        <v>0</v>
      </c>
      <c r="H93" s="15">
        <v>3746</v>
      </c>
      <c r="I93" s="55">
        <f t="shared" si="9"/>
        <v>1973.7674000000002</v>
      </c>
      <c r="J93" s="15">
        <v>0</v>
      </c>
      <c r="K93" s="16">
        <f t="shared" si="10"/>
        <v>5719.7674000000006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f t="shared" si="9"/>
        <v>0</v>
      </c>
      <c r="J94" s="15"/>
      <c r="K94" s="16">
        <f t="shared" si="10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9"/>
        <v>0</v>
      </c>
      <c r="J95" s="15"/>
      <c r="K95" s="16">
        <f t="shared" si="10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9"/>
        <v>0</v>
      </c>
      <c r="J96" s="15"/>
      <c r="K96" s="16">
        <f t="shared" si="10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1">SUM(F86:F96)</f>
        <v>297</v>
      </c>
      <c r="G98" s="18">
        <f t="shared" si="11"/>
        <v>32</v>
      </c>
      <c r="H98" s="18">
        <f t="shared" si="11"/>
        <v>80921</v>
      </c>
      <c r="I98" s="18">
        <f t="shared" si="11"/>
        <v>42637.274900000004</v>
      </c>
      <c r="J98" s="18">
        <f t="shared" si="11"/>
        <v>0</v>
      </c>
      <c r="K98" s="18">
        <f t="shared" si="11"/>
        <v>123558.27489999999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/>
      <c r="G102" s="54"/>
      <c r="H102" s="15"/>
      <c r="I102" s="55">
        <f>H102*F$114</f>
        <v>0</v>
      </c>
      <c r="J102" s="15"/>
      <c r="K102" s="16">
        <f>(H102+I102)-J102</f>
        <v>0</v>
      </c>
    </row>
    <row r="103" spans="1:11" ht="18" customHeight="1">
      <c r="A103" s="5" t="s">
        <v>132</v>
      </c>
      <c r="B103" s="550" t="s">
        <v>62</v>
      </c>
      <c r="C103" s="550"/>
      <c r="F103" s="54"/>
      <c r="G103" s="54"/>
      <c r="H103" s="15"/>
      <c r="I103" s="55">
        <f>H103*F$114</f>
        <v>0</v>
      </c>
      <c r="J103" s="15"/>
      <c r="K103" s="16">
        <f>(H103+I103)-J103</f>
        <v>0</v>
      </c>
    </row>
    <row r="104" spans="1:11" ht="18" customHeight="1">
      <c r="A104" s="5" t="s">
        <v>128</v>
      </c>
      <c r="B104" s="530"/>
      <c r="C104" s="531"/>
      <c r="D104" s="532"/>
      <c r="F104" s="54"/>
      <c r="G104" s="54"/>
      <c r="H104" s="15"/>
      <c r="I104" s="55">
        <f>H104*F$114</f>
        <v>0</v>
      </c>
      <c r="J104" s="15"/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2">SUM(F102:F106)</f>
        <v>0</v>
      </c>
      <c r="G108" s="18">
        <f t="shared" si="12"/>
        <v>0</v>
      </c>
      <c r="H108" s="16">
        <f t="shared" si="12"/>
        <v>0</v>
      </c>
      <c r="I108" s="16">
        <f t="shared" si="12"/>
        <v>0</v>
      </c>
      <c r="J108" s="16">
        <f t="shared" si="12"/>
        <v>0</v>
      </c>
      <c r="K108" s="16">
        <f t="shared" si="12"/>
        <v>0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3498417.43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0.52690000000000003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229798000</v>
      </c>
    </row>
    <row r="118" spans="1:6" ht="18" customHeight="1">
      <c r="A118" s="5" t="s">
        <v>173</v>
      </c>
      <c r="B118" t="s">
        <v>18</v>
      </c>
      <c r="F118" s="15">
        <v>3739000</v>
      </c>
    </row>
    <row r="119" spans="1:6" ht="18" customHeight="1">
      <c r="A119" s="5" t="s">
        <v>174</v>
      </c>
      <c r="B119" s="2" t="s">
        <v>19</v>
      </c>
      <c r="F119" s="56">
        <f>SUM(F117:F118)</f>
        <v>233537000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212644000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v>20893000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-11775000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v>9118000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>
        <v>0</v>
      </c>
      <c r="G131" s="54">
        <v>0</v>
      </c>
      <c r="H131" s="15">
        <v>112498</v>
      </c>
      <c r="I131" s="55">
        <v>0</v>
      </c>
      <c r="J131" s="15">
        <v>0</v>
      </c>
      <c r="K131" s="16">
        <f>(H131+I131)-J131</f>
        <v>112498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3">SUM(F131:F135)</f>
        <v>0</v>
      </c>
      <c r="G137" s="18">
        <f t="shared" si="13"/>
        <v>0</v>
      </c>
      <c r="H137" s="16">
        <f t="shared" si="13"/>
        <v>112498</v>
      </c>
      <c r="I137" s="16">
        <f t="shared" si="13"/>
        <v>0</v>
      </c>
      <c r="J137" s="16">
        <f t="shared" si="13"/>
        <v>0</v>
      </c>
      <c r="K137" s="16">
        <f t="shared" si="13"/>
        <v>112498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4">F36</f>
        <v>2305</v>
      </c>
      <c r="G141" s="41">
        <f t="shared" si="14"/>
        <v>20326</v>
      </c>
      <c r="H141" s="41">
        <f t="shared" si="14"/>
        <v>1191334</v>
      </c>
      <c r="I141" s="41">
        <f t="shared" si="14"/>
        <v>627713.88459999999</v>
      </c>
      <c r="J141" s="41">
        <f t="shared" si="14"/>
        <v>63308</v>
      </c>
      <c r="K141" s="41">
        <f t="shared" si="14"/>
        <v>1755739.8845999998</v>
      </c>
    </row>
    <row r="142" spans="1:11" ht="18" customHeight="1">
      <c r="A142" s="5" t="s">
        <v>142</v>
      </c>
      <c r="B142" s="2" t="s">
        <v>65</v>
      </c>
      <c r="F142" s="41">
        <f t="shared" ref="F142:K142" si="15">F49</f>
        <v>14518</v>
      </c>
      <c r="G142" s="41">
        <f t="shared" si="15"/>
        <v>408</v>
      </c>
      <c r="H142" s="41">
        <f t="shared" si="15"/>
        <v>512981</v>
      </c>
      <c r="I142" s="41">
        <f t="shared" si="15"/>
        <v>0</v>
      </c>
      <c r="J142" s="41">
        <f t="shared" si="15"/>
        <v>0</v>
      </c>
      <c r="K142" s="41">
        <f t="shared" si="15"/>
        <v>512981</v>
      </c>
    </row>
    <row r="143" spans="1:11" ht="18" customHeight="1">
      <c r="A143" s="5" t="s">
        <v>144</v>
      </c>
      <c r="B143" s="2" t="s">
        <v>66</v>
      </c>
      <c r="F143" s="41">
        <f t="shared" ref="F143:K143" si="16">F64</f>
        <v>0</v>
      </c>
      <c r="G143" s="41">
        <f t="shared" si="16"/>
        <v>0</v>
      </c>
      <c r="H143" s="41">
        <f t="shared" si="16"/>
        <v>3658910</v>
      </c>
      <c r="I143" s="41">
        <f t="shared" si="16"/>
        <v>0</v>
      </c>
      <c r="J143" s="41">
        <f t="shared" si="16"/>
        <v>0</v>
      </c>
      <c r="K143" s="41">
        <f t="shared" si="16"/>
        <v>3658910</v>
      </c>
    </row>
    <row r="144" spans="1:11" ht="18" customHeight="1">
      <c r="A144" s="5" t="s">
        <v>146</v>
      </c>
      <c r="B144" s="2" t="s">
        <v>67</v>
      </c>
      <c r="F144" s="41">
        <f t="shared" ref="F144:K144" si="17">F74</f>
        <v>214</v>
      </c>
      <c r="G144" s="41">
        <f t="shared" si="17"/>
        <v>12</v>
      </c>
      <c r="H144" s="41">
        <f t="shared" si="17"/>
        <v>22033</v>
      </c>
      <c r="I144" s="41">
        <f t="shared" si="17"/>
        <v>11609.1877</v>
      </c>
      <c r="J144" s="41">
        <f t="shared" si="17"/>
        <v>0</v>
      </c>
      <c r="K144" s="41">
        <f t="shared" si="17"/>
        <v>33642.187700000002</v>
      </c>
    </row>
    <row r="145" spans="1:11" ht="18" customHeight="1">
      <c r="A145" s="5" t="s">
        <v>148</v>
      </c>
      <c r="B145" s="2" t="s">
        <v>68</v>
      </c>
      <c r="F145" s="41">
        <f t="shared" ref="F145:K145" si="18">F82</f>
        <v>393</v>
      </c>
      <c r="G145" s="41">
        <f t="shared" si="18"/>
        <v>18</v>
      </c>
      <c r="H145" s="41">
        <f t="shared" si="18"/>
        <v>257381</v>
      </c>
      <c r="I145" s="41">
        <f t="shared" si="18"/>
        <v>8251.6</v>
      </c>
      <c r="J145" s="41">
        <f t="shared" si="18"/>
        <v>0</v>
      </c>
      <c r="K145" s="41">
        <f t="shared" si="18"/>
        <v>265632.59999999998</v>
      </c>
    </row>
    <row r="146" spans="1:11" ht="18" customHeight="1">
      <c r="A146" s="5" t="s">
        <v>150</v>
      </c>
      <c r="B146" s="2" t="s">
        <v>69</v>
      </c>
      <c r="F146" s="41">
        <f t="shared" ref="F146:K146" si="19">F98</f>
        <v>297</v>
      </c>
      <c r="G146" s="41">
        <f t="shared" si="19"/>
        <v>32</v>
      </c>
      <c r="H146" s="41">
        <f t="shared" si="19"/>
        <v>80921</v>
      </c>
      <c r="I146" s="41">
        <f t="shared" si="19"/>
        <v>42637.274900000004</v>
      </c>
      <c r="J146" s="41">
        <f t="shared" si="19"/>
        <v>0</v>
      </c>
      <c r="K146" s="41">
        <f t="shared" si="19"/>
        <v>123558.27489999999</v>
      </c>
    </row>
    <row r="147" spans="1:11" ht="18" customHeight="1">
      <c r="A147" s="5" t="s">
        <v>153</v>
      </c>
      <c r="B147" s="2" t="s">
        <v>61</v>
      </c>
      <c r="F147" s="18">
        <f t="shared" ref="F147:K147" si="20">F108</f>
        <v>0</v>
      </c>
      <c r="G147" s="18">
        <f t="shared" si="20"/>
        <v>0</v>
      </c>
      <c r="H147" s="18">
        <f t="shared" si="20"/>
        <v>0</v>
      </c>
      <c r="I147" s="18">
        <f t="shared" si="20"/>
        <v>0</v>
      </c>
      <c r="J147" s="18">
        <f t="shared" si="20"/>
        <v>0</v>
      </c>
      <c r="K147" s="18">
        <f t="shared" si="20"/>
        <v>0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3498417.43</v>
      </c>
    </row>
    <row r="149" spans="1:11" ht="18" customHeight="1">
      <c r="A149" s="5" t="s">
        <v>163</v>
      </c>
      <c r="B149" s="2" t="s">
        <v>71</v>
      </c>
      <c r="F149" s="18">
        <f t="shared" ref="F149:K149" si="21">F137</f>
        <v>0</v>
      </c>
      <c r="G149" s="18">
        <f t="shared" si="21"/>
        <v>0</v>
      </c>
      <c r="H149" s="18">
        <f t="shared" si="21"/>
        <v>112498</v>
      </c>
      <c r="I149" s="18">
        <f t="shared" si="21"/>
        <v>0</v>
      </c>
      <c r="J149" s="18">
        <f t="shared" si="21"/>
        <v>0</v>
      </c>
      <c r="K149" s="18">
        <f t="shared" si="21"/>
        <v>112498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6599229</v>
      </c>
      <c r="I150" s="18">
        <f>I18</f>
        <v>0</v>
      </c>
      <c r="J150" s="18">
        <f>J18</f>
        <v>5643166</v>
      </c>
      <c r="K150" s="18">
        <f>K18</f>
        <v>956063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2">SUM(F141:F150)</f>
        <v>17727</v>
      </c>
      <c r="G152" s="49">
        <f t="shared" si="22"/>
        <v>20796</v>
      </c>
      <c r="H152" s="49">
        <f t="shared" si="22"/>
        <v>12435287</v>
      </c>
      <c r="I152" s="49">
        <f t="shared" si="22"/>
        <v>690211.94719999994</v>
      </c>
      <c r="J152" s="49">
        <f t="shared" si="22"/>
        <v>5706474</v>
      </c>
      <c r="K152" s="49">
        <f t="shared" si="22"/>
        <v>10917442.377199998</v>
      </c>
    </row>
    <row r="154" spans="1:11" ht="18" customHeight="1">
      <c r="A154" s="6" t="s">
        <v>168</v>
      </c>
      <c r="B154" s="2" t="s">
        <v>28</v>
      </c>
      <c r="F154" s="64">
        <f>K152/F121</f>
        <v>5.1341408067944537E-2</v>
      </c>
    </row>
    <row r="155" spans="1:11" ht="18" customHeight="1">
      <c r="A155" s="6" t="s">
        <v>169</v>
      </c>
      <c r="B155" s="2" t="s">
        <v>72</v>
      </c>
      <c r="F155" s="64">
        <f>K152/F127</f>
        <v>1.1973505568326386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D2:H2"/>
    <mergeCell ref="B45:D45"/>
    <mergeCell ref="B46:D46"/>
    <mergeCell ref="B47:D47"/>
    <mergeCell ref="B34:D34"/>
    <mergeCell ref="C11:G11"/>
    <mergeCell ref="B41:C41"/>
    <mergeCell ref="B44:D44"/>
    <mergeCell ref="B31:D31"/>
    <mergeCell ref="C5:G5"/>
    <mergeCell ref="C6:G6"/>
    <mergeCell ref="C7:G7"/>
    <mergeCell ref="C9:G9"/>
    <mergeCell ref="B135:D135"/>
    <mergeCell ref="B133:D133"/>
    <mergeCell ref="B104:D104"/>
    <mergeCell ref="B13:H13"/>
    <mergeCell ref="B52:C52"/>
    <mergeCell ref="B90:C90"/>
    <mergeCell ref="B53:D53"/>
    <mergeCell ref="B55:D55"/>
    <mergeCell ref="B105:D105"/>
    <mergeCell ref="B106:D106"/>
    <mergeCell ref="B94:D94"/>
    <mergeCell ref="B96:D96"/>
    <mergeCell ref="B56:D56"/>
    <mergeCell ref="B95:D95"/>
    <mergeCell ref="B57:D57"/>
    <mergeCell ref="B103:C103"/>
    <mergeCell ref="B59:D59"/>
    <mergeCell ref="B62:D62"/>
    <mergeCell ref="C10:G10"/>
    <mergeCell ref="B30:D30"/>
    <mergeCell ref="B134:D134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80" zoomScaleNormal="80" zoomScaleSheetLayoutView="8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605</v>
      </c>
      <c r="D5" s="534"/>
      <c r="E5" s="534"/>
      <c r="F5" s="534"/>
      <c r="G5" s="535"/>
    </row>
    <row r="6" spans="1:11" ht="18" customHeight="1">
      <c r="B6" s="5" t="s">
        <v>3</v>
      </c>
      <c r="C6" s="536" t="s">
        <v>604</v>
      </c>
      <c r="D6" s="537"/>
      <c r="E6" s="537"/>
      <c r="F6" s="537"/>
      <c r="G6" s="538"/>
    </row>
    <row r="7" spans="1:11" ht="18" customHeight="1">
      <c r="B7" s="5" t="s">
        <v>4</v>
      </c>
      <c r="C7" s="640">
        <v>1508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601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600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599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f>+[14]Sheet1!$L$111</f>
        <v>7454521</v>
      </c>
      <c r="I18" s="55">
        <v>0</v>
      </c>
      <c r="J18" s="15">
        <f>-[14]Sheet1!$N$111</f>
        <v>6374548</v>
      </c>
      <c r="K18" s="16">
        <f>(H18+I18)-J18</f>
        <v>1079973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f>+[14]Sheet1!J112</f>
        <v>25536.652499999993</v>
      </c>
      <c r="G21" s="54">
        <f>+[14]Sheet1!K112</f>
        <v>16874</v>
      </c>
      <c r="H21" s="54">
        <f>+[14]Sheet1!L112</f>
        <v>1386764.3425</v>
      </c>
      <c r="I21" s="55">
        <f t="shared" ref="I21:I34" si="0">H21*F$114</f>
        <v>773011.85004266573</v>
      </c>
      <c r="J21" s="54">
        <f>-[14]Sheet1!N112</f>
        <v>165155.10800000001</v>
      </c>
      <c r="K21" s="16">
        <f t="shared" ref="K21:K34" si="1">(H21+I21)-J21</f>
        <v>1994621.0845426656</v>
      </c>
    </row>
    <row r="22" spans="1:11" ht="18" customHeight="1">
      <c r="A22" s="5" t="s">
        <v>76</v>
      </c>
      <c r="B22" t="s">
        <v>6</v>
      </c>
      <c r="F22" s="54">
        <f>+[14]Sheet1!J113</f>
        <v>2968.1000000000004</v>
      </c>
      <c r="G22" s="54">
        <f>+[14]Sheet1!K113</f>
        <v>0</v>
      </c>
      <c r="H22" s="54">
        <f>+[14]Sheet1!L113</f>
        <v>78206.993000000002</v>
      </c>
      <c r="I22" s="55">
        <f t="shared" si="0"/>
        <v>43594.236232104304</v>
      </c>
      <c r="J22" s="54">
        <f>-[14]Sheet1!N113</f>
        <v>10931.738500000001</v>
      </c>
      <c r="K22" s="16">
        <f t="shared" si="1"/>
        <v>110869.4907321043</v>
      </c>
    </row>
    <row r="23" spans="1:11" ht="18" customHeight="1">
      <c r="A23" s="5" t="s">
        <v>77</v>
      </c>
      <c r="B23" t="s">
        <v>43</v>
      </c>
      <c r="F23" s="54">
        <f>+[14]Sheet1!J114</f>
        <v>0</v>
      </c>
      <c r="G23" s="54">
        <f>+[14]Sheet1!K114</f>
        <v>0</v>
      </c>
      <c r="H23" s="54">
        <f>+[14]Sheet1!L114</f>
        <v>0</v>
      </c>
      <c r="I23" s="55">
        <f t="shared" si="0"/>
        <v>0</v>
      </c>
      <c r="J23" s="54">
        <f>-[14]Sheet1!N114</f>
        <v>0</v>
      </c>
      <c r="K23" s="16">
        <f t="shared" si="1"/>
        <v>0</v>
      </c>
    </row>
    <row r="24" spans="1:11" ht="18" customHeight="1">
      <c r="A24" s="5" t="s">
        <v>78</v>
      </c>
      <c r="B24" t="s">
        <v>44</v>
      </c>
      <c r="F24" s="54">
        <f>+[14]Sheet1!J115</f>
        <v>291</v>
      </c>
      <c r="G24" s="54">
        <f>+[14]Sheet1!K115</f>
        <v>1024.5</v>
      </c>
      <c r="H24" s="54">
        <f>+[14]Sheet1!L115</f>
        <v>4955.5</v>
      </c>
      <c r="I24" s="55">
        <f t="shared" si="0"/>
        <v>2762.3007785019031</v>
      </c>
      <c r="J24" s="54">
        <f>-[14]Sheet1!N115</f>
        <v>0</v>
      </c>
      <c r="K24" s="16">
        <f t="shared" si="1"/>
        <v>7717.8007785019036</v>
      </c>
    </row>
    <row r="25" spans="1:11" ht="18" customHeight="1">
      <c r="A25" s="5" t="s">
        <v>79</v>
      </c>
      <c r="B25" t="s">
        <v>5</v>
      </c>
      <c r="F25" s="54">
        <f>+[14]Sheet1!J116</f>
        <v>5738.8562499999998</v>
      </c>
      <c r="G25" s="54">
        <f>+[14]Sheet1!K116</f>
        <v>0</v>
      </c>
      <c r="H25" s="54">
        <f>+[14]Sheet1!L116</f>
        <v>157114.81625</v>
      </c>
      <c r="I25" s="55">
        <f t="shared" si="0"/>
        <v>87579.130106257391</v>
      </c>
      <c r="J25" s="54">
        <f>-[14]Sheet1!N116</f>
        <v>49130.95</v>
      </c>
      <c r="K25" s="16">
        <f t="shared" si="1"/>
        <v>195562.99635625741</v>
      </c>
    </row>
    <row r="26" spans="1:11" ht="18" customHeight="1">
      <c r="A26" s="5" t="s">
        <v>80</v>
      </c>
      <c r="B26" t="s">
        <v>45</v>
      </c>
      <c r="F26" s="54">
        <f>+[14]Sheet1!J117</f>
        <v>0</v>
      </c>
      <c r="G26" s="54">
        <f>+[14]Sheet1!K117</f>
        <v>0</v>
      </c>
      <c r="H26" s="54">
        <f>+[14]Sheet1!L117</f>
        <v>0</v>
      </c>
      <c r="I26" s="55">
        <f t="shared" si="0"/>
        <v>0</v>
      </c>
      <c r="J26" s="54">
        <f>-[14]Sheet1!N117</f>
        <v>0</v>
      </c>
      <c r="K26" s="16">
        <f t="shared" si="1"/>
        <v>0</v>
      </c>
    </row>
    <row r="27" spans="1:11" ht="18" customHeight="1">
      <c r="A27" s="5" t="s">
        <v>81</v>
      </c>
      <c r="B27" t="s">
        <v>46</v>
      </c>
      <c r="F27" s="54">
        <f>+[14]Sheet1!J118</f>
        <v>0</v>
      </c>
      <c r="G27" s="54">
        <f>+[14]Sheet1!K118</f>
        <v>0</v>
      </c>
      <c r="H27" s="54">
        <f>+[14]Sheet1!L118</f>
        <v>0</v>
      </c>
      <c r="I27" s="55">
        <f t="shared" si="0"/>
        <v>0</v>
      </c>
      <c r="J27" s="54">
        <f>-[14]Sheet1!N118</f>
        <v>0</v>
      </c>
      <c r="K27" s="16">
        <f t="shared" si="1"/>
        <v>0</v>
      </c>
    </row>
    <row r="28" spans="1:11" ht="18" customHeight="1">
      <c r="A28" s="5" t="s">
        <v>82</v>
      </c>
      <c r="B28" t="s">
        <v>47</v>
      </c>
      <c r="F28" s="54">
        <f>+[14]Sheet1!J119</f>
        <v>0</v>
      </c>
      <c r="G28" s="54">
        <f>+[14]Sheet1!K119</f>
        <v>0</v>
      </c>
      <c r="H28" s="54">
        <f>+[14]Sheet1!L119</f>
        <v>0</v>
      </c>
      <c r="I28" s="55">
        <f t="shared" si="0"/>
        <v>0</v>
      </c>
      <c r="J28" s="54">
        <f>-[14]Sheet1!N119</f>
        <v>0</v>
      </c>
      <c r="K28" s="16">
        <f t="shared" si="1"/>
        <v>0</v>
      </c>
    </row>
    <row r="29" spans="1:11" ht="18" customHeight="1">
      <c r="A29" s="5" t="s">
        <v>83</v>
      </c>
      <c r="B29" t="s">
        <v>48</v>
      </c>
      <c r="F29" s="54">
        <f>+[14]Sheet1!J120</f>
        <v>6705.75</v>
      </c>
      <c r="G29" s="54">
        <f>+[14]Sheet1!K120</f>
        <v>3748</v>
      </c>
      <c r="H29" s="54">
        <f>+[14]Sheet1!L120</f>
        <v>1688084.2787500001</v>
      </c>
      <c r="I29" s="55">
        <f t="shared" si="0"/>
        <v>940973.9718228128</v>
      </c>
      <c r="J29" s="54">
        <f>-[14]Sheet1!N120</f>
        <v>44620.563750000001</v>
      </c>
      <c r="K29" s="16">
        <f t="shared" si="1"/>
        <v>2584437.6868228125</v>
      </c>
    </row>
    <row r="30" spans="1:11" ht="18" customHeight="1">
      <c r="A30" s="5" t="s">
        <v>84</v>
      </c>
      <c r="B30" s="547" t="s">
        <v>598</v>
      </c>
      <c r="C30" s="548"/>
      <c r="D30" s="549"/>
      <c r="F30" s="54">
        <f>+[14]Sheet1!J121</f>
        <v>2614.6912499999999</v>
      </c>
      <c r="G30" s="54">
        <f>+[14]Sheet1!K121</f>
        <v>5578.3065562499996</v>
      </c>
      <c r="H30" s="54">
        <f>+[14]Sheet1!L121</f>
        <v>80347.017749999999</v>
      </c>
      <c r="I30" s="55">
        <f t="shared" si="0"/>
        <v>44787.131405737309</v>
      </c>
      <c r="J30" s="54">
        <f>-[14]Sheet1!N121</f>
        <v>6689.3885000000009</v>
      </c>
      <c r="K30" s="16">
        <f t="shared" si="1"/>
        <v>118444.76065573731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 t="shared" si="0"/>
        <v>0</v>
      </c>
      <c r="J31" s="15"/>
      <c r="K31" s="16">
        <f t="shared" si="1"/>
        <v>0</v>
      </c>
    </row>
    <row r="32" spans="1:11" ht="18" customHeight="1">
      <c r="A32" s="5" t="s">
        <v>134</v>
      </c>
      <c r="B32" s="284"/>
      <c r="C32" s="285"/>
      <c r="D32" s="286"/>
      <c r="F32" s="54"/>
      <c r="G32" s="52" t="s">
        <v>85</v>
      </c>
      <c r="H32" s="15"/>
      <c r="I32" s="55">
        <f t="shared" si="0"/>
        <v>0</v>
      </c>
      <c r="J32" s="15"/>
      <c r="K32" s="16">
        <f t="shared" si="1"/>
        <v>0</v>
      </c>
    </row>
    <row r="33" spans="1:11" ht="18" customHeight="1">
      <c r="A33" s="5" t="s">
        <v>135</v>
      </c>
      <c r="B33" s="284"/>
      <c r="C33" s="285"/>
      <c r="D33" s="286"/>
      <c r="F33" s="54"/>
      <c r="G33" s="52" t="s">
        <v>85</v>
      </c>
      <c r="H33" s="15"/>
      <c r="I33" s="55">
        <f t="shared" si="0"/>
        <v>0</v>
      </c>
      <c r="J33" s="15"/>
      <c r="K33" s="16">
        <f t="shared" si="1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 t="shared" si="0"/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43855.049999999988</v>
      </c>
      <c r="G36" s="18">
        <f t="shared" si="2"/>
        <v>27224.806556249998</v>
      </c>
      <c r="H36" s="18">
        <f t="shared" si="2"/>
        <v>3395472.9482499999</v>
      </c>
      <c r="I36" s="16">
        <f t="shared" si="2"/>
        <v>1892708.6203880794</v>
      </c>
      <c r="J36" s="16">
        <f t="shared" si="2"/>
        <v>276527.74875000003</v>
      </c>
      <c r="K36" s="16">
        <f t="shared" si="2"/>
        <v>5011653.8198880795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>
        <f>+[14]Sheet1!J122</f>
        <v>0</v>
      </c>
      <c r="G40" s="54">
        <f>+[14]Sheet1!K122</f>
        <v>0</v>
      </c>
      <c r="H40" s="54">
        <f>+[14]Sheet1!L122</f>
        <v>79333.551000000007</v>
      </c>
      <c r="I40" s="55">
        <v>0</v>
      </c>
      <c r="J40" s="54">
        <f>-[14]Sheet1!N122</f>
        <v>0</v>
      </c>
      <c r="K40" s="16">
        <f t="shared" ref="K40:K47" si="3">(H40+I40)-J40</f>
        <v>79333.551000000007</v>
      </c>
    </row>
    <row r="41" spans="1:11" ht="18" customHeight="1">
      <c r="A41" s="5" t="s">
        <v>88</v>
      </c>
      <c r="B41" s="550" t="s">
        <v>50</v>
      </c>
      <c r="C41" s="551"/>
      <c r="F41" s="54">
        <f>+[14]Sheet1!J123</f>
        <v>13104.5</v>
      </c>
      <c r="G41" s="54">
        <f>+[14]Sheet1!K123</f>
        <v>439</v>
      </c>
      <c r="H41" s="54">
        <f>+[14]Sheet1!L123</f>
        <v>560930</v>
      </c>
      <c r="I41" s="55">
        <v>0</v>
      </c>
      <c r="J41" s="54">
        <f>-[14]Sheet1!N123</f>
        <v>0</v>
      </c>
      <c r="K41" s="16">
        <f t="shared" si="3"/>
        <v>560930</v>
      </c>
    </row>
    <row r="42" spans="1:11" ht="18" customHeight="1">
      <c r="A42" s="5" t="s">
        <v>89</v>
      </c>
      <c r="B42" s="1" t="s">
        <v>11</v>
      </c>
      <c r="F42" s="54">
        <f>+[14]Sheet1!J124</f>
        <v>3689.35</v>
      </c>
      <c r="G42" s="54">
        <f>+[14]Sheet1!K124</f>
        <v>35946.841396376323</v>
      </c>
      <c r="H42" s="54">
        <f>+[14]Sheet1!L124</f>
        <v>95486.38625000004</v>
      </c>
      <c r="I42" s="55">
        <v>0</v>
      </c>
      <c r="J42" s="54">
        <f>-[14]Sheet1!N124</f>
        <v>14873.52125</v>
      </c>
      <c r="K42" s="16">
        <f t="shared" si="3"/>
        <v>80612.865000000034</v>
      </c>
    </row>
    <row r="43" spans="1:11" ht="18" customHeight="1">
      <c r="A43" s="5" t="s">
        <v>90</v>
      </c>
      <c r="B43" s="47" t="s">
        <v>10</v>
      </c>
      <c r="C43" s="10"/>
      <c r="D43" s="10"/>
      <c r="F43" s="54">
        <f>+[14]Sheet1!J125</f>
        <v>3120</v>
      </c>
      <c r="G43" s="54">
        <f>+[14]Sheet1!K125</f>
        <v>304.50704000000002</v>
      </c>
      <c r="H43" s="54">
        <f>+[14]Sheet1!L125</f>
        <v>161027.19999999998</v>
      </c>
      <c r="I43" s="55">
        <v>0</v>
      </c>
      <c r="J43" s="54">
        <f>-[14]Sheet1!N125</f>
        <v>47298.84</v>
      </c>
      <c r="K43" s="16">
        <f t="shared" si="3"/>
        <v>113728.35999999999</v>
      </c>
    </row>
    <row r="44" spans="1:11" ht="18" customHeight="1">
      <c r="A44" s="5" t="s">
        <v>91</v>
      </c>
      <c r="B44" s="547"/>
      <c r="C44" s="548"/>
      <c r="D44" s="549"/>
      <c r="F44" s="54"/>
      <c r="G44" s="54"/>
      <c r="H44" s="54"/>
      <c r="I44" s="83">
        <v>0</v>
      </c>
      <c r="J44" s="54"/>
      <c r="K44" s="81">
        <f t="shared" si="3"/>
        <v>0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3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3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3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19913.849999999999</v>
      </c>
      <c r="G49" s="23">
        <f t="shared" si="4"/>
        <v>36690.34843637632</v>
      </c>
      <c r="H49" s="16">
        <f t="shared" si="4"/>
        <v>896777.13724999991</v>
      </c>
      <c r="I49" s="16">
        <f t="shared" si="4"/>
        <v>0</v>
      </c>
      <c r="J49" s="16">
        <f t="shared" si="4"/>
        <v>62172.361249999994</v>
      </c>
      <c r="K49" s="16">
        <f t="shared" si="4"/>
        <v>834604.77599999995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 t="s">
        <v>597</v>
      </c>
      <c r="C53" s="559"/>
      <c r="D53" s="532"/>
      <c r="F53" s="54">
        <f>+[14]Sheet1!J126</f>
        <v>0</v>
      </c>
      <c r="G53" s="54">
        <f>+[14]Sheet1!K126</f>
        <v>0</v>
      </c>
      <c r="H53" s="54">
        <f>+[14]Sheet1!L126</f>
        <v>0</v>
      </c>
      <c r="I53" s="55">
        <v>0</v>
      </c>
      <c r="J53" s="54">
        <f>-[14]Sheet1!N126</f>
        <v>0</v>
      </c>
      <c r="K53" s="16">
        <f t="shared" ref="K53:K62" si="5">(H53+I53)-J53</f>
        <v>0</v>
      </c>
    </row>
    <row r="54" spans="1:11" ht="18" customHeight="1">
      <c r="A54" s="5" t="s">
        <v>93</v>
      </c>
      <c r="B54" s="281" t="s">
        <v>596</v>
      </c>
      <c r="C54" s="282"/>
      <c r="D54" s="283"/>
      <c r="F54" s="54">
        <f>+[14]Sheet1!J127</f>
        <v>60209.250000000007</v>
      </c>
      <c r="G54" s="54">
        <f>+[14]Sheet1!K127</f>
        <v>71.5</v>
      </c>
      <c r="H54" s="54">
        <f>+[14]Sheet1!L127</f>
        <v>7679388.6600000001</v>
      </c>
      <c r="I54" s="55">
        <v>0</v>
      </c>
      <c r="J54" s="54">
        <f>-[14]Sheet1!N127</f>
        <v>0</v>
      </c>
      <c r="K54" s="16">
        <f t="shared" si="5"/>
        <v>7679388.6600000001</v>
      </c>
    </row>
    <row r="55" spans="1:11" ht="18" customHeight="1">
      <c r="A55" s="5" t="s">
        <v>94</v>
      </c>
      <c r="B55" s="530" t="s">
        <v>595</v>
      </c>
      <c r="C55" s="531"/>
      <c r="D55" s="532"/>
      <c r="F55" s="54">
        <f>+[14]Sheet1!J128</f>
        <v>0</v>
      </c>
      <c r="G55" s="54">
        <f>+[14]Sheet1!K128</f>
        <v>0</v>
      </c>
      <c r="H55" s="54">
        <f>+[14]Sheet1!L128</f>
        <v>1603836.9700000002</v>
      </c>
      <c r="I55" s="55">
        <v>0</v>
      </c>
      <c r="J55" s="54">
        <f>-[14]Sheet1!N128</f>
        <v>0</v>
      </c>
      <c r="K55" s="16">
        <f t="shared" si="5"/>
        <v>1603836.9700000002</v>
      </c>
    </row>
    <row r="56" spans="1:11" ht="18" customHeight="1">
      <c r="A56" s="5" t="s">
        <v>95</v>
      </c>
      <c r="B56" s="530" t="s">
        <v>594</v>
      </c>
      <c r="C56" s="531"/>
      <c r="D56" s="532"/>
      <c r="F56" s="54" t="s">
        <v>740</v>
      </c>
      <c r="G56" s="54">
        <f>+[14]Sheet1!K129</f>
        <v>0</v>
      </c>
      <c r="H56" s="54">
        <f>+[14]Sheet1!L129</f>
        <v>0</v>
      </c>
      <c r="I56" s="55">
        <v>0</v>
      </c>
      <c r="J56" s="54">
        <f>-[14]Sheet1!N129</f>
        <v>0</v>
      </c>
      <c r="K56" s="16">
        <f t="shared" si="5"/>
        <v>0</v>
      </c>
    </row>
    <row r="57" spans="1:11" ht="18" customHeight="1">
      <c r="A57" s="5" t="s">
        <v>96</v>
      </c>
      <c r="B57" s="530" t="s">
        <v>593</v>
      </c>
      <c r="C57" s="531"/>
      <c r="D57" s="532"/>
      <c r="F57" s="54">
        <f>+[14]Sheet1!J130</f>
        <v>0</v>
      </c>
      <c r="G57" s="54">
        <f>+[14]Sheet1!K130</f>
        <v>0</v>
      </c>
      <c r="H57" s="54">
        <f>+[14]Sheet1!L130</f>
        <v>4420785.8560000006</v>
      </c>
      <c r="I57" s="55">
        <v>0</v>
      </c>
      <c r="J57" s="54">
        <f>-[14]Sheet1!N130</f>
        <v>0</v>
      </c>
      <c r="K57" s="16">
        <f t="shared" si="5"/>
        <v>4420785.8560000006</v>
      </c>
    </row>
    <row r="58" spans="1:11" ht="18" customHeight="1">
      <c r="A58" s="5" t="s">
        <v>97</v>
      </c>
      <c r="B58" s="281"/>
      <c r="C58" s="282"/>
      <c r="D58" s="283"/>
      <c r="F58" s="54"/>
      <c r="G58" s="54"/>
      <c r="H58" s="15"/>
      <c r="I58" s="55">
        <v>0</v>
      </c>
      <c r="J58" s="15"/>
      <c r="K58" s="16">
        <f t="shared" si="5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v>0</v>
      </c>
      <c r="J59" s="15"/>
      <c r="K59" s="16">
        <f t="shared" si="5"/>
        <v>0</v>
      </c>
    </row>
    <row r="60" spans="1:11" ht="18" customHeight="1">
      <c r="A60" s="5" t="s">
        <v>99</v>
      </c>
      <c r="B60" s="281"/>
      <c r="C60" s="282"/>
      <c r="D60" s="283"/>
      <c r="F60" s="54"/>
      <c r="G60" s="54"/>
      <c r="H60" s="15"/>
      <c r="I60" s="55">
        <v>0</v>
      </c>
      <c r="J60" s="15"/>
      <c r="K60" s="16">
        <f t="shared" si="5"/>
        <v>0</v>
      </c>
    </row>
    <row r="61" spans="1:11" ht="18" customHeight="1">
      <c r="A61" s="5" t="s">
        <v>100</v>
      </c>
      <c r="B61" s="281"/>
      <c r="C61" s="282"/>
      <c r="D61" s="283"/>
      <c r="F61" s="54"/>
      <c r="G61" s="54"/>
      <c r="H61" s="15"/>
      <c r="I61" s="55">
        <v>0</v>
      </c>
      <c r="J61" s="15"/>
      <c r="K61" s="16">
        <f t="shared" si="5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5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6">SUM(F53:F62)</f>
        <v>60209.250000000007</v>
      </c>
      <c r="G64" s="18">
        <f t="shared" si="6"/>
        <v>71.5</v>
      </c>
      <c r="H64" s="16">
        <f t="shared" si="6"/>
        <v>13704011.486000001</v>
      </c>
      <c r="I64" s="16">
        <f t="shared" si="6"/>
        <v>0</v>
      </c>
      <c r="J64" s="16">
        <f t="shared" si="6"/>
        <v>0</v>
      </c>
      <c r="K64" s="16">
        <f t="shared" si="6"/>
        <v>13704011.486000001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4">
        <f>+[14]Sheet1!J131</f>
        <v>10391.75</v>
      </c>
      <c r="G68" s="54">
        <f>+[14]Sheet1!K131</f>
        <v>1002</v>
      </c>
      <c r="H68" s="54">
        <f>+[14]Sheet1!L131</f>
        <v>676203.23</v>
      </c>
      <c r="I68" s="55">
        <v>0</v>
      </c>
      <c r="J68" s="370">
        <f>-[14]Sheet1!N131</f>
        <v>376006.6</v>
      </c>
      <c r="K68" s="16">
        <f>(H68+I68)-J68</f>
        <v>300196.63</v>
      </c>
    </row>
    <row r="69" spans="1:11" ht="18" customHeight="1">
      <c r="A69" s="5" t="s">
        <v>104</v>
      </c>
      <c r="B69" s="1" t="s">
        <v>53</v>
      </c>
      <c r="F69" s="54">
        <f>+[14]Sheet1!J132</f>
        <v>2</v>
      </c>
      <c r="G69" s="54">
        <f>+[14]Sheet1!K132</f>
        <v>3</v>
      </c>
      <c r="H69" s="54">
        <f>+[14]Sheet1!L132</f>
        <v>30782.5</v>
      </c>
      <c r="I69" s="55">
        <v>0</v>
      </c>
      <c r="J69" s="370">
        <f>-[14]Sheet1!N132</f>
        <v>0</v>
      </c>
      <c r="K69" s="16">
        <f>(H69+I69)-J69</f>
        <v>30782.5</v>
      </c>
    </row>
    <row r="70" spans="1:11" ht="18" customHeight="1">
      <c r="A70" s="5" t="s">
        <v>178</v>
      </c>
      <c r="B70" s="281"/>
      <c r="C70" s="282"/>
      <c r="D70" s="283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281"/>
      <c r="C71" s="282"/>
      <c r="D71" s="283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287"/>
      <c r="C72" s="288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7">SUM(F68:F72)</f>
        <v>10393.75</v>
      </c>
      <c r="G74" s="21">
        <f t="shared" si="7"/>
        <v>1005</v>
      </c>
      <c r="H74" s="21">
        <f t="shared" si="7"/>
        <v>706985.73</v>
      </c>
      <c r="I74" s="53">
        <f t="shared" si="7"/>
        <v>0</v>
      </c>
      <c r="J74" s="21">
        <f t="shared" si="7"/>
        <v>376006.6</v>
      </c>
      <c r="K74" s="56">
        <f t="shared" si="7"/>
        <v>330979.13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>
        <f>+[14]Sheet1!J133</f>
        <v>2</v>
      </c>
      <c r="G77" s="54">
        <f>+[14]Sheet1!K133</f>
        <v>125</v>
      </c>
      <c r="H77" s="54">
        <f>+[14]Sheet1!L133</f>
        <v>660233.473</v>
      </c>
      <c r="I77" s="55">
        <v>0</v>
      </c>
      <c r="J77" s="370">
        <f>-[14]Sheet1!N133</f>
        <v>0</v>
      </c>
      <c r="K77" s="16">
        <f>(H77+I77)-J77</f>
        <v>660233.473</v>
      </c>
    </row>
    <row r="78" spans="1:11" ht="18" customHeight="1">
      <c r="A78" s="5" t="s">
        <v>108</v>
      </c>
      <c r="B78" s="1" t="s">
        <v>55</v>
      </c>
      <c r="F78" s="54">
        <f>+[14]Sheet1!J134</f>
        <v>0</v>
      </c>
      <c r="G78" s="54">
        <f>+[14]Sheet1!K134</f>
        <v>0</v>
      </c>
      <c r="H78" s="54">
        <f>+[14]Sheet1!L134</f>
        <v>0</v>
      </c>
      <c r="I78" s="55">
        <v>0</v>
      </c>
      <c r="J78" s="370">
        <f>-[14]Sheet1!N134</f>
        <v>0</v>
      </c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>
        <f>+[14]Sheet1!J135</f>
        <v>146.27500000000001</v>
      </c>
      <c r="G79" s="54">
        <f>+[14]Sheet1!K135</f>
        <v>171</v>
      </c>
      <c r="H79" s="54">
        <f>+[14]Sheet1!L135</f>
        <v>35117.5</v>
      </c>
      <c r="I79" s="55">
        <v>0</v>
      </c>
      <c r="J79" s="370">
        <f>-[14]Sheet1!N135</f>
        <v>0</v>
      </c>
      <c r="K79" s="16">
        <f>(H79+I79)-J79</f>
        <v>35117.5</v>
      </c>
    </row>
    <row r="80" spans="1:11" ht="18" customHeight="1">
      <c r="A80" s="5" t="s">
        <v>110</v>
      </c>
      <c r="B80" s="1" t="s">
        <v>56</v>
      </c>
      <c r="F80" s="54">
        <f>+[14]Sheet1!J136</f>
        <v>2</v>
      </c>
      <c r="G80" s="54">
        <f>+[14]Sheet1!K136</f>
        <v>30</v>
      </c>
      <c r="H80" s="54">
        <f>+[14]Sheet1!L136</f>
        <v>0</v>
      </c>
      <c r="I80" s="55">
        <v>0</v>
      </c>
      <c r="J80" s="370">
        <f>-[14]Sheet1!N136</f>
        <v>0</v>
      </c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8">SUM(F77:F80)</f>
        <v>150.27500000000001</v>
      </c>
      <c r="G82" s="21">
        <f t="shared" si="8"/>
        <v>326</v>
      </c>
      <c r="H82" s="56">
        <f t="shared" si="8"/>
        <v>695350.973</v>
      </c>
      <c r="I82" s="56">
        <f t="shared" si="8"/>
        <v>0</v>
      </c>
      <c r="J82" s="56">
        <f t="shared" si="8"/>
        <v>0</v>
      </c>
      <c r="K82" s="56">
        <f t="shared" si="8"/>
        <v>695350.973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>
        <f>+[14]Sheet1!J137</f>
        <v>2</v>
      </c>
      <c r="G86" s="54">
        <f>+[14]Sheet1!K137</f>
        <v>6</v>
      </c>
      <c r="H86" s="54">
        <f>+[14]Sheet1!L137</f>
        <v>26.648593234022105</v>
      </c>
      <c r="I86" s="55">
        <f t="shared" ref="I86:I96" si="9">H86*F$114</f>
        <v>14.854490936599699</v>
      </c>
      <c r="J86" s="370">
        <f>-[14]Sheet1!N137</f>
        <v>0</v>
      </c>
      <c r="K86" s="16">
        <f t="shared" ref="K86:K96" si="10">(H86+I86)-J86</f>
        <v>41.503084170621804</v>
      </c>
    </row>
    <row r="87" spans="1:11" ht="18" customHeight="1">
      <c r="A87" s="5" t="s">
        <v>114</v>
      </c>
      <c r="B87" s="1" t="s">
        <v>14</v>
      </c>
      <c r="F87" s="54">
        <f>+[14]Sheet1!J138</f>
        <v>85.75</v>
      </c>
      <c r="G87" s="54">
        <f>+[14]Sheet1!K138</f>
        <v>156</v>
      </c>
      <c r="H87" s="54">
        <f>+[14]Sheet1!L138</f>
        <v>19090</v>
      </c>
      <c r="I87" s="55">
        <f t="shared" si="9"/>
        <v>10641.170792372381</v>
      </c>
      <c r="J87" s="370">
        <f>-[14]Sheet1!N138</f>
        <v>0</v>
      </c>
      <c r="K87" s="16">
        <f t="shared" si="10"/>
        <v>29731.170792372381</v>
      </c>
    </row>
    <row r="88" spans="1:11" ht="18" customHeight="1">
      <c r="A88" s="5" t="s">
        <v>115</v>
      </c>
      <c r="B88" s="1" t="s">
        <v>116</v>
      </c>
      <c r="F88" s="54">
        <f>+[14]Sheet1!J139</f>
        <v>43.25</v>
      </c>
      <c r="G88" s="54">
        <f>+[14]Sheet1!K139</f>
        <v>221.5</v>
      </c>
      <c r="H88" s="54">
        <f>+[14]Sheet1!L139</f>
        <v>3167</v>
      </c>
      <c r="I88" s="55">
        <f t="shared" si="9"/>
        <v>1765.3529543972409</v>
      </c>
      <c r="J88" s="370">
        <f>-[14]Sheet1!N139</f>
        <v>0</v>
      </c>
      <c r="K88" s="16">
        <f t="shared" si="10"/>
        <v>4932.3529543972409</v>
      </c>
    </row>
    <row r="89" spans="1:11" ht="18" customHeight="1">
      <c r="A89" s="5" t="s">
        <v>117</v>
      </c>
      <c r="B89" s="1" t="s">
        <v>58</v>
      </c>
      <c r="F89" s="54">
        <f>+[14]Sheet1!J140</f>
        <v>5.75</v>
      </c>
      <c r="G89" s="54">
        <f>+[14]Sheet1!K140</f>
        <v>21</v>
      </c>
      <c r="H89" s="54">
        <f>+[14]Sheet1!L140</f>
        <v>1390</v>
      </c>
      <c r="I89" s="55">
        <f t="shared" si="9"/>
        <v>774.81547414340537</v>
      </c>
      <c r="J89" s="370">
        <f>-[14]Sheet1!N140</f>
        <v>0</v>
      </c>
      <c r="K89" s="16">
        <f t="shared" si="10"/>
        <v>2164.8154741434055</v>
      </c>
    </row>
    <row r="90" spans="1:11" ht="18" customHeight="1">
      <c r="A90" s="5" t="s">
        <v>118</v>
      </c>
      <c r="B90" s="550" t="s">
        <v>59</v>
      </c>
      <c r="C90" s="551"/>
      <c r="F90" s="54">
        <f>+[14]Sheet1!J141</f>
        <v>23.875</v>
      </c>
      <c r="G90" s="54">
        <f>+[14]Sheet1!K141</f>
        <v>319</v>
      </c>
      <c r="H90" s="54">
        <f>+[14]Sheet1!L141</f>
        <v>1266.5</v>
      </c>
      <c r="I90" s="55">
        <f t="shared" si="9"/>
        <v>705.97395539757042</v>
      </c>
      <c r="J90" s="370">
        <f>-[14]Sheet1!N141</f>
        <v>0</v>
      </c>
      <c r="K90" s="16">
        <f t="shared" si="10"/>
        <v>1972.4739553975705</v>
      </c>
    </row>
    <row r="91" spans="1:11" ht="18" customHeight="1">
      <c r="A91" s="5" t="s">
        <v>119</v>
      </c>
      <c r="B91" s="1" t="s">
        <v>60</v>
      </c>
      <c r="F91" s="54">
        <f>+[14]Sheet1!J142</f>
        <v>532.75</v>
      </c>
      <c r="G91" s="54">
        <f>+[14]Sheet1!K142</f>
        <v>2334.5</v>
      </c>
      <c r="H91" s="54">
        <f>+[14]Sheet1!L142</f>
        <v>52498.5</v>
      </c>
      <c r="I91" s="55">
        <f t="shared" si="9"/>
        <v>29263.777100228464</v>
      </c>
      <c r="J91" s="370">
        <f>-[14]Sheet1!N142</f>
        <v>0</v>
      </c>
      <c r="K91" s="16">
        <f t="shared" si="10"/>
        <v>81762.277100228472</v>
      </c>
    </row>
    <row r="92" spans="1:11" ht="18" customHeight="1">
      <c r="A92" s="5" t="s">
        <v>120</v>
      </c>
      <c r="B92" s="1" t="s">
        <v>121</v>
      </c>
      <c r="F92" s="54">
        <f>+[14]Sheet1!J143</f>
        <v>1744.9499999999998</v>
      </c>
      <c r="G92" s="54">
        <f>+[14]Sheet1!K143</f>
        <v>1486</v>
      </c>
      <c r="H92" s="54">
        <f>+[14]Sheet1!L143</f>
        <v>520811.97000000003</v>
      </c>
      <c r="I92" s="55">
        <f t="shared" si="9"/>
        <v>290311.63559360505</v>
      </c>
      <c r="J92" s="370">
        <f>-[14]Sheet1!N143</f>
        <v>15000</v>
      </c>
      <c r="K92" s="16">
        <f t="shared" si="10"/>
        <v>796123.60559360508</v>
      </c>
    </row>
    <row r="93" spans="1:11" ht="18" customHeight="1">
      <c r="A93" s="5" t="s">
        <v>122</v>
      </c>
      <c r="B93" s="1" t="s">
        <v>123</v>
      </c>
      <c r="F93" s="54">
        <f>+[14]Sheet1!J144</f>
        <v>33.650000000000006</v>
      </c>
      <c r="G93" s="54">
        <f>+[14]Sheet1!K144</f>
        <v>42</v>
      </c>
      <c r="H93" s="54">
        <f>+[14]Sheet1!L144</f>
        <v>7866</v>
      </c>
      <c r="I93" s="55">
        <f t="shared" si="9"/>
        <v>4384.6751939654869</v>
      </c>
      <c r="J93" s="370">
        <f>-[14]Sheet1!N144</f>
        <v>0</v>
      </c>
      <c r="K93" s="16">
        <f t="shared" si="10"/>
        <v>12250.675193965486</v>
      </c>
    </row>
    <row r="94" spans="1:11" ht="18" customHeight="1">
      <c r="A94" s="5" t="s">
        <v>124</v>
      </c>
      <c r="B94" s="530" t="s">
        <v>591</v>
      </c>
      <c r="C94" s="531"/>
      <c r="D94" s="532"/>
      <c r="F94" s="54">
        <f>+[14]Sheet1!J145</f>
        <v>2720.6400000000003</v>
      </c>
      <c r="G94" s="54">
        <f>+[14]Sheet1!K145</f>
        <v>516.92160000000001</v>
      </c>
      <c r="H94" s="54">
        <f>+[14]Sheet1!L145</f>
        <v>150106.63996224003</v>
      </c>
      <c r="I94" s="55">
        <f t="shared" si="9"/>
        <v>83672.624039148533</v>
      </c>
      <c r="J94" s="370">
        <f>-[14]Sheet1!N145</f>
        <v>0</v>
      </c>
      <c r="K94" s="16">
        <f t="shared" si="10"/>
        <v>233779.26400138857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9"/>
        <v>0</v>
      </c>
      <c r="J95" s="15"/>
      <c r="K95" s="16">
        <f t="shared" si="10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9"/>
        <v>0</v>
      </c>
      <c r="J96" s="15"/>
      <c r="K96" s="16">
        <f t="shared" si="10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1">SUM(F86:F96)</f>
        <v>5192.6149999999998</v>
      </c>
      <c r="G98" s="18">
        <f t="shared" si="11"/>
        <v>5102.9215999999997</v>
      </c>
      <c r="H98" s="18">
        <f t="shared" si="11"/>
        <v>756223.25855547411</v>
      </c>
      <c r="I98" s="18">
        <f t="shared" si="11"/>
        <v>421534.8795941947</v>
      </c>
      <c r="J98" s="18">
        <f t="shared" si="11"/>
        <v>15000</v>
      </c>
      <c r="K98" s="18">
        <f t="shared" si="11"/>
        <v>1162758.1381496689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>
        <f>+[14]Sheet1!J146</f>
        <v>1298.625</v>
      </c>
      <c r="G102" s="54">
        <f>+[14]Sheet1!K146</f>
        <v>0</v>
      </c>
      <c r="H102" s="54">
        <f>+[14]Sheet1!L146</f>
        <v>62028.596923076919</v>
      </c>
      <c r="I102" s="55">
        <f>H102*F$114</f>
        <v>34576.055205326629</v>
      </c>
      <c r="J102" s="370">
        <f>-[14]Sheet1!N146</f>
        <v>0</v>
      </c>
      <c r="K102" s="16">
        <f>(H102+I102)-J102</f>
        <v>96604.652128403541</v>
      </c>
    </row>
    <row r="103" spans="1:11" ht="18" customHeight="1">
      <c r="A103" s="5" t="s">
        <v>132</v>
      </c>
      <c r="B103" s="550" t="s">
        <v>62</v>
      </c>
      <c r="C103" s="550"/>
      <c r="F103" s="54">
        <f>+[14]Sheet1!J147</f>
        <v>21.25</v>
      </c>
      <c r="G103" s="54">
        <f>+[14]Sheet1!K147</f>
        <v>282</v>
      </c>
      <c r="H103" s="54">
        <f>+[14]Sheet1!L147</f>
        <v>41769.29</v>
      </c>
      <c r="I103" s="55">
        <f>H103*F$114</f>
        <v>23283.087939556404</v>
      </c>
      <c r="J103" s="370">
        <f>-[14]Sheet1!N147</f>
        <v>0</v>
      </c>
      <c r="K103" s="16">
        <f>(H103+I103)-J103</f>
        <v>65052.377939556405</v>
      </c>
    </row>
    <row r="104" spans="1:11" ht="18" customHeight="1">
      <c r="A104" s="5" t="s">
        <v>128</v>
      </c>
      <c r="B104" s="530" t="s">
        <v>603</v>
      </c>
      <c r="C104" s="531"/>
      <c r="D104" s="532"/>
      <c r="F104" s="54">
        <f>+[14]Sheet1!J148</f>
        <v>0</v>
      </c>
      <c r="G104" s="54">
        <f>+[14]Sheet1!K148</f>
        <v>0</v>
      </c>
      <c r="H104" s="54">
        <f>+[14]Sheet1!L148</f>
        <v>65715.41</v>
      </c>
      <c r="I104" s="55">
        <f>H104*F$114</f>
        <v>36631.162991135454</v>
      </c>
      <c r="J104" s="370">
        <f>-[14]Sheet1!N148</f>
        <v>0</v>
      </c>
      <c r="K104" s="16">
        <f>(H104+I104)-J104</f>
        <v>102346.57299113546</v>
      </c>
    </row>
    <row r="105" spans="1:11" ht="18" customHeight="1">
      <c r="A105" s="5" t="s">
        <v>127</v>
      </c>
      <c r="B105" s="530" t="s">
        <v>589</v>
      </c>
      <c r="C105" s="531"/>
      <c r="D105" s="532"/>
      <c r="F105" s="54">
        <f>+[14]Sheet1!J149</f>
        <v>0</v>
      </c>
      <c r="G105" s="54">
        <f>+[14]Sheet1!K149</f>
        <v>2000</v>
      </c>
      <c r="H105" s="54">
        <f>+[14]Sheet1!L149</f>
        <v>0</v>
      </c>
      <c r="I105" s="55">
        <f>H105*F$114</f>
        <v>0</v>
      </c>
      <c r="J105" s="370">
        <f>-[14]Sheet1!N149</f>
        <v>0</v>
      </c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>
        <f>+[14]Sheet1!J150</f>
        <v>0</v>
      </c>
      <c r="G106" s="54">
        <f>+[14]Sheet1!K150</f>
        <v>0</v>
      </c>
      <c r="H106" s="54">
        <f>+[14]Sheet1!L150</f>
        <v>0</v>
      </c>
      <c r="I106" s="55">
        <f>H106*F$114</f>
        <v>0</v>
      </c>
      <c r="J106" s="370">
        <f>-[14]Sheet1!N150</f>
        <v>0</v>
      </c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2">SUM(F102:F106)</f>
        <v>1319.875</v>
      </c>
      <c r="G108" s="18">
        <f t="shared" si="12"/>
        <v>2282</v>
      </c>
      <c r="H108" s="16">
        <f t="shared" si="12"/>
        <v>169513.29692307691</v>
      </c>
      <c r="I108" s="16">
        <f t="shared" si="12"/>
        <v>94490.30613601848</v>
      </c>
      <c r="J108" s="16">
        <f t="shared" si="12"/>
        <v>0</v>
      </c>
      <c r="K108" s="16">
        <f t="shared" si="12"/>
        <v>264003.60305909539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f>+[14]Sheet1!$O$152</f>
        <v>10766255.577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f>+[14]Sheet1!$H$159</f>
        <v>0.5574212044197161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f>+'[15]P&amp;L_102'!$AE$46</f>
        <v>214492389.64600003</v>
      </c>
    </row>
    <row r="118" spans="1:6" ht="18" customHeight="1">
      <c r="A118" s="5" t="s">
        <v>173</v>
      </c>
      <c r="B118" t="s">
        <v>18</v>
      </c>
      <c r="F118" s="15">
        <f>+'[15]P&amp;L_102'!$AE$66</f>
        <v>3924364.1799999983</v>
      </c>
    </row>
    <row r="119" spans="1:6" ht="18" customHeight="1">
      <c r="A119" s="5" t="s">
        <v>174</v>
      </c>
      <c r="B119" s="2" t="s">
        <v>19</v>
      </c>
      <c r="F119" s="56">
        <f>SUM(F117:F118)</f>
        <v>218416753.82600003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f>+'[15]P&amp;L_102'!$AE$308</f>
        <v>224511598.69200003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f>+F119-F121</f>
        <v>-6094844.8659999967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f>+'[15]P&amp;L_102'!$AE$325</f>
        <v>-848096.81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f>+F125+F123</f>
        <v>-6942941.6759999972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>
        <f>+[14]Sheet1!J154</f>
        <v>0</v>
      </c>
      <c r="G131" s="54">
        <f>+[14]Sheet1!K154</f>
        <v>0</v>
      </c>
      <c r="H131" s="54">
        <f>+[14]Sheet1!L154</f>
        <v>0</v>
      </c>
      <c r="I131" s="55">
        <v>0</v>
      </c>
      <c r="J131" s="370">
        <f>-[14]Sheet1!N154</f>
        <v>0</v>
      </c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>
        <f>+[14]Sheet1!J155</f>
        <v>0</v>
      </c>
      <c r="G132" s="54">
        <f>+[14]Sheet1!K155</f>
        <v>0</v>
      </c>
      <c r="H132" s="54">
        <f>+[14]Sheet1!L155</f>
        <v>0</v>
      </c>
      <c r="I132" s="55">
        <v>0</v>
      </c>
      <c r="J132" s="370">
        <f>-[14]Sheet1!N155</f>
        <v>0</v>
      </c>
      <c r="K132" s="16">
        <f>(H132+I132)-J132</f>
        <v>0</v>
      </c>
    </row>
    <row r="133" spans="1:11" ht="18" customHeight="1">
      <c r="A133" s="5" t="s">
        <v>160</v>
      </c>
      <c r="B133" s="547" t="s">
        <v>588</v>
      </c>
      <c r="C133" s="548"/>
      <c r="D133" s="549"/>
      <c r="F133" s="54">
        <f>+[14]Sheet1!J156</f>
        <v>0</v>
      </c>
      <c r="G133" s="54">
        <f>+[14]Sheet1!K156</f>
        <v>0</v>
      </c>
      <c r="H133" s="54">
        <f>+[14]Sheet1!L156</f>
        <v>0</v>
      </c>
      <c r="I133" s="55">
        <v>0</v>
      </c>
      <c r="J133" s="370">
        <f>-[14]Sheet1!N156</f>
        <v>0</v>
      </c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3">SUM(F131:F135)</f>
        <v>0</v>
      </c>
      <c r="G137" s="18">
        <f t="shared" si="13"/>
        <v>0</v>
      </c>
      <c r="H137" s="16">
        <f t="shared" si="13"/>
        <v>0</v>
      </c>
      <c r="I137" s="16">
        <f t="shared" si="13"/>
        <v>0</v>
      </c>
      <c r="J137" s="16">
        <f t="shared" si="13"/>
        <v>0</v>
      </c>
      <c r="K137" s="16">
        <f t="shared" si="13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4">F36</f>
        <v>43855.049999999988</v>
      </c>
      <c r="G141" s="41">
        <f t="shared" si="14"/>
        <v>27224.806556249998</v>
      </c>
      <c r="H141" s="41">
        <f t="shared" si="14"/>
        <v>3395472.9482499999</v>
      </c>
      <c r="I141" s="41">
        <f t="shared" si="14"/>
        <v>1892708.6203880794</v>
      </c>
      <c r="J141" s="41">
        <f t="shared" si="14"/>
        <v>276527.74875000003</v>
      </c>
      <c r="K141" s="41">
        <f t="shared" si="14"/>
        <v>5011653.8198880795</v>
      </c>
    </row>
    <row r="142" spans="1:11" ht="18" customHeight="1">
      <c r="A142" s="5" t="s">
        <v>142</v>
      </c>
      <c r="B142" s="2" t="s">
        <v>65</v>
      </c>
      <c r="F142" s="41">
        <f t="shared" ref="F142:K142" si="15">F49</f>
        <v>19913.849999999999</v>
      </c>
      <c r="G142" s="41">
        <f t="shared" si="15"/>
        <v>36690.34843637632</v>
      </c>
      <c r="H142" s="41">
        <f t="shared" si="15"/>
        <v>896777.13724999991</v>
      </c>
      <c r="I142" s="41">
        <f t="shared" si="15"/>
        <v>0</v>
      </c>
      <c r="J142" s="41">
        <f t="shared" si="15"/>
        <v>62172.361249999994</v>
      </c>
      <c r="K142" s="41">
        <f t="shared" si="15"/>
        <v>834604.77599999995</v>
      </c>
    </row>
    <row r="143" spans="1:11" ht="18" customHeight="1">
      <c r="A143" s="5" t="s">
        <v>144</v>
      </c>
      <c r="B143" s="2" t="s">
        <v>66</v>
      </c>
      <c r="F143" s="41">
        <f t="shared" ref="F143:K143" si="16">F64</f>
        <v>60209.250000000007</v>
      </c>
      <c r="G143" s="41">
        <f t="shared" si="16"/>
        <v>71.5</v>
      </c>
      <c r="H143" s="41">
        <f t="shared" si="16"/>
        <v>13704011.486000001</v>
      </c>
      <c r="I143" s="41">
        <f t="shared" si="16"/>
        <v>0</v>
      </c>
      <c r="J143" s="41">
        <f t="shared" si="16"/>
        <v>0</v>
      </c>
      <c r="K143" s="41">
        <f t="shared" si="16"/>
        <v>13704011.486000001</v>
      </c>
    </row>
    <row r="144" spans="1:11" ht="18" customHeight="1">
      <c r="A144" s="5" t="s">
        <v>146</v>
      </c>
      <c r="B144" s="2" t="s">
        <v>67</v>
      </c>
      <c r="F144" s="41">
        <f t="shared" ref="F144:K144" si="17">F74</f>
        <v>10393.75</v>
      </c>
      <c r="G144" s="41">
        <f t="shared" si="17"/>
        <v>1005</v>
      </c>
      <c r="H144" s="41">
        <f t="shared" si="17"/>
        <v>706985.73</v>
      </c>
      <c r="I144" s="41">
        <f t="shared" si="17"/>
        <v>0</v>
      </c>
      <c r="J144" s="41">
        <f t="shared" si="17"/>
        <v>376006.6</v>
      </c>
      <c r="K144" s="41">
        <f t="shared" si="17"/>
        <v>330979.13</v>
      </c>
    </row>
    <row r="145" spans="1:11" ht="18" customHeight="1">
      <c r="A145" s="5" t="s">
        <v>148</v>
      </c>
      <c r="B145" s="2" t="s">
        <v>68</v>
      </c>
      <c r="F145" s="41">
        <f t="shared" ref="F145:K145" si="18">F82</f>
        <v>150.27500000000001</v>
      </c>
      <c r="G145" s="41">
        <f t="shared" si="18"/>
        <v>326</v>
      </c>
      <c r="H145" s="41">
        <f t="shared" si="18"/>
        <v>695350.973</v>
      </c>
      <c r="I145" s="41">
        <f t="shared" si="18"/>
        <v>0</v>
      </c>
      <c r="J145" s="41">
        <f t="shared" si="18"/>
        <v>0</v>
      </c>
      <c r="K145" s="41">
        <f t="shared" si="18"/>
        <v>695350.973</v>
      </c>
    </row>
    <row r="146" spans="1:11" ht="18" customHeight="1">
      <c r="A146" s="5" t="s">
        <v>150</v>
      </c>
      <c r="B146" s="2" t="s">
        <v>69</v>
      </c>
      <c r="F146" s="41">
        <f t="shared" ref="F146:K146" si="19">F98</f>
        <v>5192.6149999999998</v>
      </c>
      <c r="G146" s="41">
        <f t="shared" si="19"/>
        <v>5102.9215999999997</v>
      </c>
      <c r="H146" s="41">
        <f t="shared" si="19"/>
        <v>756223.25855547411</v>
      </c>
      <c r="I146" s="41">
        <f t="shared" si="19"/>
        <v>421534.8795941947</v>
      </c>
      <c r="J146" s="41">
        <f t="shared" si="19"/>
        <v>15000</v>
      </c>
      <c r="K146" s="41">
        <f t="shared" si="19"/>
        <v>1162758.1381496689</v>
      </c>
    </row>
    <row r="147" spans="1:11" ht="18" customHeight="1">
      <c r="A147" s="5" t="s">
        <v>153</v>
      </c>
      <c r="B147" s="2" t="s">
        <v>61</v>
      </c>
      <c r="F147" s="18">
        <f t="shared" ref="F147:K147" si="20">F108</f>
        <v>1319.875</v>
      </c>
      <c r="G147" s="18">
        <f t="shared" si="20"/>
        <v>2282</v>
      </c>
      <c r="H147" s="18">
        <f t="shared" si="20"/>
        <v>169513.29692307691</v>
      </c>
      <c r="I147" s="18">
        <f t="shared" si="20"/>
        <v>94490.30613601848</v>
      </c>
      <c r="J147" s="18">
        <f t="shared" si="20"/>
        <v>0</v>
      </c>
      <c r="K147" s="18">
        <f t="shared" si="20"/>
        <v>264003.60305909539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10766255.577</v>
      </c>
    </row>
    <row r="149" spans="1:11" ht="18" customHeight="1">
      <c r="A149" s="5" t="s">
        <v>163</v>
      </c>
      <c r="B149" s="2" t="s">
        <v>71</v>
      </c>
      <c r="F149" s="18">
        <f t="shared" ref="F149:K149" si="21">F137</f>
        <v>0</v>
      </c>
      <c r="G149" s="18">
        <f t="shared" si="21"/>
        <v>0</v>
      </c>
      <c r="H149" s="18">
        <f t="shared" si="21"/>
        <v>0</v>
      </c>
      <c r="I149" s="18">
        <f t="shared" si="21"/>
        <v>0</v>
      </c>
      <c r="J149" s="18">
        <f t="shared" si="21"/>
        <v>0</v>
      </c>
      <c r="K149" s="18">
        <f t="shared" si="21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7454521</v>
      </c>
      <c r="I150" s="18">
        <f>I18</f>
        <v>0</v>
      </c>
      <c r="J150" s="18">
        <f>J18</f>
        <v>6374548</v>
      </c>
      <c r="K150" s="18">
        <f>K18</f>
        <v>1079973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2">SUM(F141:F150)</f>
        <v>141034.66499999998</v>
      </c>
      <c r="G152" s="49">
        <f t="shared" si="22"/>
        <v>72702.576592626312</v>
      </c>
      <c r="H152" s="49">
        <f t="shared" si="22"/>
        <v>27778855.829978559</v>
      </c>
      <c r="I152" s="49">
        <f t="shared" si="22"/>
        <v>2408733.8061182927</v>
      </c>
      <c r="J152" s="49">
        <f t="shared" si="22"/>
        <v>7104254.71</v>
      </c>
      <c r="K152" s="49">
        <f t="shared" si="22"/>
        <v>33849590.503096841</v>
      </c>
    </row>
    <row r="154" spans="1:11" ht="18" customHeight="1">
      <c r="A154" s="6" t="s">
        <v>168</v>
      </c>
      <c r="B154" s="2" t="s">
        <v>28</v>
      </c>
      <c r="F154" s="64">
        <f>K152/F121</f>
        <v>0.15076989652340397</v>
      </c>
    </row>
    <row r="155" spans="1:11" ht="18" customHeight="1">
      <c r="A155" s="6" t="s">
        <v>169</v>
      </c>
      <c r="B155" s="2" t="s">
        <v>72</v>
      </c>
      <c r="F155" s="64">
        <f>K152/F127</f>
        <v>-4.8753960616011449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D2:H2"/>
    <mergeCell ref="B45:D45"/>
    <mergeCell ref="B46:D46"/>
    <mergeCell ref="B47:D47"/>
    <mergeCell ref="B34:D34"/>
    <mergeCell ref="C11:G11"/>
    <mergeCell ref="B41:C41"/>
    <mergeCell ref="B44:D44"/>
    <mergeCell ref="C5:G5"/>
    <mergeCell ref="C6:G6"/>
    <mergeCell ref="C7:G7"/>
    <mergeCell ref="C9:G9"/>
    <mergeCell ref="B135:D135"/>
    <mergeCell ref="B133:D133"/>
    <mergeCell ref="B13:H13"/>
    <mergeCell ref="B52:C52"/>
    <mergeCell ref="B90:C90"/>
    <mergeCell ref="B30:D30"/>
    <mergeCell ref="B53:D53"/>
    <mergeCell ref="B55:D55"/>
    <mergeCell ref="B57:D57"/>
    <mergeCell ref="B106:D106"/>
    <mergeCell ref="B96:D96"/>
    <mergeCell ref="B95:D95"/>
    <mergeCell ref="B56:D56"/>
    <mergeCell ref="B105:D105"/>
    <mergeCell ref="B59:D59"/>
    <mergeCell ref="B62:D62"/>
    <mergeCell ref="B94:D94"/>
    <mergeCell ref="B104:D104"/>
    <mergeCell ref="C10:G10"/>
    <mergeCell ref="B31:D31"/>
    <mergeCell ref="B134:D134"/>
    <mergeCell ref="B103:C103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65" zoomScaleNormal="50" zoomScaleSheetLayoutView="65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220</v>
      </c>
      <c r="D5" s="534"/>
      <c r="E5" s="534"/>
      <c r="F5" s="534"/>
      <c r="G5" s="535"/>
    </row>
    <row r="6" spans="1:11" ht="18" customHeight="1">
      <c r="B6" s="5" t="s">
        <v>3</v>
      </c>
      <c r="C6" s="643" t="s">
        <v>219</v>
      </c>
      <c r="D6" s="537"/>
      <c r="E6" s="537"/>
      <c r="F6" s="537"/>
      <c r="G6" s="538"/>
    </row>
    <row r="7" spans="1:11" ht="18" customHeight="1">
      <c r="B7" s="5" t="s">
        <v>4</v>
      </c>
      <c r="C7" s="654" t="s">
        <v>218</v>
      </c>
      <c r="D7" s="539"/>
      <c r="E7" s="539"/>
      <c r="F7" s="539"/>
      <c r="G7" s="540"/>
    </row>
    <row r="9" spans="1:11" ht="18" customHeight="1">
      <c r="B9" s="5" t="s">
        <v>1</v>
      </c>
      <c r="C9" s="533" t="s">
        <v>217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216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215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7886184</v>
      </c>
      <c r="I18" s="55">
        <v>0</v>
      </c>
      <c r="J18" s="15">
        <v>6743673</v>
      </c>
      <c r="K18" s="16">
        <f>(H18+I18)-J18</f>
        <v>1142511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1811</v>
      </c>
      <c r="G21" s="54">
        <v>5098</v>
      </c>
      <c r="H21" s="15">
        <v>110340</v>
      </c>
      <c r="I21" s="55">
        <f>H21*F$114</f>
        <v>87312.042000000001</v>
      </c>
      <c r="J21" s="15">
        <v>5198</v>
      </c>
      <c r="K21" s="16">
        <f t="shared" ref="K21:K34" si="0">(H21+I21)-J21</f>
        <v>192454.04200000002</v>
      </c>
    </row>
    <row r="22" spans="1:11" ht="18" customHeight="1">
      <c r="A22" s="5" t="s">
        <v>76</v>
      </c>
      <c r="B22" t="s">
        <v>6</v>
      </c>
      <c r="F22" s="54">
        <v>39</v>
      </c>
      <c r="G22" s="54">
        <v>148</v>
      </c>
      <c r="H22" s="15">
        <v>1479</v>
      </c>
      <c r="I22" s="55">
        <f>H22*F$114</f>
        <v>1170.3326999999999</v>
      </c>
      <c r="J22" s="15">
        <v>0</v>
      </c>
      <c r="K22" s="16">
        <f t="shared" si="0"/>
        <v>2649.3326999999999</v>
      </c>
    </row>
    <row r="23" spans="1:11" ht="18" customHeight="1">
      <c r="A23" s="5" t="s">
        <v>77</v>
      </c>
      <c r="B23" t="s">
        <v>43</v>
      </c>
      <c r="F23" s="54">
        <v>141</v>
      </c>
      <c r="G23" s="54">
        <v>11413</v>
      </c>
      <c r="H23" s="15">
        <v>5823</v>
      </c>
      <c r="I23" s="55">
        <f>H23*F$114</f>
        <v>4607.7398999999996</v>
      </c>
      <c r="J23" s="15">
        <v>300</v>
      </c>
      <c r="K23" s="16">
        <f t="shared" si="0"/>
        <v>10130.7399</v>
      </c>
    </row>
    <row r="24" spans="1:11" ht="18" customHeight="1">
      <c r="A24" s="5" t="s">
        <v>78</v>
      </c>
      <c r="B24" t="s">
        <v>44</v>
      </c>
      <c r="F24" s="54">
        <v>0</v>
      </c>
      <c r="G24" s="54">
        <v>0</v>
      </c>
      <c r="H24" s="15">
        <v>0</v>
      </c>
      <c r="I24" s="55">
        <v>0</v>
      </c>
      <c r="J24" s="15">
        <v>0</v>
      </c>
      <c r="K24" s="16">
        <f t="shared" si="0"/>
        <v>0</v>
      </c>
    </row>
    <row r="25" spans="1:11" ht="18" customHeight="1">
      <c r="A25" s="5" t="s">
        <v>79</v>
      </c>
      <c r="B25" t="s">
        <v>5</v>
      </c>
      <c r="F25" s="54">
        <v>236</v>
      </c>
      <c r="G25" s="54">
        <v>2681</v>
      </c>
      <c r="H25" s="15">
        <v>13930</v>
      </c>
      <c r="I25" s="55">
        <f t="shared" ref="I25:I34" si="1">H25*F$114</f>
        <v>11022.808999999999</v>
      </c>
      <c r="J25" s="15">
        <v>6766</v>
      </c>
      <c r="K25" s="16">
        <f t="shared" si="0"/>
        <v>18186.809000000001</v>
      </c>
    </row>
    <row r="26" spans="1:11" ht="18" customHeight="1">
      <c r="A26" s="5" t="s">
        <v>80</v>
      </c>
      <c r="B26" t="s">
        <v>45</v>
      </c>
      <c r="F26" s="54">
        <v>0</v>
      </c>
      <c r="G26" s="54">
        <v>0</v>
      </c>
      <c r="H26" s="15">
        <v>0</v>
      </c>
      <c r="I26" s="55">
        <f t="shared" si="1"/>
        <v>0</v>
      </c>
      <c r="J26" s="15">
        <v>0</v>
      </c>
      <c r="K26" s="16">
        <f t="shared" si="0"/>
        <v>0</v>
      </c>
    </row>
    <row r="27" spans="1:11" ht="18" customHeight="1">
      <c r="A27" s="5" t="s">
        <v>81</v>
      </c>
      <c r="B27" t="s">
        <v>46</v>
      </c>
      <c r="F27" s="54">
        <v>0</v>
      </c>
      <c r="G27" s="54">
        <v>0</v>
      </c>
      <c r="H27" s="15">
        <v>0</v>
      </c>
      <c r="I27" s="55">
        <f t="shared" si="1"/>
        <v>0</v>
      </c>
      <c r="J27" s="15">
        <v>0</v>
      </c>
      <c r="K27" s="16">
        <f t="shared" si="0"/>
        <v>0</v>
      </c>
    </row>
    <row r="28" spans="1:11" ht="18" customHeight="1">
      <c r="A28" s="5" t="s">
        <v>82</v>
      </c>
      <c r="B28" t="s">
        <v>47</v>
      </c>
      <c r="F28" s="54">
        <v>0</v>
      </c>
      <c r="G28" s="54">
        <v>0</v>
      </c>
      <c r="H28" s="15">
        <v>0</v>
      </c>
      <c r="I28" s="55">
        <f t="shared" si="1"/>
        <v>0</v>
      </c>
      <c r="J28" s="15">
        <v>0</v>
      </c>
      <c r="K28" s="16">
        <f t="shared" si="0"/>
        <v>0</v>
      </c>
    </row>
    <row r="29" spans="1:11" ht="18" customHeight="1">
      <c r="A29" s="5" t="s">
        <v>83</v>
      </c>
      <c r="B29" t="s">
        <v>48</v>
      </c>
      <c r="F29" s="54">
        <v>3793</v>
      </c>
      <c r="G29" s="54">
        <v>4114</v>
      </c>
      <c r="H29" s="15">
        <v>130765</v>
      </c>
      <c r="I29" s="55">
        <f t="shared" si="1"/>
        <v>103474.34450000001</v>
      </c>
      <c r="J29" s="15">
        <v>0</v>
      </c>
      <c r="K29" s="16">
        <f t="shared" si="0"/>
        <v>234239.34450000001</v>
      </c>
    </row>
    <row r="30" spans="1:11" ht="18" customHeight="1">
      <c r="A30" s="5" t="s">
        <v>84</v>
      </c>
      <c r="B30" s="547" t="s">
        <v>214</v>
      </c>
      <c r="C30" s="548"/>
      <c r="D30" s="549"/>
      <c r="F30" s="54">
        <v>0</v>
      </c>
      <c r="G30" s="54">
        <v>0</v>
      </c>
      <c r="H30" s="15">
        <v>113713</v>
      </c>
      <c r="I30" s="55">
        <f t="shared" si="1"/>
        <v>89981.096900000004</v>
      </c>
      <c r="J30" s="15">
        <v>0</v>
      </c>
      <c r="K30" s="16">
        <f t="shared" si="0"/>
        <v>203694.0969</v>
      </c>
    </row>
    <row r="31" spans="1:11" ht="18" customHeight="1">
      <c r="A31" s="5" t="s">
        <v>133</v>
      </c>
      <c r="B31" s="547"/>
      <c r="C31" s="548"/>
      <c r="D31" s="549"/>
      <c r="F31" s="54">
        <v>0</v>
      </c>
      <c r="G31" s="54">
        <v>0</v>
      </c>
      <c r="H31" s="15">
        <v>0</v>
      </c>
      <c r="I31" s="55">
        <f t="shared" si="1"/>
        <v>0</v>
      </c>
      <c r="J31" s="15">
        <v>0</v>
      </c>
      <c r="K31" s="16">
        <f t="shared" si="0"/>
        <v>0</v>
      </c>
    </row>
    <row r="32" spans="1:11" ht="18" customHeight="1">
      <c r="A32" s="5" t="s">
        <v>134</v>
      </c>
      <c r="B32" s="68"/>
      <c r="C32" s="69"/>
      <c r="D32" s="70"/>
      <c r="F32" s="54">
        <v>0</v>
      </c>
      <c r="G32" s="52">
        <v>0</v>
      </c>
      <c r="H32" s="15">
        <v>0</v>
      </c>
      <c r="I32" s="55">
        <f t="shared" si="1"/>
        <v>0</v>
      </c>
      <c r="J32" s="15">
        <v>0</v>
      </c>
      <c r="K32" s="16">
        <f t="shared" si="0"/>
        <v>0</v>
      </c>
    </row>
    <row r="33" spans="1:11" ht="18" customHeight="1">
      <c r="A33" s="5" t="s">
        <v>135</v>
      </c>
      <c r="B33" s="68"/>
      <c r="C33" s="69"/>
      <c r="D33" s="70"/>
      <c r="F33" s="54">
        <v>0</v>
      </c>
      <c r="G33" s="52">
        <v>0</v>
      </c>
      <c r="H33" s="15">
        <v>0</v>
      </c>
      <c r="I33" s="55">
        <f t="shared" si="1"/>
        <v>0</v>
      </c>
      <c r="J33" s="15">
        <v>0</v>
      </c>
      <c r="K33" s="16">
        <f t="shared" si="0"/>
        <v>0</v>
      </c>
    </row>
    <row r="34" spans="1:11" ht="18" customHeight="1">
      <c r="A34" s="5" t="s">
        <v>136</v>
      </c>
      <c r="B34" s="547"/>
      <c r="C34" s="548"/>
      <c r="D34" s="549"/>
      <c r="F34" s="54">
        <v>0</v>
      </c>
      <c r="G34" s="52">
        <v>0</v>
      </c>
      <c r="H34" s="15">
        <v>0</v>
      </c>
      <c r="I34" s="55">
        <f t="shared" si="1"/>
        <v>0</v>
      </c>
      <c r="J34" s="15">
        <v>0</v>
      </c>
      <c r="K34" s="16">
        <f t="shared" si="0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6020</v>
      </c>
      <c r="G36" s="18">
        <f t="shared" si="2"/>
        <v>23454</v>
      </c>
      <c r="H36" s="18">
        <f t="shared" si="2"/>
        <v>376050</v>
      </c>
      <c r="I36" s="16">
        <f t="shared" si="2"/>
        <v>297568.36499999999</v>
      </c>
      <c r="J36" s="16">
        <f t="shared" si="2"/>
        <v>12264</v>
      </c>
      <c r="K36" s="16">
        <f t="shared" si="2"/>
        <v>661354.36499999999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>
        <v>0</v>
      </c>
      <c r="G40" s="54">
        <v>0</v>
      </c>
      <c r="H40" s="15">
        <v>0</v>
      </c>
      <c r="I40" s="55">
        <v>0</v>
      </c>
      <c r="J40" s="15">
        <v>0</v>
      </c>
      <c r="K40" s="16">
        <f t="shared" ref="K40:K47" si="3">(H40+I40)-J40</f>
        <v>0</v>
      </c>
    </row>
    <row r="41" spans="1:11" ht="18" customHeight="1">
      <c r="A41" s="5" t="s">
        <v>88</v>
      </c>
      <c r="B41" s="550" t="s">
        <v>50</v>
      </c>
      <c r="C41" s="551"/>
      <c r="F41" s="54">
        <v>11767</v>
      </c>
      <c r="G41" s="54">
        <v>76335</v>
      </c>
      <c r="H41" s="15">
        <v>400893</v>
      </c>
      <c r="I41" s="55">
        <v>0</v>
      </c>
      <c r="J41" s="15">
        <v>0</v>
      </c>
      <c r="K41" s="16">
        <f t="shared" si="3"/>
        <v>400893</v>
      </c>
    </row>
    <row r="42" spans="1:11" ht="18" customHeight="1">
      <c r="A42" s="5" t="s">
        <v>89</v>
      </c>
      <c r="B42" s="1" t="s">
        <v>11</v>
      </c>
      <c r="F42" s="54">
        <v>9691</v>
      </c>
      <c r="G42" s="54">
        <v>28996</v>
      </c>
      <c r="H42" s="15">
        <v>330192</v>
      </c>
      <c r="I42" s="55">
        <v>0</v>
      </c>
      <c r="J42" s="15">
        <v>0</v>
      </c>
      <c r="K42" s="16">
        <f t="shared" si="3"/>
        <v>330192</v>
      </c>
    </row>
    <row r="43" spans="1:11" ht="18" customHeight="1">
      <c r="A43" s="5" t="s">
        <v>90</v>
      </c>
      <c r="B43" s="47" t="s">
        <v>10</v>
      </c>
      <c r="C43" s="10"/>
      <c r="D43" s="10"/>
      <c r="F43" s="54">
        <v>0</v>
      </c>
      <c r="G43" s="54">
        <v>0</v>
      </c>
      <c r="H43" s="15">
        <v>0</v>
      </c>
      <c r="I43" s="55">
        <v>0</v>
      </c>
      <c r="J43" s="15">
        <v>0</v>
      </c>
      <c r="K43" s="16">
        <f t="shared" si="3"/>
        <v>0</v>
      </c>
    </row>
    <row r="44" spans="1:11" ht="18" customHeight="1">
      <c r="A44" s="5" t="s">
        <v>91</v>
      </c>
      <c r="B44" s="547" t="s">
        <v>213</v>
      </c>
      <c r="C44" s="548"/>
      <c r="D44" s="549"/>
      <c r="F44" s="82">
        <v>12</v>
      </c>
      <c r="G44" s="82">
        <v>278</v>
      </c>
      <c r="H44" s="82">
        <v>601</v>
      </c>
      <c r="I44" s="83">
        <v>0</v>
      </c>
      <c r="J44" s="82">
        <v>0</v>
      </c>
      <c r="K44" s="81">
        <f t="shared" si="3"/>
        <v>601</v>
      </c>
    </row>
    <row r="45" spans="1:11" ht="18" customHeight="1">
      <c r="A45" s="5" t="s">
        <v>139</v>
      </c>
      <c r="B45" s="547"/>
      <c r="C45" s="548"/>
      <c r="D45" s="549"/>
      <c r="F45" s="54">
        <v>0</v>
      </c>
      <c r="G45" s="54">
        <v>0</v>
      </c>
      <c r="H45" s="15">
        <v>0</v>
      </c>
      <c r="I45" s="55">
        <v>0</v>
      </c>
      <c r="J45" s="15">
        <v>0</v>
      </c>
      <c r="K45" s="16">
        <f t="shared" si="3"/>
        <v>0</v>
      </c>
    </row>
    <row r="46" spans="1:11" ht="18" customHeight="1">
      <c r="A46" s="5" t="s">
        <v>140</v>
      </c>
      <c r="B46" s="547"/>
      <c r="C46" s="548"/>
      <c r="D46" s="549"/>
      <c r="F46" s="54">
        <v>0</v>
      </c>
      <c r="G46" s="54">
        <v>0</v>
      </c>
      <c r="H46" s="15">
        <v>0</v>
      </c>
      <c r="I46" s="55">
        <v>0</v>
      </c>
      <c r="J46" s="15">
        <v>0</v>
      </c>
      <c r="K46" s="16">
        <f t="shared" si="3"/>
        <v>0</v>
      </c>
    </row>
    <row r="47" spans="1:11" ht="18" customHeight="1">
      <c r="A47" s="5" t="s">
        <v>141</v>
      </c>
      <c r="B47" s="547"/>
      <c r="C47" s="548"/>
      <c r="D47" s="549"/>
      <c r="F47" s="54">
        <v>0</v>
      </c>
      <c r="G47" s="54">
        <v>0</v>
      </c>
      <c r="H47" s="15">
        <v>0</v>
      </c>
      <c r="I47" s="55">
        <v>0</v>
      </c>
      <c r="J47" s="15">
        <v>0</v>
      </c>
      <c r="K47" s="16">
        <f t="shared" si="3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21470</v>
      </c>
      <c r="G49" s="23">
        <f t="shared" si="4"/>
        <v>105609</v>
      </c>
      <c r="H49" s="16">
        <f t="shared" si="4"/>
        <v>731686</v>
      </c>
      <c r="I49" s="16">
        <f t="shared" si="4"/>
        <v>0</v>
      </c>
      <c r="J49" s="16">
        <f t="shared" si="4"/>
        <v>0</v>
      </c>
      <c r="K49" s="16">
        <f t="shared" si="4"/>
        <v>731686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 t="s">
        <v>212</v>
      </c>
      <c r="C53" s="559"/>
      <c r="D53" s="532"/>
      <c r="F53" s="54">
        <v>28623</v>
      </c>
      <c r="G53" s="54">
        <v>16627</v>
      </c>
      <c r="H53" s="15">
        <v>2355647</v>
      </c>
      <c r="I53" s="55">
        <f>H53*0.5953</f>
        <v>1402316.6591</v>
      </c>
      <c r="J53" s="15">
        <v>1724641</v>
      </c>
      <c r="K53" s="16">
        <f t="shared" ref="K53:K62" si="5">(H53+I53)-J53</f>
        <v>2033322.6590999998</v>
      </c>
    </row>
    <row r="54" spans="1:11" ht="18" customHeight="1">
      <c r="A54" s="5" t="s">
        <v>93</v>
      </c>
      <c r="B54" s="65" t="s">
        <v>211</v>
      </c>
      <c r="C54" s="66"/>
      <c r="D54" s="67"/>
      <c r="F54" s="54">
        <v>50</v>
      </c>
      <c r="G54" s="54">
        <v>180</v>
      </c>
      <c r="H54" s="15">
        <v>1310</v>
      </c>
      <c r="I54" s="55">
        <v>0</v>
      </c>
      <c r="J54" s="15">
        <v>0</v>
      </c>
      <c r="K54" s="16">
        <f t="shared" si="5"/>
        <v>1310</v>
      </c>
    </row>
    <row r="55" spans="1:11" ht="18" customHeight="1">
      <c r="A55" s="5" t="s">
        <v>94</v>
      </c>
      <c r="B55" s="530" t="s">
        <v>210</v>
      </c>
      <c r="C55" s="531"/>
      <c r="D55" s="532"/>
      <c r="F55" s="54">
        <v>33588</v>
      </c>
      <c r="G55" s="54">
        <v>13823</v>
      </c>
      <c r="H55" s="15">
        <v>1799776</v>
      </c>
      <c r="I55" s="55">
        <f>H55*0.5953</f>
        <v>1071406.6528</v>
      </c>
      <c r="J55" s="15">
        <v>1929909</v>
      </c>
      <c r="K55" s="16">
        <f t="shared" si="5"/>
        <v>941273.65280000027</v>
      </c>
    </row>
    <row r="56" spans="1:11" ht="18" customHeight="1">
      <c r="A56" s="5" t="s">
        <v>95</v>
      </c>
      <c r="B56" s="530" t="s">
        <v>209</v>
      </c>
      <c r="C56" s="531"/>
      <c r="D56" s="532"/>
      <c r="F56" s="54" t="s">
        <v>740</v>
      </c>
      <c r="G56" s="54">
        <v>4866</v>
      </c>
      <c r="H56" s="15">
        <v>6309458</v>
      </c>
      <c r="I56" s="55">
        <f>H56*F$114</f>
        <v>4992674.1154000005</v>
      </c>
      <c r="J56" s="15">
        <v>3742220</v>
      </c>
      <c r="K56" s="16">
        <f t="shared" si="5"/>
        <v>7559912.1154000014</v>
      </c>
    </row>
    <row r="57" spans="1:11" ht="18" customHeight="1">
      <c r="A57" s="5" t="s">
        <v>96</v>
      </c>
      <c r="B57" s="530" t="s">
        <v>208</v>
      </c>
      <c r="C57" s="531"/>
      <c r="D57" s="532"/>
      <c r="F57" s="54">
        <v>14209</v>
      </c>
      <c r="G57" s="54">
        <v>13007</v>
      </c>
      <c r="H57" s="15">
        <v>1649512</v>
      </c>
      <c r="I57" s="55">
        <f>H57*F$114</f>
        <v>1305258.8456000001</v>
      </c>
      <c r="J57" s="15">
        <v>1543802</v>
      </c>
      <c r="K57" s="16">
        <f t="shared" si="5"/>
        <v>1410968.8456000001</v>
      </c>
    </row>
    <row r="58" spans="1:11" ht="18" customHeight="1">
      <c r="A58" s="5" t="s">
        <v>97</v>
      </c>
      <c r="B58" s="65" t="s">
        <v>207</v>
      </c>
      <c r="C58" s="66"/>
      <c r="D58" s="67"/>
      <c r="F58" s="54">
        <v>23531</v>
      </c>
      <c r="G58" s="54">
        <v>9634</v>
      </c>
      <c r="H58" s="15">
        <v>2525767</v>
      </c>
      <c r="I58" s="55">
        <f>H58*0.5953</f>
        <v>1503589.0951</v>
      </c>
      <c r="J58" s="15">
        <v>2195027</v>
      </c>
      <c r="K58" s="16">
        <f t="shared" si="5"/>
        <v>1834329.0951</v>
      </c>
    </row>
    <row r="59" spans="1:11" ht="18" customHeight="1">
      <c r="A59" s="5" t="s">
        <v>98</v>
      </c>
      <c r="B59" s="530" t="s">
        <v>206</v>
      </c>
      <c r="C59" s="531"/>
      <c r="D59" s="532"/>
      <c r="F59" s="54">
        <v>42987</v>
      </c>
      <c r="G59" s="54">
        <v>15958</v>
      </c>
      <c r="H59" s="15">
        <v>3004184</v>
      </c>
      <c r="I59" s="55">
        <f>H59*0.5953</f>
        <v>1788390.7352000002</v>
      </c>
      <c r="J59" s="15">
        <v>2024425</v>
      </c>
      <c r="K59" s="16">
        <f t="shared" si="5"/>
        <v>2768149.7352</v>
      </c>
    </row>
    <row r="60" spans="1:11" ht="18" customHeight="1">
      <c r="A60" s="5" t="s">
        <v>99</v>
      </c>
      <c r="B60" s="65" t="s">
        <v>205</v>
      </c>
      <c r="C60" s="66"/>
      <c r="D60" s="67"/>
      <c r="F60" s="54">
        <v>45954</v>
      </c>
      <c r="G60" s="54">
        <v>15699</v>
      </c>
      <c r="H60" s="15">
        <v>3461190</v>
      </c>
      <c r="I60" s="55">
        <f>H60*0.5953</f>
        <v>2060446.4070000001</v>
      </c>
      <c r="J60" s="15">
        <v>2203089</v>
      </c>
      <c r="K60" s="16">
        <f t="shared" si="5"/>
        <v>3318547.4069999997</v>
      </c>
    </row>
    <row r="61" spans="1:11" ht="18" customHeight="1">
      <c r="A61" s="5" t="s">
        <v>100</v>
      </c>
      <c r="B61" s="65"/>
      <c r="C61" s="66"/>
      <c r="D61" s="67"/>
      <c r="F61" s="54">
        <v>0</v>
      </c>
      <c r="G61" s="54">
        <v>0</v>
      </c>
      <c r="H61" s="15">
        <v>0</v>
      </c>
      <c r="I61" s="55">
        <v>0</v>
      </c>
      <c r="J61" s="15">
        <v>0</v>
      </c>
      <c r="K61" s="16">
        <f t="shared" si="5"/>
        <v>0</v>
      </c>
    </row>
    <row r="62" spans="1:11" ht="18" customHeight="1">
      <c r="A62" s="5" t="s">
        <v>101</v>
      </c>
      <c r="B62" s="530"/>
      <c r="C62" s="531"/>
      <c r="D62" s="532"/>
      <c r="F62" s="54">
        <v>0</v>
      </c>
      <c r="G62" s="54">
        <v>0</v>
      </c>
      <c r="H62" s="15">
        <v>0</v>
      </c>
      <c r="I62" s="55">
        <v>0</v>
      </c>
      <c r="J62" s="15">
        <v>0</v>
      </c>
      <c r="K62" s="16">
        <f t="shared" si="5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6">SUM(F53:F62)</f>
        <v>188942</v>
      </c>
      <c r="G64" s="18">
        <f t="shared" si="6"/>
        <v>89794</v>
      </c>
      <c r="H64" s="16">
        <f t="shared" si="6"/>
        <v>21106844</v>
      </c>
      <c r="I64" s="16">
        <f t="shared" si="6"/>
        <v>14124082.510200001</v>
      </c>
      <c r="J64" s="16">
        <f t="shared" si="6"/>
        <v>15363113</v>
      </c>
      <c r="K64" s="16">
        <f t="shared" si="6"/>
        <v>19867813.510200001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>
        <v>0</v>
      </c>
      <c r="G68" s="51">
        <v>0</v>
      </c>
      <c r="H68" s="51">
        <v>0</v>
      </c>
      <c r="I68" s="55">
        <v>0</v>
      </c>
      <c r="J68" s="51">
        <v>0</v>
      </c>
      <c r="K68" s="16">
        <f>(H68+I68)-J68</f>
        <v>0</v>
      </c>
    </row>
    <row r="69" spans="1:11" ht="18" customHeight="1">
      <c r="A69" s="5" t="s">
        <v>104</v>
      </c>
      <c r="B69" s="1" t="s">
        <v>53</v>
      </c>
      <c r="F69" s="51">
        <v>0</v>
      </c>
      <c r="G69" s="51">
        <v>0</v>
      </c>
      <c r="H69" s="51">
        <v>0</v>
      </c>
      <c r="I69" s="55">
        <v>0</v>
      </c>
      <c r="J69" s="51">
        <v>0</v>
      </c>
      <c r="K69" s="16">
        <f>(H69+I69)-J69</f>
        <v>0</v>
      </c>
    </row>
    <row r="70" spans="1:11" ht="18" customHeight="1">
      <c r="A70" s="5" t="s">
        <v>178</v>
      </c>
      <c r="B70" s="65"/>
      <c r="C70" s="66"/>
      <c r="D70" s="67"/>
      <c r="E70" s="2"/>
      <c r="F70" s="35">
        <v>0</v>
      </c>
      <c r="G70" s="35">
        <v>0</v>
      </c>
      <c r="H70" s="36">
        <v>0</v>
      </c>
      <c r="I70" s="55">
        <v>0</v>
      </c>
      <c r="J70" s="36">
        <v>0</v>
      </c>
      <c r="K70" s="16">
        <f>(H70+I70)-J70</f>
        <v>0</v>
      </c>
    </row>
    <row r="71" spans="1:11" ht="18" customHeight="1">
      <c r="A71" s="5" t="s">
        <v>179</v>
      </c>
      <c r="B71" s="65"/>
      <c r="C71" s="66"/>
      <c r="D71" s="67"/>
      <c r="E71" s="2"/>
      <c r="F71" s="35">
        <v>0</v>
      </c>
      <c r="G71" s="35">
        <v>0</v>
      </c>
      <c r="H71" s="36">
        <v>0</v>
      </c>
      <c r="I71" s="55">
        <v>0</v>
      </c>
      <c r="J71" s="36">
        <v>0</v>
      </c>
      <c r="K71" s="16">
        <f>(H71+I71)-J71</f>
        <v>0</v>
      </c>
    </row>
    <row r="72" spans="1:11" ht="18" customHeight="1">
      <c r="A72" s="5" t="s">
        <v>180</v>
      </c>
      <c r="B72" s="71"/>
      <c r="C72" s="72"/>
      <c r="D72" s="34"/>
      <c r="E72" s="2"/>
      <c r="F72" s="54">
        <v>0</v>
      </c>
      <c r="G72" s="54">
        <v>0</v>
      </c>
      <c r="H72" s="15">
        <v>0</v>
      </c>
      <c r="I72" s="55">
        <v>0</v>
      </c>
      <c r="J72" s="15">
        <v>0</v>
      </c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7">SUM(F68:F72)</f>
        <v>0</v>
      </c>
      <c r="G74" s="21">
        <f t="shared" si="7"/>
        <v>0</v>
      </c>
      <c r="H74" s="21">
        <f t="shared" si="7"/>
        <v>0</v>
      </c>
      <c r="I74" s="53">
        <f t="shared" si="7"/>
        <v>0</v>
      </c>
      <c r="J74" s="21">
        <f t="shared" si="7"/>
        <v>0</v>
      </c>
      <c r="K74" s="56">
        <f t="shared" si="7"/>
        <v>0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>
        <v>0</v>
      </c>
      <c r="G77" s="54">
        <v>0</v>
      </c>
      <c r="H77" s="15">
        <v>79227</v>
      </c>
      <c r="I77" s="55">
        <v>0</v>
      </c>
      <c r="J77" s="15">
        <v>0</v>
      </c>
      <c r="K77" s="16">
        <f>(H77+I77)-J77</f>
        <v>79227</v>
      </c>
    </row>
    <row r="78" spans="1:11" ht="18" customHeight="1">
      <c r="A78" s="5" t="s">
        <v>108</v>
      </c>
      <c r="B78" s="1" t="s">
        <v>55</v>
      </c>
      <c r="F78" s="54">
        <v>0</v>
      </c>
      <c r="G78" s="54">
        <v>0</v>
      </c>
      <c r="H78" s="15">
        <v>0</v>
      </c>
      <c r="I78" s="55">
        <v>0</v>
      </c>
      <c r="J78" s="15">
        <v>0</v>
      </c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>
        <v>3291</v>
      </c>
      <c r="G79" s="54">
        <v>12901</v>
      </c>
      <c r="H79" s="15">
        <v>389881</v>
      </c>
      <c r="I79" s="55">
        <v>0</v>
      </c>
      <c r="J79" s="15">
        <v>65506</v>
      </c>
      <c r="K79" s="16">
        <f>(H79+I79)-J79</f>
        <v>324375</v>
      </c>
    </row>
    <row r="80" spans="1:11" ht="18" customHeight="1">
      <c r="A80" s="5" t="s">
        <v>110</v>
      </c>
      <c r="B80" s="1" t="s">
        <v>56</v>
      </c>
      <c r="F80" s="54">
        <v>51</v>
      </c>
      <c r="G80" s="54">
        <v>0</v>
      </c>
      <c r="H80" s="15">
        <v>1218</v>
      </c>
      <c r="I80" s="55">
        <v>0</v>
      </c>
      <c r="J80" s="15">
        <v>0</v>
      </c>
      <c r="K80" s="16">
        <f>(H80+I80)-J80</f>
        <v>1218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8">SUM(F77:F80)</f>
        <v>3342</v>
      </c>
      <c r="G82" s="21">
        <f t="shared" si="8"/>
        <v>12901</v>
      </c>
      <c r="H82" s="56">
        <f t="shared" si="8"/>
        <v>470326</v>
      </c>
      <c r="I82" s="56">
        <f t="shared" si="8"/>
        <v>0</v>
      </c>
      <c r="J82" s="56">
        <f t="shared" si="8"/>
        <v>65506</v>
      </c>
      <c r="K82" s="56">
        <f t="shared" si="8"/>
        <v>404820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>
        <v>0</v>
      </c>
      <c r="G86" s="54">
        <v>0</v>
      </c>
      <c r="H86" s="15">
        <v>0</v>
      </c>
      <c r="I86" s="55">
        <f>H86*F$114</f>
        <v>0</v>
      </c>
      <c r="J86" s="15">
        <v>0</v>
      </c>
      <c r="K86" s="16">
        <f t="shared" ref="K86:K96" si="9">(H86+I86)-J86</f>
        <v>0</v>
      </c>
    </row>
    <row r="87" spans="1:11" ht="18" customHeight="1">
      <c r="A87" s="5" t="s">
        <v>114</v>
      </c>
      <c r="B87" s="1" t="s">
        <v>14</v>
      </c>
      <c r="F87" s="54">
        <v>0</v>
      </c>
      <c r="G87" s="54">
        <v>0</v>
      </c>
      <c r="H87" s="15">
        <v>0</v>
      </c>
      <c r="I87" s="55">
        <v>0</v>
      </c>
      <c r="J87" s="15">
        <v>0</v>
      </c>
      <c r="K87" s="16">
        <f t="shared" si="9"/>
        <v>0</v>
      </c>
    </row>
    <row r="88" spans="1:11" ht="18" customHeight="1">
      <c r="A88" s="5" t="s">
        <v>115</v>
      </c>
      <c r="B88" s="1" t="s">
        <v>116</v>
      </c>
      <c r="F88" s="54">
        <v>384</v>
      </c>
      <c r="G88" s="54">
        <v>0</v>
      </c>
      <c r="H88" s="15">
        <v>77116</v>
      </c>
      <c r="I88" s="55">
        <f>H88*F$114</f>
        <v>61021.890800000001</v>
      </c>
      <c r="J88" s="15">
        <v>0</v>
      </c>
      <c r="K88" s="16">
        <f t="shared" si="9"/>
        <v>138137.89079999999</v>
      </c>
    </row>
    <row r="89" spans="1:11" ht="18" customHeight="1">
      <c r="A89" s="5" t="s">
        <v>117</v>
      </c>
      <c r="B89" s="1" t="s">
        <v>58</v>
      </c>
      <c r="F89" s="54">
        <v>0</v>
      </c>
      <c r="G89" s="54">
        <v>0</v>
      </c>
      <c r="H89" s="15">
        <v>0</v>
      </c>
      <c r="I89" s="55">
        <v>0</v>
      </c>
      <c r="J89" s="15">
        <v>0</v>
      </c>
      <c r="K89" s="16">
        <f t="shared" si="9"/>
        <v>0</v>
      </c>
    </row>
    <row r="90" spans="1:11" ht="18" customHeight="1">
      <c r="A90" s="5" t="s">
        <v>118</v>
      </c>
      <c r="B90" s="550" t="s">
        <v>59</v>
      </c>
      <c r="C90" s="551"/>
      <c r="F90" s="54">
        <v>0</v>
      </c>
      <c r="G90" s="54">
        <v>0</v>
      </c>
      <c r="H90" s="15">
        <v>0</v>
      </c>
      <c r="I90" s="55">
        <v>0</v>
      </c>
      <c r="J90" s="15">
        <v>0</v>
      </c>
      <c r="K90" s="16">
        <f t="shared" si="9"/>
        <v>0</v>
      </c>
    </row>
    <row r="91" spans="1:11" ht="18" customHeight="1">
      <c r="A91" s="5" t="s">
        <v>119</v>
      </c>
      <c r="B91" s="1" t="s">
        <v>60</v>
      </c>
      <c r="F91" s="54">
        <v>1810</v>
      </c>
      <c r="G91" s="54">
        <v>0</v>
      </c>
      <c r="H91" s="15">
        <v>72900</v>
      </c>
      <c r="I91" s="55">
        <f>H91*F$114</f>
        <v>57685.77</v>
      </c>
      <c r="J91" s="15">
        <v>0</v>
      </c>
      <c r="K91" s="16">
        <f t="shared" si="9"/>
        <v>130585.76999999999</v>
      </c>
    </row>
    <row r="92" spans="1:11" ht="18" customHeight="1">
      <c r="A92" s="5" t="s">
        <v>120</v>
      </c>
      <c r="B92" s="1" t="s">
        <v>121</v>
      </c>
      <c r="F92" s="38">
        <v>0</v>
      </c>
      <c r="G92" s="38">
        <v>0</v>
      </c>
      <c r="H92" s="39">
        <v>0</v>
      </c>
      <c r="I92" s="55">
        <v>0</v>
      </c>
      <c r="J92" s="39">
        <v>0</v>
      </c>
      <c r="K92" s="16">
        <f t="shared" si="9"/>
        <v>0</v>
      </c>
    </row>
    <row r="93" spans="1:11" ht="18" customHeight="1">
      <c r="A93" s="5" t="s">
        <v>122</v>
      </c>
      <c r="B93" s="1" t="s">
        <v>123</v>
      </c>
      <c r="F93" s="54">
        <v>2664</v>
      </c>
      <c r="G93" s="54">
        <v>0</v>
      </c>
      <c r="H93" s="15">
        <v>483320</v>
      </c>
      <c r="I93" s="55">
        <f>H93*F$114</f>
        <v>382451.11599999998</v>
      </c>
      <c r="J93" s="15">
        <v>0</v>
      </c>
      <c r="K93" s="16">
        <f t="shared" si="9"/>
        <v>865771.11599999992</v>
      </c>
    </row>
    <row r="94" spans="1:11" ht="18" customHeight="1">
      <c r="A94" s="5" t="s">
        <v>124</v>
      </c>
      <c r="B94" s="530"/>
      <c r="C94" s="531"/>
      <c r="D94" s="532"/>
      <c r="F94" s="54">
        <v>0</v>
      </c>
      <c r="G94" s="54">
        <v>0</v>
      </c>
      <c r="H94" s="15">
        <v>0</v>
      </c>
      <c r="I94" s="55">
        <f>H94*F$114</f>
        <v>0</v>
      </c>
      <c r="J94" s="15">
        <v>0</v>
      </c>
      <c r="K94" s="16">
        <f t="shared" si="9"/>
        <v>0</v>
      </c>
    </row>
    <row r="95" spans="1:11" ht="18" customHeight="1">
      <c r="A95" s="5" t="s">
        <v>125</v>
      </c>
      <c r="B95" s="530"/>
      <c r="C95" s="531"/>
      <c r="D95" s="532"/>
      <c r="F95" s="54">
        <v>0</v>
      </c>
      <c r="G95" s="54">
        <v>0</v>
      </c>
      <c r="H95" s="15">
        <v>0</v>
      </c>
      <c r="I95" s="55">
        <f>H95*F$114</f>
        <v>0</v>
      </c>
      <c r="J95" s="15">
        <v>0</v>
      </c>
      <c r="K95" s="16">
        <f t="shared" si="9"/>
        <v>0</v>
      </c>
    </row>
    <row r="96" spans="1:11" ht="18" customHeight="1">
      <c r="A96" s="5" t="s">
        <v>126</v>
      </c>
      <c r="B96" s="530"/>
      <c r="C96" s="531"/>
      <c r="D96" s="532"/>
      <c r="F96" s="54">
        <v>0</v>
      </c>
      <c r="G96" s="54">
        <v>0</v>
      </c>
      <c r="H96" s="15">
        <v>0</v>
      </c>
      <c r="I96" s="55">
        <f>H96*F$114</f>
        <v>0</v>
      </c>
      <c r="J96" s="15">
        <v>0</v>
      </c>
      <c r="K96" s="16">
        <f t="shared" si="9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0">SUM(F86:F96)</f>
        <v>4858</v>
      </c>
      <c r="G98" s="18">
        <f t="shared" si="10"/>
        <v>0</v>
      </c>
      <c r="H98" s="18">
        <f t="shared" si="10"/>
        <v>633336</v>
      </c>
      <c r="I98" s="18">
        <f t="shared" si="10"/>
        <v>501158.77679999999</v>
      </c>
      <c r="J98" s="18">
        <f t="shared" si="10"/>
        <v>0</v>
      </c>
      <c r="K98" s="18">
        <f t="shared" si="10"/>
        <v>1134494.7767999999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>
        <v>231</v>
      </c>
      <c r="G102" s="54">
        <v>0</v>
      </c>
      <c r="H102" s="15">
        <v>9101</v>
      </c>
      <c r="I102" s="55">
        <f>H102*F$114</f>
        <v>7201.6212999999998</v>
      </c>
      <c r="J102" s="15">
        <v>0</v>
      </c>
      <c r="K102" s="16">
        <f>(H102+I102)-J102</f>
        <v>16302.621299999999</v>
      </c>
    </row>
    <row r="103" spans="1:11" ht="18" customHeight="1">
      <c r="A103" s="5" t="s">
        <v>132</v>
      </c>
      <c r="B103" s="550" t="s">
        <v>62</v>
      </c>
      <c r="C103" s="550"/>
      <c r="F103" s="54">
        <v>74</v>
      </c>
      <c r="G103" s="54">
        <v>0</v>
      </c>
      <c r="H103" s="15">
        <v>3669</v>
      </c>
      <c r="I103" s="55">
        <f>H103*F$114</f>
        <v>2903.2797</v>
      </c>
      <c r="J103" s="15">
        <v>0</v>
      </c>
      <c r="K103" s="16">
        <f>(H103+I103)-J103</f>
        <v>6572.2797</v>
      </c>
    </row>
    <row r="104" spans="1:11" ht="18" customHeight="1">
      <c r="A104" s="5" t="s">
        <v>128</v>
      </c>
      <c r="B104" s="530" t="s">
        <v>204</v>
      </c>
      <c r="C104" s="531"/>
      <c r="D104" s="532"/>
      <c r="F104" s="54">
        <v>0</v>
      </c>
      <c r="G104" s="54">
        <v>0</v>
      </c>
      <c r="H104" s="15">
        <v>1330</v>
      </c>
      <c r="I104" s="55">
        <f>H104*F$114</f>
        <v>1052.4290000000001</v>
      </c>
      <c r="J104" s="15">
        <v>0</v>
      </c>
      <c r="K104" s="16">
        <f>(H104+I104)-J104</f>
        <v>2382.4290000000001</v>
      </c>
    </row>
    <row r="105" spans="1:11" ht="18" customHeight="1">
      <c r="A105" s="5" t="s">
        <v>127</v>
      </c>
      <c r="B105" s="530"/>
      <c r="C105" s="531"/>
      <c r="D105" s="532"/>
      <c r="F105" s="54">
        <v>0</v>
      </c>
      <c r="G105" s="54">
        <v>0</v>
      </c>
      <c r="H105" s="15">
        <v>0</v>
      </c>
      <c r="I105" s="55">
        <f>H105*F$114</f>
        <v>0</v>
      </c>
      <c r="J105" s="15">
        <v>0</v>
      </c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>
        <v>0</v>
      </c>
      <c r="G106" s="54">
        <v>0</v>
      </c>
      <c r="H106" s="15">
        <v>0</v>
      </c>
      <c r="I106" s="55">
        <v>0</v>
      </c>
      <c r="J106" s="15">
        <v>0</v>
      </c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1">SUM(F102:F106)</f>
        <v>305</v>
      </c>
      <c r="G108" s="18">
        <f t="shared" si="11"/>
        <v>0</v>
      </c>
      <c r="H108" s="16">
        <f t="shared" si="11"/>
        <v>14100</v>
      </c>
      <c r="I108" s="16">
        <f t="shared" si="11"/>
        <v>11157.33</v>
      </c>
      <c r="J108" s="16">
        <f t="shared" si="11"/>
        <v>0</v>
      </c>
      <c r="K108" s="16">
        <f t="shared" si="11"/>
        <v>25257.329999999998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15948853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0.7913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289333642</v>
      </c>
    </row>
    <row r="118" spans="1:6" ht="18" customHeight="1">
      <c r="A118" s="5" t="s">
        <v>173</v>
      </c>
      <c r="B118" t="s">
        <v>18</v>
      </c>
      <c r="F118" s="15">
        <v>5686454</v>
      </c>
    </row>
    <row r="119" spans="1:6" ht="18" customHeight="1">
      <c r="A119" s="5" t="s">
        <v>174</v>
      </c>
      <c r="B119" s="2" t="s">
        <v>19</v>
      </c>
      <c r="F119" s="56">
        <f>SUM(F117:F118)</f>
        <v>295020096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304887833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v>-9867737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8144045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v>-1723692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2">SUM(F131:F135)</f>
        <v>0</v>
      </c>
      <c r="G137" s="18">
        <f t="shared" si="12"/>
        <v>0</v>
      </c>
      <c r="H137" s="16">
        <f t="shared" si="12"/>
        <v>0</v>
      </c>
      <c r="I137" s="16">
        <f t="shared" si="12"/>
        <v>0</v>
      </c>
      <c r="J137" s="16">
        <f t="shared" si="12"/>
        <v>0</v>
      </c>
      <c r="K137" s="16">
        <f t="shared" si="12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3">F36</f>
        <v>6020</v>
      </c>
      <c r="G141" s="41">
        <f t="shared" si="13"/>
        <v>23454</v>
      </c>
      <c r="H141" s="41">
        <f t="shared" si="13"/>
        <v>376050</v>
      </c>
      <c r="I141" s="41">
        <f t="shared" si="13"/>
        <v>297568.36499999999</v>
      </c>
      <c r="J141" s="41">
        <f t="shared" si="13"/>
        <v>12264</v>
      </c>
      <c r="K141" s="41">
        <f t="shared" si="13"/>
        <v>661354.36499999999</v>
      </c>
    </row>
    <row r="142" spans="1:11" ht="18" customHeight="1">
      <c r="A142" s="5" t="s">
        <v>142</v>
      </c>
      <c r="B142" s="2" t="s">
        <v>65</v>
      </c>
      <c r="F142" s="41">
        <f t="shared" ref="F142:K142" si="14">F49</f>
        <v>21470</v>
      </c>
      <c r="G142" s="41">
        <f t="shared" si="14"/>
        <v>105609</v>
      </c>
      <c r="H142" s="41">
        <f t="shared" si="14"/>
        <v>731686</v>
      </c>
      <c r="I142" s="41">
        <f t="shared" si="14"/>
        <v>0</v>
      </c>
      <c r="J142" s="41">
        <f t="shared" si="14"/>
        <v>0</v>
      </c>
      <c r="K142" s="41">
        <f t="shared" si="14"/>
        <v>731686</v>
      </c>
    </row>
    <row r="143" spans="1:11" ht="18" customHeight="1">
      <c r="A143" s="5" t="s">
        <v>144</v>
      </c>
      <c r="B143" s="2" t="s">
        <v>66</v>
      </c>
      <c r="F143" s="41">
        <f t="shared" ref="F143:K143" si="15">F64</f>
        <v>188942</v>
      </c>
      <c r="G143" s="41">
        <f t="shared" si="15"/>
        <v>89794</v>
      </c>
      <c r="H143" s="41">
        <f t="shared" si="15"/>
        <v>21106844</v>
      </c>
      <c r="I143" s="41">
        <f t="shared" si="15"/>
        <v>14124082.510200001</v>
      </c>
      <c r="J143" s="41">
        <f t="shared" si="15"/>
        <v>15363113</v>
      </c>
      <c r="K143" s="41">
        <f t="shared" si="15"/>
        <v>19867813.510200001</v>
      </c>
    </row>
    <row r="144" spans="1:11" ht="18" customHeight="1">
      <c r="A144" s="5" t="s">
        <v>146</v>
      </c>
      <c r="B144" s="2" t="s">
        <v>67</v>
      </c>
      <c r="F144" s="41">
        <f t="shared" ref="F144:K144" si="16">F74</f>
        <v>0</v>
      </c>
      <c r="G144" s="41">
        <f t="shared" si="16"/>
        <v>0</v>
      </c>
      <c r="H144" s="41">
        <f t="shared" si="16"/>
        <v>0</v>
      </c>
      <c r="I144" s="41">
        <f t="shared" si="16"/>
        <v>0</v>
      </c>
      <c r="J144" s="41">
        <f t="shared" si="16"/>
        <v>0</v>
      </c>
      <c r="K144" s="41">
        <f t="shared" si="16"/>
        <v>0</v>
      </c>
    </row>
    <row r="145" spans="1:11" ht="18" customHeight="1">
      <c r="A145" s="5" t="s">
        <v>148</v>
      </c>
      <c r="B145" s="2" t="s">
        <v>68</v>
      </c>
      <c r="F145" s="41">
        <f t="shared" ref="F145:K145" si="17">F82</f>
        <v>3342</v>
      </c>
      <c r="G145" s="41">
        <f t="shared" si="17"/>
        <v>12901</v>
      </c>
      <c r="H145" s="41">
        <f t="shared" si="17"/>
        <v>470326</v>
      </c>
      <c r="I145" s="41">
        <f t="shared" si="17"/>
        <v>0</v>
      </c>
      <c r="J145" s="41">
        <f t="shared" si="17"/>
        <v>65506</v>
      </c>
      <c r="K145" s="41">
        <f t="shared" si="17"/>
        <v>404820</v>
      </c>
    </row>
    <row r="146" spans="1:11" ht="18" customHeight="1">
      <c r="A146" s="5" t="s">
        <v>150</v>
      </c>
      <c r="B146" s="2" t="s">
        <v>69</v>
      </c>
      <c r="F146" s="41">
        <f t="shared" ref="F146:K146" si="18">F98</f>
        <v>4858</v>
      </c>
      <c r="G146" s="41">
        <f t="shared" si="18"/>
        <v>0</v>
      </c>
      <c r="H146" s="41">
        <f t="shared" si="18"/>
        <v>633336</v>
      </c>
      <c r="I146" s="41">
        <f t="shared" si="18"/>
        <v>501158.77679999999</v>
      </c>
      <c r="J146" s="41">
        <f t="shared" si="18"/>
        <v>0</v>
      </c>
      <c r="K146" s="41">
        <f t="shared" si="18"/>
        <v>1134494.7767999999</v>
      </c>
    </row>
    <row r="147" spans="1:11" ht="18" customHeight="1">
      <c r="A147" s="5" t="s">
        <v>153</v>
      </c>
      <c r="B147" s="2" t="s">
        <v>61</v>
      </c>
      <c r="F147" s="18">
        <f t="shared" ref="F147:K147" si="19">F108</f>
        <v>305</v>
      </c>
      <c r="G147" s="18">
        <f t="shared" si="19"/>
        <v>0</v>
      </c>
      <c r="H147" s="18">
        <f t="shared" si="19"/>
        <v>14100</v>
      </c>
      <c r="I147" s="18">
        <f t="shared" si="19"/>
        <v>11157.33</v>
      </c>
      <c r="J147" s="18">
        <f t="shared" si="19"/>
        <v>0</v>
      </c>
      <c r="K147" s="18">
        <f t="shared" si="19"/>
        <v>25257.329999999998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15948853</v>
      </c>
    </row>
    <row r="149" spans="1:11" ht="18" customHeight="1">
      <c r="A149" s="5" t="s">
        <v>163</v>
      </c>
      <c r="B149" s="2" t="s">
        <v>71</v>
      </c>
      <c r="F149" s="18">
        <f t="shared" ref="F149:K149" si="20">F137</f>
        <v>0</v>
      </c>
      <c r="G149" s="18">
        <f t="shared" si="20"/>
        <v>0</v>
      </c>
      <c r="H149" s="18">
        <f t="shared" si="20"/>
        <v>0</v>
      </c>
      <c r="I149" s="18">
        <f t="shared" si="20"/>
        <v>0</v>
      </c>
      <c r="J149" s="18">
        <f t="shared" si="20"/>
        <v>0</v>
      </c>
      <c r="K149" s="18">
        <f t="shared" si="20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7886184</v>
      </c>
      <c r="I150" s="18">
        <f>I18</f>
        <v>0</v>
      </c>
      <c r="J150" s="18">
        <f>J18</f>
        <v>6743673</v>
      </c>
      <c r="K150" s="18">
        <f>K18</f>
        <v>1142511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1">SUM(F141:F150)</f>
        <v>224937</v>
      </c>
      <c r="G152" s="49">
        <f t="shared" si="21"/>
        <v>231758</v>
      </c>
      <c r="H152" s="49">
        <f t="shared" si="21"/>
        <v>31218526</v>
      </c>
      <c r="I152" s="49">
        <f t="shared" si="21"/>
        <v>14933966.982000001</v>
      </c>
      <c r="J152" s="49">
        <f t="shared" si="21"/>
        <v>22184556</v>
      </c>
      <c r="K152" s="49">
        <f t="shared" si="21"/>
        <v>39916789.981999993</v>
      </c>
    </row>
    <row r="154" spans="1:11" ht="18" customHeight="1">
      <c r="A154" s="6" t="s">
        <v>168</v>
      </c>
      <c r="B154" s="2" t="s">
        <v>28</v>
      </c>
      <c r="F154" s="64">
        <f>K152/F121</f>
        <v>0.13092286953280943</v>
      </c>
    </row>
    <row r="155" spans="1:11" ht="18" customHeight="1">
      <c r="A155" s="6" t="s">
        <v>169</v>
      </c>
      <c r="B155" s="2" t="s">
        <v>72</v>
      </c>
      <c r="F155" s="64">
        <f>K152/F127</f>
        <v>-23.157727704253425</v>
      </c>
      <c r="G155" s="2"/>
    </row>
    <row r="156" spans="1:11" ht="18" customHeight="1">
      <c r="G156" s="2"/>
    </row>
  </sheetData>
  <sheetProtection password="EF72" sheet="1"/>
  <mergeCells count="34">
    <mergeCell ref="D2:H2"/>
    <mergeCell ref="B45:D45"/>
    <mergeCell ref="B46:D46"/>
    <mergeCell ref="B47:D47"/>
    <mergeCell ref="B34:D34"/>
    <mergeCell ref="C11:G11"/>
    <mergeCell ref="B41:C41"/>
    <mergeCell ref="B44:D44"/>
    <mergeCell ref="B13:H13"/>
    <mergeCell ref="C5:G5"/>
    <mergeCell ref="C6:G6"/>
    <mergeCell ref="C7:G7"/>
    <mergeCell ref="C9:G9"/>
    <mergeCell ref="C10:G10"/>
    <mergeCell ref="B30:D30"/>
    <mergeCell ref="B62:D62"/>
    <mergeCell ref="B31:D31"/>
    <mergeCell ref="B103:C103"/>
    <mergeCell ref="B96:D96"/>
    <mergeCell ref="B95:D95"/>
    <mergeCell ref="B57:D57"/>
    <mergeCell ref="B94:D94"/>
    <mergeCell ref="B52:C52"/>
    <mergeCell ref="B90:C90"/>
    <mergeCell ref="B53:D53"/>
    <mergeCell ref="B55:D55"/>
    <mergeCell ref="B56:D56"/>
    <mergeCell ref="B59:D59"/>
    <mergeCell ref="B134:D134"/>
    <mergeCell ref="B135:D135"/>
    <mergeCell ref="B133:D133"/>
    <mergeCell ref="B104:D104"/>
    <mergeCell ref="B105:D105"/>
    <mergeCell ref="B106:D106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80" zoomScaleNormal="50" zoomScaleSheetLayoutView="8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262</v>
      </c>
      <c r="D5" s="534"/>
      <c r="E5" s="534"/>
      <c r="F5" s="534"/>
      <c r="G5" s="535"/>
    </row>
    <row r="6" spans="1:11" ht="18" customHeight="1">
      <c r="B6" s="5" t="s">
        <v>3</v>
      </c>
      <c r="C6" s="655">
        <v>43</v>
      </c>
      <c r="D6" s="656"/>
      <c r="E6" s="656"/>
      <c r="F6" s="656"/>
      <c r="G6" s="657"/>
    </row>
    <row r="7" spans="1:11" ht="18" customHeight="1">
      <c r="B7" s="5" t="s">
        <v>4</v>
      </c>
      <c r="C7" s="640">
        <v>2753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261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260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259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10001926</v>
      </c>
      <c r="I18" s="55">
        <v>0</v>
      </c>
      <c r="J18" s="15">
        <v>8552898</v>
      </c>
      <c r="K18" s="16">
        <f>(H18+I18)-J18</f>
        <v>1449028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623</v>
      </c>
      <c r="G21" s="54">
        <v>4997</v>
      </c>
      <c r="H21" s="15">
        <v>60131</v>
      </c>
      <c r="I21" s="55">
        <f t="shared" ref="I21:I34" si="0">H21*F$114</f>
        <v>30059.4869</v>
      </c>
      <c r="J21" s="15"/>
      <c r="K21" s="16">
        <f t="shared" ref="K21:K34" si="1">(H21+I21)-J21</f>
        <v>90190.486900000004</v>
      </c>
    </row>
    <row r="22" spans="1:11" ht="18" customHeight="1">
      <c r="A22" s="5" t="s">
        <v>76</v>
      </c>
      <c r="B22" t="s">
        <v>6</v>
      </c>
      <c r="F22" s="54">
        <v>79</v>
      </c>
      <c r="G22" s="54">
        <v>576</v>
      </c>
      <c r="H22" s="15">
        <v>0</v>
      </c>
      <c r="I22" s="55">
        <f t="shared" si="0"/>
        <v>0</v>
      </c>
      <c r="J22" s="15"/>
      <c r="K22" s="16">
        <f t="shared" si="1"/>
        <v>0</v>
      </c>
    </row>
    <row r="23" spans="1:11" ht="18" customHeight="1">
      <c r="A23" s="5" t="s">
        <v>77</v>
      </c>
      <c r="B23" t="s">
        <v>43</v>
      </c>
      <c r="F23" s="54">
        <v>0</v>
      </c>
      <c r="G23" s="54">
        <v>585</v>
      </c>
      <c r="H23" s="15">
        <v>23403</v>
      </c>
      <c r="I23" s="55">
        <f t="shared" si="0"/>
        <v>11699.1597</v>
      </c>
      <c r="J23" s="15">
        <v>15330</v>
      </c>
      <c r="K23" s="16">
        <f t="shared" si="1"/>
        <v>19772.159700000004</v>
      </c>
    </row>
    <row r="24" spans="1:11" ht="18" customHeight="1">
      <c r="A24" s="5" t="s">
        <v>78</v>
      </c>
      <c r="B24" t="s">
        <v>44</v>
      </c>
      <c r="F24" s="54">
        <v>0</v>
      </c>
      <c r="G24" s="54">
        <v>0</v>
      </c>
      <c r="H24" s="15">
        <v>0</v>
      </c>
      <c r="I24" s="55">
        <f t="shared" si="0"/>
        <v>0</v>
      </c>
      <c r="J24" s="15"/>
      <c r="K24" s="16">
        <f t="shared" si="1"/>
        <v>0</v>
      </c>
    </row>
    <row r="25" spans="1:11" ht="18" customHeight="1">
      <c r="A25" s="5" t="s">
        <v>79</v>
      </c>
      <c r="B25" t="s">
        <v>5</v>
      </c>
      <c r="F25" s="54">
        <v>144</v>
      </c>
      <c r="G25" s="54">
        <v>894</v>
      </c>
      <c r="H25" s="15">
        <v>617768</v>
      </c>
      <c r="I25" s="55">
        <f t="shared" si="0"/>
        <v>308822.22320000001</v>
      </c>
      <c r="J25" s="15"/>
      <c r="K25" s="16">
        <f t="shared" si="1"/>
        <v>926590.22320000001</v>
      </c>
    </row>
    <row r="26" spans="1:11" ht="18" customHeight="1">
      <c r="A26" s="5" t="s">
        <v>80</v>
      </c>
      <c r="B26" t="s">
        <v>45</v>
      </c>
      <c r="F26" s="54">
        <v>44</v>
      </c>
      <c r="G26" s="54">
        <v>418</v>
      </c>
      <c r="H26" s="15">
        <v>6928</v>
      </c>
      <c r="I26" s="55">
        <f t="shared" si="0"/>
        <v>3463.3072000000002</v>
      </c>
      <c r="J26" s="15"/>
      <c r="K26" s="16">
        <f t="shared" si="1"/>
        <v>10391.307199999999</v>
      </c>
    </row>
    <row r="27" spans="1:11" ht="18" customHeight="1">
      <c r="A27" s="5" t="s">
        <v>81</v>
      </c>
      <c r="B27" t="s">
        <v>46</v>
      </c>
      <c r="F27" s="54">
        <v>0</v>
      </c>
      <c r="G27" s="54">
        <v>0</v>
      </c>
      <c r="H27" s="15">
        <v>0</v>
      </c>
      <c r="I27" s="55">
        <f t="shared" si="0"/>
        <v>0</v>
      </c>
      <c r="J27" s="15"/>
      <c r="K27" s="16">
        <f t="shared" si="1"/>
        <v>0</v>
      </c>
    </row>
    <row r="28" spans="1:11" ht="18" customHeight="1">
      <c r="A28" s="5" t="s">
        <v>82</v>
      </c>
      <c r="B28" t="s">
        <v>47</v>
      </c>
      <c r="F28" s="54">
        <v>0</v>
      </c>
      <c r="G28" s="54">
        <v>0</v>
      </c>
      <c r="H28" s="15">
        <v>0</v>
      </c>
      <c r="I28" s="55">
        <f t="shared" si="0"/>
        <v>0</v>
      </c>
      <c r="J28" s="15"/>
      <c r="K28" s="16">
        <f t="shared" si="1"/>
        <v>0</v>
      </c>
    </row>
    <row r="29" spans="1:11" ht="18" customHeight="1">
      <c r="A29" s="5" t="s">
        <v>83</v>
      </c>
      <c r="B29" t="s">
        <v>48</v>
      </c>
      <c r="F29" s="54">
        <v>2080</v>
      </c>
      <c r="G29" s="54">
        <v>821</v>
      </c>
      <c r="H29" s="15">
        <v>586699</v>
      </c>
      <c r="I29" s="55">
        <f t="shared" si="0"/>
        <v>293290.83010000002</v>
      </c>
      <c r="J29" s="15"/>
      <c r="K29" s="16">
        <f t="shared" si="1"/>
        <v>879989.83010000002</v>
      </c>
    </row>
    <row r="30" spans="1:11" ht="18" customHeight="1">
      <c r="A30" s="5" t="s">
        <v>84</v>
      </c>
      <c r="B30" s="547" t="s">
        <v>258</v>
      </c>
      <c r="C30" s="548"/>
      <c r="D30" s="549"/>
      <c r="F30" s="54">
        <v>1373</v>
      </c>
      <c r="G30" s="54">
        <v>212</v>
      </c>
      <c r="H30" s="15">
        <v>79051</v>
      </c>
      <c r="I30" s="55">
        <f t="shared" si="0"/>
        <v>39517.594900000004</v>
      </c>
      <c r="J30" s="15">
        <v>4936</v>
      </c>
      <c r="K30" s="16">
        <f t="shared" si="1"/>
        <v>113632.5949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 t="shared" si="0"/>
        <v>0</v>
      </c>
      <c r="J31" s="15"/>
      <c r="K31" s="16">
        <f t="shared" si="1"/>
        <v>0</v>
      </c>
    </row>
    <row r="32" spans="1:11" ht="18" customHeight="1">
      <c r="A32" s="5" t="s">
        <v>134</v>
      </c>
      <c r="B32" s="68"/>
      <c r="C32" s="69"/>
      <c r="D32" s="70"/>
      <c r="F32" s="54"/>
      <c r="G32" s="52" t="s">
        <v>85</v>
      </c>
      <c r="H32" s="15"/>
      <c r="I32" s="55">
        <f t="shared" si="0"/>
        <v>0</v>
      </c>
      <c r="J32" s="15"/>
      <c r="K32" s="16">
        <f t="shared" si="1"/>
        <v>0</v>
      </c>
    </row>
    <row r="33" spans="1:11" ht="18" customHeight="1">
      <c r="A33" s="5" t="s">
        <v>135</v>
      </c>
      <c r="B33" s="68"/>
      <c r="C33" s="69"/>
      <c r="D33" s="70"/>
      <c r="F33" s="54"/>
      <c r="G33" s="52" t="s">
        <v>85</v>
      </c>
      <c r="H33" s="15"/>
      <c r="I33" s="55">
        <f t="shared" si="0"/>
        <v>0</v>
      </c>
      <c r="J33" s="15"/>
      <c r="K33" s="16">
        <f t="shared" si="1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 t="shared" si="0"/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4343</v>
      </c>
      <c r="G36" s="18">
        <f t="shared" si="2"/>
        <v>8503</v>
      </c>
      <c r="H36" s="18">
        <f t="shared" si="2"/>
        <v>1373980</v>
      </c>
      <c r="I36" s="16">
        <f t="shared" si="2"/>
        <v>686852.60200000007</v>
      </c>
      <c r="J36" s="16">
        <f t="shared" si="2"/>
        <v>20266</v>
      </c>
      <c r="K36" s="16">
        <f t="shared" si="2"/>
        <v>2040566.602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>
        <v>0</v>
      </c>
      <c r="G40" s="54">
        <v>43</v>
      </c>
      <c r="H40" s="15">
        <v>382001</v>
      </c>
      <c r="I40" s="55">
        <f>H40*F$114</f>
        <v>190962.29990000001</v>
      </c>
      <c r="J40" s="15"/>
      <c r="K40" s="16">
        <f t="shared" ref="K40:K47" si="3">(H40+I40)-J40</f>
        <v>572963.29989999998</v>
      </c>
    </row>
    <row r="41" spans="1:11" ht="18" customHeight="1">
      <c r="A41" s="5" t="s">
        <v>88</v>
      </c>
      <c r="B41" s="550" t="s">
        <v>50</v>
      </c>
      <c r="C41" s="551"/>
      <c r="F41" s="54">
        <v>75499</v>
      </c>
      <c r="G41" s="54">
        <v>685</v>
      </c>
      <c r="H41" s="15">
        <v>3052099</v>
      </c>
      <c r="I41" s="55">
        <f>H41*F$114</f>
        <v>1525744.2901000001</v>
      </c>
      <c r="J41" s="15"/>
      <c r="K41" s="16">
        <f t="shared" si="3"/>
        <v>4577843.2900999999</v>
      </c>
    </row>
    <row r="42" spans="1:11" ht="18" customHeight="1">
      <c r="A42" s="5" t="s">
        <v>89</v>
      </c>
      <c r="B42" s="1" t="s">
        <v>11</v>
      </c>
      <c r="F42" s="54">
        <v>196</v>
      </c>
      <c r="G42" s="54">
        <v>1</v>
      </c>
      <c r="H42" s="15">
        <v>7877</v>
      </c>
      <c r="I42" s="55">
        <f>H42*F$114</f>
        <v>3937.7123000000001</v>
      </c>
      <c r="J42" s="15"/>
      <c r="K42" s="16">
        <f t="shared" si="3"/>
        <v>11814.712299999999</v>
      </c>
    </row>
    <row r="43" spans="1:11" ht="18" customHeight="1">
      <c r="A43" s="5" t="s">
        <v>90</v>
      </c>
      <c r="B43" s="47" t="s">
        <v>10</v>
      </c>
      <c r="C43" s="10"/>
      <c r="D43" s="10"/>
      <c r="F43" s="54">
        <v>0</v>
      </c>
      <c r="G43" s="54">
        <v>0</v>
      </c>
      <c r="H43" s="15">
        <v>0</v>
      </c>
      <c r="I43" s="55">
        <v>0</v>
      </c>
      <c r="J43" s="15"/>
      <c r="K43" s="16">
        <f t="shared" si="3"/>
        <v>0</v>
      </c>
    </row>
    <row r="44" spans="1:11" ht="18" customHeight="1">
      <c r="A44" s="5" t="s">
        <v>91</v>
      </c>
      <c r="B44" s="547"/>
      <c r="C44" s="548"/>
      <c r="D44" s="549"/>
      <c r="F44" s="82"/>
      <c r="G44" s="82"/>
      <c r="H44" s="82"/>
      <c r="I44" s="83">
        <v>0</v>
      </c>
      <c r="J44" s="82"/>
      <c r="K44" s="81">
        <f t="shared" si="3"/>
        <v>0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3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3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3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75695</v>
      </c>
      <c r="G49" s="23">
        <f t="shared" si="4"/>
        <v>729</v>
      </c>
      <c r="H49" s="16">
        <f t="shared" si="4"/>
        <v>3441977</v>
      </c>
      <c r="I49" s="16">
        <f t="shared" si="4"/>
        <v>1720644.3023000001</v>
      </c>
      <c r="J49" s="16">
        <f t="shared" si="4"/>
        <v>0</v>
      </c>
      <c r="K49" s="16">
        <f t="shared" si="4"/>
        <v>5162621.3022999996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 t="s">
        <v>257</v>
      </c>
      <c r="C53" s="559"/>
      <c r="D53" s="532"/>
      <c r="F53" s="54">
        <v>80993</v>
      </c>
      <c r="G53" s="54">
        <v>4043</v>
      </c>
      <c r="H53" s="15">
        <v>5221130</v>
      </c>
      <c r="I53" s="55">
        <v>2291287</v>
      </c>
      <c r="J53" s="15">
        <v>6369107</v>
      </c>
      <c r="K53" s="16">
        <f t="shared" ref="K53:K62" si="5">(H53+I53)-J53</f>
        <v>1143310</v>
      </c>
    </row>
    <row r="54" spans="1:11" ht="18" customHeight="1">
      <c r="A54" s="5" t="s">
        <v>93</v>
      </c>
      <c r="B54" s="65" t="s">
        <v>256</v>
      </c>
      <c r="C54" s="66"/>
      <c r="D54" s="67"/>
      <c r="F54" s="54"/>
      <c r="G54" s="54"/>
      <c r="H54" s="15">
        <v>3119565</v>
      </c>
      <c r="I54" s="55">
        <f>H54*F$114</f>
        <v>1559470.5435000001</v>
      </c>
      <c r="J54" s="15"/>
      <c r="K54" s="16">
        <f t="shared" si="5"/>
        <v>4679035.5435000006</v>
      </c>
    </row>
    <row r="55" spans="1:11" ht="18" customHeight="1">
      <c r="A55" s="5" t="s">
        <v>94</v>
      </c>
      <c r="B55" s="530"/>
      <c r="C55" s="531"/>
      <c r="D55" s="532"/>
      <c r="F55" s="54"/>
      <c r="G55" s="54"/>
      <c r="H55" s="15"/>
      <c r="I55" s="55">
        <v>0</v>
      </c>
      <c r="J55" s="15"/>
      <c r="K55" s="16">
        <f t="shared" si="5"/>
        <v>0</v>
      </c>
    </row>
    <row r="56" spans="1:11" ht="18" customHeight="1">
      <c r="A56" s="5" t="s">
        <v>95</v>
      </c>
      <c r="B56" s="530"/>
      <c r="C56" s="531"/>
      <c r="D56" s="532"/>
      <c r="F56" s="54" t="s">
        <v>740</v>
      </c>
      <c r="G56" s="54"/>
      <c r="H56" s="15"/>
      <c r="I56" s="55">
        <v>0</v>
      </c>
      <c r="J56" s="15"/>
      <c r="K56" s="16">
        <f t="shared" si="5"/>
        <v>0</v>
      </c>
    </row>
    <row r="57" spans="1:11" ht="18" customHeight="1">
      <c r="A57" s="5" t="s">
        <v>96</v>
      </c>
      <c r="B57" s="530"/>
      <c r="C57" s="531"/>
      <c r="D57" s="532"/>
      <c r="F57" s="54"/>
      <c r="G57" s="54"/>
      <c r="H57" s="15"/>
      <c r="I57" s="55">
        <v>0</v>
      </c>
      <c r="J57" s="15"/>
      <c r="K57" s="16">
        <f t="shared" si="5"/>
        <v>0</v>
      </c>
    </row>
    <row r="58" spans="1:11" ht="18" customHeight="1">
      <c r="A58" s="5" t="s">
        <v>97</v>
      </c>
      <c r="B58" s="65"/>
      <c r="C58" s="66"/>
      <c r="D58" s="67"/>
      <c r="F58" s="54"/>
      <c r="G58" s="54"/>
      <c r="H58" s="15"/>
      <c r="I58" s="55">
        <v>0</v>
      </c>
      <c r="J58" s="15"/>
      <c r="K58" s="16">
        <f t="shared" si="5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v>0</v>
      </c>
      <c r="J59" s="15"/>
      <c r="K59" s="16">
        <f t="shared" si="5"/>
        <v>0</v>
      </c>
    </row>
    <row r="60" spans="1:11" ht="18" customHeight="1">
      <c r="A60" s="5" t="s">
        <v>99</v>
      </c>
      <c r="B60" s="65"/>
      <c r="C60" s="66"/>
      <c r="D60" s="67"/>
      <c r="F60" s="54"/>
      <c r="G60" s="54"/>
      <c r="H60" s="15"/>
      <c r="I60" s="55">
        <v>0</v>
      </c>
      <c r="J60" s="15"/>
      <c r="K60" s="16">
        <f t="shared" si="5"/>
        <v>0</v>
      </c>
    </row>
    <row r="61" spans="1:11" ht="18" customHeight="1">
      <c r="A61" s="5" t="s">
        <v>100</v>
      </c>
      <c r="B61" s="65"/>
      <c r="C61" s="66"/>
      <c r="D61" s="67"/>
      <c r="F61" s="54"/>
      <c r="G61" s="54"/>
      <c r="H61" s="15"/>
      <c r="I61" s="55">
        <v>0</v>
      </c>
      <c r="J61" s="15"/>
      <c r="K61" s="16">
        <f t="shared" si="5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5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6">SUM(F53:F62)</f>
        <v>80993</v>
      </c>
      <c r="G64" s="18">
        <f t="shared" si="6"/>
        <v>4043</v>
      </c>
      <c r="H64" s="16">
        <f t="shared" si="6"/>
        <v>8340695</v>
      </c>
      <c r="I64" s="16">
        <f t="shared" si="6"/>
        <v>3850757.5435000001</v>
      </c>
      <c r="J64" s="16">
        <f t="shared" si="6"/>
        <v>6369107</v>
      </c>
      <c r="K64" s="16">
        <f t="shared" si="6"/>
        <v>5822345.5435000006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>
        <v>1490</v>
      </c>
      <c r="G68" s="51">
        <v>1210</v>
      </c>
      <c r="H68" s="90">
        <v>65643</v>
      </c>
      <c r="I68" s="55">
        <f>H68*F$114</f>
        <v>32814.935700000002</v>
      </c>
      <c r="J68" s="51"/>
      <c r="K68" s="16">
        <f>(H68+I68)-J68</f>
        <v>98457.935700000002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65"/>
      <c r="C70" s="66"/>
      <c r="D70" s="67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65"/>
      <c r="C71" s="66"/>
      <c r="D71" s="67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71"/>
      <c r="C72" s="72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7">SUM(F68:F72)</f>
        <v>1490</v>
      </c>
      <c r="G74" s="21">
        <f t="shared" si="7"/>
        <v>1210</v>
      </c>
      <c r="H74" s="21">
        <f t="shared" si="7"/>
        <v>65643</v>
      </c>
      <c r="I74" s="53">
        <f t="shared" si="7"/>
        <v>32814.935700000002</v>
      </c>
      <c r="J74" s="21">
        <f t="shared" si="7"/>
        <v>0</v>
      </c>
      <c r="K74" s="56">
        <f t="shared" si="7"/>
        <v>98457.935700000002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>
        <v>0</v>
      </c>
      <c r="G77" s="54">
        <v>0</v>
      </c>
      <c r="H77" s="15">
        <v>47262</v>
      </c>
      <c r="I77" s="55">
        <f>H77*F$114</f>
        <v>23626.273799999999</v>
      </c>
      <c r="J77" s="15"/>
      <c r="K77" s="16">
        <f>(H77+I77)-J77</f>
        <v>70888.273799999995</v>
      </c>
    </row>
    <row r="78" spans="1:11" ht="18" customHeight="1">
      <c r="A78" s="5" t="s">
        <v>108</v>
      </c>
      <c r="B78" s="1" t="s">
        <v>55</v>
      </c>
      <c r="F78" s="54">
        <v>0</v>
      </c>
      <c r="G78" s="54">
        <v>0</v>
      </c>
      <c r="H78" s="15">
        <v>0</v>
      </c>
      <c r="I78" s="55"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>
        <v>3605</v>
      </c>
      <c r="G79" s="54">
        <v>971</v>
      </c>
      <c r="H79" s="15">
        <v>215440</v>
      </c>
      <c r="I79" s="55">
        <f>H79*F$114</f>
        <v>107698.45600000001</v>
      </c>
      <c r="J79" s="15"/>
      <c r="K79" s="16">
        <f>(H79+I79)-J79</f>
        <v>323138.45600000001</v>
      </c>
    </row>
    <row r="80" spans="1:11" ht="18" customHeight="1">
      <c r="A80" s="5" t="s">
        <v>110</v>
      </c>
      <c r="B80" s="1" t="s">
        <v>56</v>
      </c>
      <c r="F80" s="54">
        <v>12</v>
      </c>
      <c r="G80" s="54"/>
      <c r="H80" s="15">
        <v>283</v>
      </c>
      <c r="I80" s="55">
        <v>0</v>
      </c>
      <c r="J80" s="15"/>
      <c r="K80" s="16">
        <f>(H80+I80)-J80</f>
        <v>283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8">SUM(F77:F80)</f>
        <v>3617</v>
      </c>
      <c r="G82" s="21">
        <f t="shared" si="8"/>
        <v>971</v>
      </c>
      <c r="H82" s="56">
        <f t="shared" si="8"/>
        <v>262985</v>
      </c>
      <c r="I82" s="56">
        <f t="shared" si="8"/>
        <v>131324.7298</v>
      </c>
      <c r="J82" s="56">
        <f t="shared" si="8"/>
        <v>0</v>
      </c>
      <c r="K82" s="56">
        <f t="shared" si="8"/>
        <v>394309.72979999997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>
        <v>0</v>
      </c>
      <c r="G86" s="54">
        <v>0</v>
      </c>
      <c r="H86" s="15">
        <v>0</v>
      </c>
      <c r="I86" s="55">
        <f t="shared" ref="I86:I96" si="9">H86*F$114</f>
        <v>0</v>
      </c>
      <c r="J86" s="15"/>
      <c r="K86" s="16">
        <f t="shared" ref="K86:K96" si="10">(H86+I86)-J86</f>
        <v>0</v>
      </c>
    </row>
    <row r="87" spans="1:11" ht="18" customHeight="1">
      <c r="A87" s="5" t="s">
        <v>114</v>
      </c>
      <c r="B87" s="1" t="s">
        <v>14</v>
      </c>
      <c r="F87" s="54">
        <v>0</v>
      </c>
      <c r="G87" s="54">
        <v>0</v>
      </c>
      <c r="H87" s="15">
        <v>1545</v>
      </c>
      <c r="I87" s="55">
        <f t="shared" si="9"/>
        <v>772.34550000000002</v>
      </c>
      <c r="J87" s="15"/>
      <c r="K87" s="16">
        <f t="shared" si="10"/>
        <v>2317.3454999999999</v>
      </c>
    </row>
    <row r="88" spans="1:11" ht="18" customHeight="1">
      <c r="A88" s="5" t="s">
        <v>115</v>
      </c>
      <c r="B88" s="1" t="s">
        <v>116</v>
      </c>
      <c r="F88" s="54"/>
      <c r="G88" s="54"/>
      <c r="H88" s="15">
        <v>5902</v>
      </c>
      <c r="I88" s="55">
        <f t="shared" si="9"/>
        <v>2950.4097999999999</v>
      </c>
      <c r="J88" s="15"/>
      <c r="K88" s="16">
        <f t="shared" si="10"/>
        <v>8852.4097999999994</v>
      </c>
    </row>
    <row r="89" spans="1:11" ht="18" customHeight="1">
      <c r="A89" s="5" t="s">
        <v>117</v>
      </c>
      <c r="B89" s="1" t="s">
        <v>58</v>
      </c>
      <c r="F89" s="54"/>
      <c r="G89" s="54"/>
      <c r="H89" s="15">
        <v>0</v>
      </c>
      <c r="I89" s="55">
        <f t="shared" si="9"/>
        <v>0</v>
      </c>
      <c r="J89" s="15"/>
      <c r="K89" s="16">
        <f t="shared" si="10"/>
        <v>0</v>
      </c>
    </row>
    <row r="90" spans="1:11" ht="18" customHeight="1">
      <c r="A90" s="5" t="s">
        <v>118</v>
      </c>
      <c r="B90" s="550" t="s">
        <v>59</v>
      </c>
      <c r="C90" s="551"/>
      <c r="F90" s="54">
        <v>12</v>
      </c>
      <c r="G90" s="54">
        <v>40</v>
      </c>
      <c r="H90" s="15">
        <v>1028</v>
      </c>
      <c r="I90" s="55">
        <f t="shared" si="9"/>
        <v>513.8972</v>
      </c>
      <c r="J90" s="15"/>
      <c r="K90" s="16">
        <f t="shared" si="10"/>
        <v>1541.8971999999999</v>
      </c>
    </row>
    <row r="91" spans="1:11" ht="18" customHeight="1">
      <c r="A91" s="5" t="s">
        <v>119</v>
      </c>
      <c r="B91" s="1" t="s">
        <v>60</v>
      </c>
      <c r="F91" s="54"/>
      <c r="G91" s="54"/>
      <c r="H91" s="15"/>
      <c r="I91" s="55">
        <f t="shared" si="9"/>
        <v>0</v>
      </c>
      <c r="J91" s="15"/>
      <c r="K91" s="16">
        <f t="shared" si="10"/>
        <v>0</v>
      </c>
    </row>
    <row r="92" spans="1:11" ht="18" customHeight="1">
      <c r="A92" s="5" t="s">
        <v>120</v>
      </c>
      <c r="B92" s="1" t="s">
        <v>121</v>
      </c>
      <c r="F92" s="38"/>
      <c r="G92" s="38"/>
      <c r="H92" s="39"/>
      <c r="I92" s="55">
        <f t="shared" si="9"/>
        <v>0</v>
      </c>
      <c r="J92" s="39"/>
      <c r="K92" s="16">
        <f t="shared" si="10"/>
        <v>0</v>
      </c>
    </row>
    <row r="93" spans="1:11" ht="18" customHeight="1">
      <c r="A93" s="5" t="s">
        <v>122</v>
      </c>
      <c r="B93" s="1" t="s">
        <v>123</v>
      </c>
      <c r="F93" s="54">
        <v>45</v>
      </c>
      <c r="G93" s="54">
        <v>61</v>
      </c>
      <c r="H93" s="15">
        <v>252</v>
      </c>
      <c r="I93" s="55">
        <f t="shared" si="9"/>
        <v>125.9748</v>
      </c>
      <c r="J93" s="15"/>
      <c r="K93" s="16">
        <f t="shared" si="10"/>
        <v>377.97480000000002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f t="shared" si="9"/>
        <v>0</v>
      </c>
      <c r="J94" s="15"/>
      <c r="K94" s="16">
        <f t="shared" si="10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9"/>
        <v>0</v>
      </c>
      <c r="J95" s="15"/>
      <c r="K95" s="16">
        <f t="shared" si="10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9"/>
        <v>0</v>
      </c>
      <c r="J96" s="15"/>
      <c r="K96" s="16">
        <f t="shared" si="10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1">SUM(F86:F96)</f>
        <v>57</v>
      </c>
      <c r="G98" s="18">
        <f t="shared" si="11"/>
        <v>101</v>
      </c>
      <c r="H98" s="18">
        <f t="shared" si="11"/>
        <v>8727</v>
      </c>
      <c r="I98" s="18">
        <f t="shared" si="11"/>
        <v>4362.6273000000001</v>
      </c>
      <c r="J98" s="18">
        <f t="shared" si="11"/>
        <v>0</v>
      </c>
      <c r="K98" s="18">
        <f t="shared" si="11"/>
        <v>13089.627299999998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>
        <v>95</v>
      </c>
      <c r="G102" s="54"/>
      <c r="H102" s="15">
        <v>4420.3500000000004</v>
      </c>
      <c r="I102" s="55">
        <f>H102*F$114</f>
        <v>2209.7329650000001</v>
      </c>
      <c r="J102" s="15"/>
      <c r="K102" s="16">
        <f>(H102+I102)-J102</f>
        <v>6630.0829650000005</v>
      </c>
    </row>
    <row r="103" spans="1:11" ht="18" customHeight="1">
      <c r="A103" s="5" t="s">
        <v>132</v>
      </c>
      <c r="B103" s="550" t="s">
        <v>62</v>
      </c>
      <c r="C103" s="550"/>
      <c r="F103" s="54"/>
      <c r="G103" s="54"/>
      <c r="H103" s="15"/>
      <c r="I103" s="55">
        <f>H103*F$114</f>
        <v>0</v>
      </c>
      <c r="J103" s="15"/>
      <c r="K103" s="16">
        <f>(H103+I103)-J103</f>
        <v>0</v>
      </c>
    </row>
    <row r="104" spans="1:11" ht="18" customHeight="1">
      <c r="A104" s="5" t="s">
        <v>128</v>
      </c>
      <c r="B104" s="530"/>
      <c r="C104" s="531"/>
      <c r="D104" s="532"/>
      <c r="F104" s="54"/>
      <c r="G104" s="54"/>
      <c r="H104" s="15"/>
      <c r="I104" s="55">
        <f>H104*F$114</f>
        <v>0</v>
      </c>
      <c r="J104" s="15"/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2">SUM(F102:F106)</f>
        <v>95</v>
      </c>
      <c r="G108" s="18">
        <f t="shared" si="12"/>
        <v>0</v>
      </c>
      <c r="H108" s="16">
        <f t="shared" si="12"/>
        <v>4420.3500000000004</v>
      </c>
      <c r="I108" s="16">
        <f t="shared" si="12"/>
        <v>2209.7329650000001</v>
      </c>
      <c r="J108" s="16">
        <f t="shared" si="12"/>
        <v>0</v>
      </c>
      <c r="K108" s="16">
        <f t="shared" si="12"/>
        <v>6630.0829650000005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21373237.960000001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0.49990000000000001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336093000</v>
      </c>
    </row>
    <row r="118" spans="1:6" ht="18" customHeight="1">
      <c r="A118" s="5" t="s">
        <v>173</v>
      </c>
      <c r="B118" t="s">
        <v>18</v>
      </c>
      <c r="F118" s="15">
        <v>3482000</v>
      </c>
    </row>
    <row r="119" spans="1:6" ht="18" customHeight="1">
      <c r="A119" s="5" t="s">
        <v>174</v>
      </c>
      <c r="B119" s="2" t="s">
        <v>19</v>
      </c>
      <c r="F119" s="56">
        <f>SUM(F117:F118)</f>
        <v>339575000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325035000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v>14540000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-3288000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v>11252000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>
        <v>7889</v>
      </c>
      <c r="I132" s="55">
        <f>H132*F$114</f>
        <v>3943.7111</v>
      </c>
      <c r="J132" s="15"/>
      <c r="K132" s="16">
        <f>(H132+I132)-J132</f>
        <v>11832.7111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3">SUM(F131:F135)</f>
        <v>0</v>
      </c>
      <c r="G137" s="18">
        <f t="shared" si="13"/>
        <v>0</v>
      </c>
      <c r="H137" s="16">
        <f t="shared" si="13"/>
        <v>7889</v>
      </c>
      <c r="I137" s="16">
        <f t="shared" si="13"/>
        <v>3943.7111</v>
      </c>
      <c r="J137" s="16">
        <f t="shared" si="13"/>
        <v>0</v>
      </c>
      <c r="K137" s="16">
        <f t="shared" si="13"/>
        <v>11832.7111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4">F36</f>
        <v>4343</v>
      </c>
      <c r="G141" s="41">
        <f t="shared" si="14"/>
        <v>8503</v>
      </c>
      <c r="H141" s="41">
        <f t="shared" si="14"/>
        <v>1373980</v>
      </c>
      <c r="I141" s="41">
        <f t="shared" si="14"/>
        <v>686852.60200000007</v>
      </c>
      <c r="J141" s="41">
        <f t="shared" si="14"/>
        <v>20266</v>
      </c>
      <c r="K141" s="41">
        <f t="shared" si="14"/>
        <v>2040566.602</v>
      </c>
    </row>
    <row r="142" spans="1:11" ht="18" customHeight="1">
      <c r="A142" s="5" t="s">
        <v>142</v>
      </c>
      <c r="B142" s="2" t="s">
        <v>65</v>
      </c>
      <c r="F142" s="41">
        <f t="shared" ref="F142:K142" si="15">F49</f>
        <v>75695</v>
      </c>
      <c r="G142" s="41">
        <f t="shared" si="15"/>
        <v>729</v>
      </c>
      <c r="H142" s="41">
        <f t="shared" si="15"/>
        <v>3441977</v>
      </c>
      <c r="I142" s="41">
        <f t="shared" si="15"/>
        <v>1720644.3023000001</v>
      </c>
      <c r="J142" s="41">
        <f t="shared" si="15"/>
        <v>0</v>
      </c>
      <c r="K142" s="41">
        <f t="shared" si="15"/>
        <v>5162621.3022999996</v>
      </c>
    </row>
    <row r="143" spans="1:11" ht="18" customHeight="1">
      <c r="A143" s="5" t="s">
        <v>144</v>
      </c>
      <c r="B143" s="2" t="s">
        <v>66</v>
      </c>
      <c r="F143" s="41">
        <f t="shared" ref="F143:K143" si="16">F64</f>
        <v>80993</v>
      </c>
      <c r="G143" s="41">
        <f t="shared" si="16"/>
        <v>4043</v>
      </c>
      <c r="H143" s="41">
        <f t="shared" si="16"/>
        <v>8340695</v>
      </c>
      <c r="I143" s="41">
        <f t="shared" si="16"/>
        <v>3850757.5435000001</v>
      </c>
      <c r="J143" s="41">
        <f t="shared" si="16"/>
        <v>6369107</v>
      </c>
      <c r="K143" s="41">
        <f t="shared" si="16"/>
        <v>5822345.5435000006</v>
      </c>
    </row>
    <row r="144" spans="1:11" ht="18" customHeight="1">
      <c r="A144" s="5" t="s">
        <v>146</v>
      </c>
      <c r="B144" s="2" t="s">
        <v>67</v>
      </c>
      <c r="F144" s="41">
        <f t="shared" ref="F144:K144" si="17">F74</f>
        <v>1490</v>
      </c>
      <c r="G144" s="41">
        <f t="shared" si="17"/>
        <v>1210</v>
      </c>
      <c r="H144" s="41">
        <f t="shared" si="17"/>
        <v>65643</v>
      </c>
      <c r="I144" s="41">
        <f t="shared" si="17"/>
        <v>32814.935700000002</v>
      </c>
      <c r="J144" s="41">
        <f t="shared" si="17"/>
        <v>0</v>
      </c>
      <c r="K144" s="41">
        <f t="shared" si="17"/>
        <v>98457.935700000002</v>
      </c>
    </row>
    <row r="145" spans="1:11" ht="18" customHeight="1">
      <c r="A145" s="5" t="s">
        <v>148</v>
      </c>
      <c r="B145" s="2" t="s">
        <v>68</v>
      </c>
      <c r="F145" s="41">
        <f t="shared" ref="F145:K145" si="18">F82</f>
        <v>3617</v>
      </c>
      <c r="G145" s="41">
        <f t="shared" si="18"/>
        <v>971</v>
      </c>
      <c r="H145" s="41">
        <f t="shared" si="18"/>
        <v>262985</v>
      </c>
      <c r="I145" s="41">
        <f t="shared" si="18"/>
        <v>131324.7298</v>
      </c>
      <c r="J145" s="41">
        <f t="shared" si="18"/>
        <v>0</v>
      </c>
      <c r="K145" s="41">
        <f t="shared" si="18"/>
        <v>394309.72979999997</v>
      </c>
    </row>
    <row r="146" spans="1:11" ht="18" customHeight="1">
      <c r="A146" s="5" t="s">
        <v>150</v>
      </c>
      <c r="B146" s="2" t="s">
        <v>69</v>
      </c>
      <c r="F146" s="41">
        <f t="shared" ref="F146:K146" si="19">F98</f>
        <v>57</v>
      </c>
      <c r="G146" s="41">
        <f t="shared" si="19"/>
        <v>101</v>
      </c>
      <c r="H146" s="41">
        <f t="shared" si="19"/>
        <v>8727</v>
      </c>
      <c r="I146" s="41">
        <f t="shared" si="19"/>
        <v>4362.6273000000001</v>
      </c>
      <c r="J146" s="41">
        <f t="shared" si="19"/>
        <v>0</v>
      </c>
      <c r="K146" s="41">
        <f t="shared" si="19"/>
        <v>13089.627299999998</v>
      </c>
    </row>
    <row r="147" spans="1:11" ht="18" customHeight="1">
      <c r="A147" s="5" t="s">
        <v>153</v>
      </c>
      <c r="B147" s="2" t="s">
        <v>61</v>
      </c>
      <c r="F147" s="18">
        <f t="shared" ref="F147:K147" si="20">F108</f>
        <v>95</v>
      </c>
      <c r="G147" s="18">
        <f t="shared" si="20"/>
        <v>0</v>
      </c>
      <c r="H147" s="18">
        <f t="shared" si="20"/>
        <v>4420.3500000000004</v>
      </c>
      <c r="I147" s="18">
        <f t="shared" si="20"/>
        <v>2209.7329650000001</v>
      </c>
      <c r="J147" s="18">
        <f t="shared" si="20"/>
        <v>0</v>
      </c>
      <c r="K147" s="18">
        <f t="shared" si="20"/>
        <v>6630.0829650000005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21373237.960000001</v>
      </c>
    </row>
    <row r="149" spans="1:11" ht="18" customHeight="1">
      <c r="A149" s="5" t="s">
        <v>163</v>
      </c>
      <c r="B149" s="2" t="s">
        <v>71</v>
      </c>
      <c r="F149" s="18">
        <f t="shared" ref="F149:K149" si="21">F137</f>
        <v>0</v>
      </c>
      <c r="G149" s="18">
        <f t="shared" si="21"/>
        <v>0</v>
      </c>
      <c r="H149" s="18">
        <f t="shared" si="21"/>
        <v>7889</v>
      </c>
      <c r="I149" s="18">
        <f t="shared" si="21"/>
        <v>3943.7111</v>
      </c>
      <c r="J149" s="18">
        <f t="shared" si="21"/>
        <v>0</v>
      </c>
      <c r="K149" s="18">
        <f t="shared" si="21"/>
        <v>11832.7111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10001926</v>
      </c>
      <c r="I150" s="18">
        <f>I18</f>
        <v>0</v>
      </c>
      <c r="J150" s="18">
        <f>J18</f>
        <v>8552898</v>
      </c>
      <c r="K150" s="18">
        <f>K18</f>
        <v>1449028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2">SUM(F141:F150)</f>
        <v>166290</v>
      </c>
      <c r="G152" s="49">
        <f t="shared" si="22"/>
        <v>15557</v>
      </c>
      <c r="H152" s="49">
        <f t="shared" si="22"/>
        <v>23508242.350000001</v>
      </c>
      <c r="I152" s="49">
        <f t="shared" si="22"/>
        <v>6432910.1846650001</v>
      </c>
      <c r="J152" s="49">
        <f t="shared" si="22"/>
        <v>14942271</v>
      </c>
      <c r="K152" s="49">
        <f t="shared" si="22"/>
        <v>36372119.494664997</v>
      </c>
    </row>
    <row r="154" spans="1:11" ht="18" customHeight="1">
      <c r="A154" s="6" t="s">
        <v>168</v>
      </c>
      <c r="B154" s="2" t="s">
        <v>28</v>
      </c>
      <c r="F154" s="64">
        <f>K152/F121</f>
        <v>0.11190216282758779</v>
      </c>
    </row>
    <row r="155" spans="1:11" ht="18" customHeight="1">
      <c r="A155" s="6" t="s">
        <v>169</v>
      </c>
      <c r="B155" s="2" t="s">
        <v>72</v>
      </c>
      <c r="F155" s="64">
        <f>K152/F127</f>
        <v>3.2325026212819941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B96:D96"/>
    <mergeCell ref="B103:C103"/>
    <mergeCell ref="B134:D134"/>
    <mergeCell ref="B135:D135"/>
    <mergeCell ref="B133:D133"/>
    <mergeCell ref="B104:D104"/>
    <mergeCell ref="B105:D105"/>
    <mergeCell ref="B106:D106"/>
    <mergeCell ref="D2:H2"/>
    <mergeCell ref="B45:D45"/>
    <mergeCell ref="B46:D46"/>
    <mergeCell ref="B47:D47"/>
    <mergeCell ref="B34:D34"/>
    <mergeCell ref="C11:G11"/>
    <mergeCell ref="B41:C41"/>
    <mergeCell ref="B44:D44"/>
    <mergeCell ref="B13:H13"/>
    <mergeCell ref="C5:G5"/>
    <mergeCell ref="B31:D31"/>
    <mergeCell ref="C6:G6"/>
    <mergeCell ref="C7:G7"/>
    <mergeCell ref="C9:G9"/>
    <mergeCell ref="C10:G10"/>
    <mergeCell ref="B30:D30"/>
    <mergeCell ref="B95:D95"/>
    <mergeCell ref="B57:D57"/>
    <mergeCell ref="B94:D94"/>
    <mergeCell ref="B52:C52"/>
    <mergeCell ref="B90:C90"/>
    <mergeCell ref="B62:D62"/>
    <mergeCell ref="B53:D53"/>
    <mergeCell ref="B55:D55"/>
    <mergeCell ref="B56:D56"/>
    <mergeCell ref="B59:D59"/>
  </mergeCells>
  <printOptions headings="1" gridLines="1"/>
  <pageMargins left="0.17" right="0.16" top="0.35" bottom="0.32" header="0.17" footer="0.17"/>
  <pageSetup scale="54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28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view="pageBreakPreview" zoomScale="90" zoomScaleNormal="100" zoomScaleSheetLayoutView="90" workbookViewId="0"/>
  </sheetViews>
  <sheetFormatPr defaultColWidth="8.85546875" defaultRowHeight="15"/>
  <cols>
    <col min="1" max="1" width="8.28515625" style="292" customWidth="1"/>
    <col min="2" max="2" width="55.42578125" style="291" bestFit="1" customWidth="1"/>
    <col min="3" max="3" width="9.5703125" style="291" customWidth="1"/>
    <col min="4" max="4" width="8.85546875" style="291"/>
    <col min="5" max="5" width="12.42578125" style="291" customWidth="1"/>
    <col min="6" max="6" width="18.5703125" style="291" customWidth="1"/>
    <col min="7" max="7" width="23.5703125" style="291" customWidth="1"/>
    <col min="8" max="8" width="17.140625" style="291" customWidth="1"/>
    <col min="9" max="9" width="21.140625" style="291" customWidth="1"/>
    <col min="10" max="10" width="19.85546875" style="291" customWidth="1"/>
    <col min="11" max="11" width="17.5703125" style="291" customWidth="1"/>
    <col min="12" max="16384" width="8.85546875" style="291"/>
  </cols>
  <sheetData>
    <row r="1" spans="1:11" ht="18" customHeight="1">
      <c r="C1" s="351"/>
      <c r="D1" s="352"/>
      <c r="E1" s="351"/>
      <c r="F1" s="351"/>
      <c r="G1" s="351"/>
      <c r="H1" s="351"/>
      <c r="I1" s="351"/>
      <c r="J1" s="351"/>
      <c r="K1" s="351"/>
    </row>
    <row r="2" spans="1:11" ht="18" customHeight="1">
      <c r="D2" s="560" t="s">
        <v>187</v>
      </c>
      <c r="E2" s="561"/>
      <c r="F2" s="561"/>
      <c r="G2" s="561"/>
      <c r="H2" s="561"/>
    </row>
    <row r="3" spans="1:11" ht="18" customHeight="1">
      <c r="B3" s="293" t="s">
        <v>0</v>
      </c>
    </row>
    <row r="4" spans="1:11" ht="18" customHeight="1"/>
    <row r="5" spans="1:11" ht="18" customHeight="1">
      <c r="B5" s="300" t="s">
        <v>40</v>
      </c>
      <c r="C5" s="562" t="s">
        <v>537</v>
      </c>
      <c r="D5" s="563"/>
      <c r="E5" s="563"/>
      <c r="F5" s="563"/>
      <c r="G5" s="564"/>
    </row>
    <row r="6" spans="1:11" ht="18" customHeight="1">
      <c r="B6" s="300" t="s">
        <v>3</v>
      </c>
      <c r="C6" s="665">
        <v>13</v>
      </c>
      <c r="D6" s="666"/>
      <c r="E6" s="666"/>
      <c r="F6" s="666"/>
      <c r="G6" s="667"/>
    </row>
    <row r="7" spans="1:11" ht="18" customHeight="1">
      <c r="B7" s="300" t="s">
        <v>4</v>
      </c>
      <c r="C7" s="668">
        <v>803.5</v>
      </c>
      <c r="D7" s="669"/>
      <c r="E7" s="669"/>
      <c r="F7" s="669"/>
      <c r="G7" s="670"/>
      <c r="H7" s="361" t="s">
        <v>536</v>
      </c>
    </row>
    <row r="8" spans="1:11" ht="18" customHeight="1"/>
    <row r="9" spans="1:11" ht="18" customHeight="1">
      <c r="B9" s="300" t="s">
        <v>1</v>
      </c>
      <c r="C9" s="562"/>
      <c r="D9" s="563"/>
      <c r="E9" s="563"/>
      <c r="F9" s="563"/>
      <c r="G9" s="564"/>
    </row>
    <row r="10" spans="1:11" ht="18" customHeight="1">
      <c r="B10" s="300" t="s">
        <v>2</v>
      </c>
      <c r="C10" s="565"/>
      <c r="D10" s="566"/>
      <c r="E10" s="566"/>
      <c r="F10" s="566"/>
      <c r="G10" s="567"/>
    </row>
    <row r="11" spans="1:11" ht="18" customHeight="1">
      <c r="B11" s="300" t="s">
        <v>32</v>
      </c>
      <c r="C11" s="562"/>
      <c r="D11" s="568"/>
      <c r="E11" s="568"/>
      <c r="F11" s="568"/>
      <c r="G11" s="568"/>
    </row>
    <row r="12" spans="1:11" ht="18" customHeight="1">
      <c r="B12" s="300"/>
      <c r="C12" s="300"/>
      <c r="D12" s="300"/>
      <c r="E12" s="300"/>
      <c r="F12" s="300"/>
      <c r="G12" s="300"/>
    </row>
    <row r="13" spans="1:11" ht="24.6" customHeight="1">
      <c r="B13" s="569"/>
      <c r="C13" s="570"/>
      <c r="D13" s="570"/>
      <c r="E13" s="570"/>
      <c r="F13" s="570"/>
      <c r="G13" s="570"/>
      <c r="H13" s="571"/>
      <c r="I13" s="351"/>
    </row>
    <row r="14" spans="1:11" ht="18" customHeight="1">
      <c r="B14" s="353"/>
    </row>
    <row r="15" spans="1:11" ht="18" customHeight="1">
      <c r="B15" s="353"/>
    </row>
    <row r="16" spans="1:11" ht="45" customHeight="1">
      <c r="A16" s="352" t="s">
        <v>181</v>
      </c>
      <c r="B16" s="351"/>
      <c r="C16" s="351"/>
      <c r="D16" s="351"/>
      <c r="E16" s="351"/>
      <c r="F16" s="304" t="s">
        <v>9</v>
      </c>
      <c r="G16" s="304" t="s">
        <v>37</v>
      </c>
      <c r="H16" s="304" t="s">
        <v>29</v>
      </c>
      <c r="I16" s="304" t="s">
        <v>30</v>
      </c>
      <c r="J16" s="304" t="s">
        <v>33</v>
      </c>
      <c r="K16" s="304" t="s">
        <v>34</v>
      </c>
    </row>
    <row r="17" spans="1:11" ht="18" customHeight="1">
      <c r="A17" s="295" t="s">
        <v>184</v>
      </c>
      <c r="B17" s="293" t="s">
        <v>182</v>
      </c>
      <c r="H17" s="355" t="s">
        <v>535</v>
      </c>
      <c r="I17" s="360"/>
      <c r="J17" s="355" t="s">
        <v>535</v>
      </c>
      <c r="K17" s="355" t="s">
        <v>518</v>
      </c>
    </row>
    <row r="18" spans="1:11" ht="18" customHeight="1">
      <c r="A18" s="300" t="s">
        <v>185</v>
      </c>
      <c r="B18" s="311" t="s">
        <v>183</v>
      </c>
      <c r="F18" s="308" t="s">
        <v>73</v>
      </c>
      <c r="G18" s="308" t="s">
        <v>73</v>
      </c>
      <c r="H18" s="306">
        <v>3886465</v>
      </c>
      <c r="I18" s="307">
        <v>0</v>
      </c>
      <c r="J18" s="306">
        <v>3323413</v>
      </c>
      <c r="K18" s="305">
        <f>(H18+I18)-J18</f>
        <v>563052</v>
      </c>
    </row>
    <row r="19" spans="1:11" ht="45" customHeight="1">
      <c r="A19" s="352" t="s">
        <v>8</v>
      </c>
      <c r="B19" s="351"/>
      <c r="C19" s="351"/>
      <c r="D19" s="351"/>
      <c r="E19" s="351"/>
      <c r="F19" s="304" t="s">
        <v>9</v>
      </c>
      <c r="G19" s="304" t="s">
        <v>37</v>
      </c>
      <c r="H19" s="304" t="s">
        <v>29</v>
      </c>
      <c r="I19" s="304" t="s">
        <v>30</v>
      </c>
      <c r="J19" s="304" t="s">
        <v>33</v>
      </c>
      <c r="K19" s="304" t="s">
        <v>34</v>
      </c>
    </row>
    <row r="20" spans="1:11" ht="18" customHeight="1">
      <c r="A20" s="295" t="s">
        <v>74</v>
      </c>
      <c r="B20" s="293" t="s">
        <v>41</v>
      </c>
      <c r="F20" s="355" t="s">
        <v>534</v>
      </c>
      <c r="G20" s="355" t="s">
        <v>534</v>
      </c>
      <c r="H20" s="355" t="s">
        <v>534</v>
      </c>
      <c r="I20" s="355" t="s">
        <v>518</v>
      </c>
      <c r="J20" s="355" t="s">
        <v>534</v>
      </c>
      <c r="K20" s="355" t="s">
        <v>518</v>
      </c>
    </row>
    <row r="21" spans="1:11" ht="18" customHeight="1">
      <c r="A21" s="300" t="s">
        <v>75</v>
      </c>
      <c r="B21" s="311" t="s">
        <v>42</v>
      </c>
      <c r="F21" s="308">
        <v>1769</v>
      </c>
      <c r="G21" s="308">
        <v>2046</v>
      </c>
      <c r="H21" s="306">
        <v>69629</v>
      </c>
      <c r="I21" s="307">
        <f t="shared" ref="I21:I34" si="0">H21*F$114</f>
        <v>754.77836000000002</v>
      </c>
      <c r="J21" s="306"/>
      <c r="K21" s="305">
        <f t="shared" ref="K21:K34" si="1">(H21+I21)-J21</f>
        <v>70383.778359999997</v>
      </c>
    </row>
    <row r="22" spans="1:11" ht="18" customHeight="1">
      <c r="A22" s="300" t="s">
        <v>76</v>
      </c>
      <c r="B22" s="291" t="s">
        <v>6</v>
      </c>
      <c r="F22" s="308"/>
      <c r="G22" s="308"/>
      <c r="H22" s="306"/>
      <c r="I22" s="307">
        <f t="shared" si="0"/>
        <v>0</v>
      </c>
      <c r="J22" s="306"/>
      <c r="K22" s="305">
        <f t="shared" si="1"/>
        <v>0</v>
      </c>
    </row>
    <row r="23" spans="1:11" ht="18" customHeight="1">
      <c r="A23" s="300" t="s">
        <v>77</v>
      </c>
      <c r="B23" s="291" t="s">
        <v>43</v>
      </c>
      <c r="F23" s="308"/>
      <c r="G23" s="308"/>
      <c r="H23" s="306"/>
      <c r="I23" s="307">
        <f t="shared" si="0"/>
        <v>0</v>
      </c>
      <c r="J23" s="306"/>
      <c r="K23" s="305">
        <f t="shared" si="1"/>
        <v>0</v>
      </c>
    </row>
    <row r="24" spans="1:11" ht="18" customHeight="1">
      <c r="A24" s="300" t="s">
        <v>78</v>
      </c>
      <c r="B24" s="291" t="s">
        <v>44</v>
      </c>
      <c r="F24" s="308">
        <v>241720</v>
      </c>
      <c r="G24" s="308">
        <v>296294</v>
      </c>
      <c r="H24" s="306">
        <v>9127638</v>
      </c>
      <c r="I24" s="307">
        <f t="shared" si="0"/>
        <v>98943.595920000007</v>
      </c>
      <c r="J24" s="306">
        <v>111889</v>
      </c>
      <c r="K24" s="305">
        <f t="shared" si="1"/>
        <v>9114692.5959200002</v>
      </c>
    </row>
    <row r="25" spans="1:11" ht="18" customHeight="1">
      <c r="A25" s="300" t="s">
        <v>79</v>
      </c>
      <c r="B25" s="291" t="s">
        <v>5</v>
      </c>
      <c r="F25" s="308"/>
      <c r="G25" s="308"/>
      <c r="H25" s="306"/>
      <c r="I25" s="307">
        <f t="shared" si="0"/>
        <v>0</v>
      </c>
      <c r="J25" s="306"/>
      <c r="K25" s="305">
        <f t="shared" si="1"/>
        <v>0</v>
      </c>
    </row>
    <row r="26" spans="1:11" ht="18" customHeight="1">
      <c r="A26" s="300" t="s">
        <v>80</v>
      </c>
      <c r="B26" s="291" t="s">
        <v>45</v>
      </c>
      <c r="F26" s="308"/>
      <c r="G26" s="308"/>
      <c r="H26" s="306"/>
      <c r="I26" s="307">
        <f t="shared" si="0"/>
        <v>0</v>
      </c>
      <c r="J26" s="306"/>
      <c r="K26" s="305">
        <f t="shared" si="1"/>
        <v>0</v>
      </c>
    </row>
    <row r="27" spans="1:11" ht="18" customHeight="1">
      <c r="A27" s="300" t="s">
        <v>81</v>
      </c>
      <c r="B27" s="291" t="s">
        <v>46</v>
      </c>
      <c r="F27" s="308"/>
      <c r="G27" s="308"/>
      <c r="H27" s="306"/>
      <c r="I27" s="307">
        <f t="shared" si="0"/>
        <v>0</v>
      </c>
      <c r="J27" s="306"/>
      <c r="K27" s="305">
        <f t="shared" si="1"/>
        <v>0</v>
      </c>
    </row>
    <row r="28" spans="1:11" ht="18" customHeight="1">
      <c r="A28" s="300" t="s">
        <v>82</v>
      </c>
      <c r="B28" s="291" t="s">
        <v>47</v>
      </c>
      <c r="F28" s="308"/>
      <c r="G28" s="308"/>
      <c r="H28" s="306"/>
      <c r="I28" s="307">
        <f t="shared" si="0"/>
        <v>0</v>
      </c>
      <c r="J28" s="306"/>
      <c r="K28" s="305">
        <f t="shared" si="1"/>
        <v>0</v>
      </c>
    </row>
    <row r="29" spans="1:11" ht="18" customHeight="1">
      <c r="A29" s="300" t="s">
        <v>83</v>
      </c>
      <c r="B29" s="291" t="s">
        <v>48</v>
      </c>
      <c r="F29" s="308">
        <v>351</v>
      </c>
      <c r="G29" s="308">
        <v>9503</v>
      </c>
      <c r="H29" s="306">
        <v>13679</v>
      </c>
      <c r="I29" s="307">
        <f t="shared" si="0"/>
        <v>148.28036</v>
      </c>
      <c r="J29" s="306"/>
      <c r="K29" s="305">
        <f t="shared" si="1"/>
        <v>13827.280360000001</v>
      </c>
    </row>
    <row r="30" spans="1:11" ht="18" customHeight="1">
      <c r="A30" s="300" t="s">
        <v>84</v>
      </c>
      <c r="B30" s="572"/>
      <c r="C30" s="573"/>
      <c r="D30" s="574"/>
      <c r="F30" s="308"/>
      <c r="G30" s="308"/>
      <c r="H30" s="306"/>
      <c r="I30" s="307">
        <f t="shared" si="0"/>
        <v>0</v>
      </c>
      <c r="J30" s="306"/>
      <c r="K30" s="305">
        <f t="shared" si="1"/>
        <v>0</v>
      </c>
    </row>
    <row r="31" spans="1:11" ht="18" customHeight="1">
      <c r="A31" s="300" t="s">
        <v>133</v>
      </c>
      <c r="B31" s="572"/>
      <c r="C31" s="573"/>
      <c r="D31" s="574"/>
      <c r="F31" s="308"/>
      <c r="G31" s="308"/>
      <c r="H31" s="306"/>
      <c r="I31" s="307">
        <f t="shared" si="0"/>
        <v>0</v>
      </c>
      <c r="J31" s="306"/>
      <c r="K31" s="305">
        <f t="shared" si="1"/>
        <v>0</v>
      </c>
    </row>
    <row r="32" spans="1:11" ht="18" customHeight="1">
      <c r="A32" s="300" t="s">
        <v>134</v>
      </c>
      <c r="B32" s="350"/>
      <c r="C32" s="349"/>
      <c r="D32" s="348"/>
      <c r="F32" s="308"/>
      <c r="G32" s="347" t="s">
        <v>85</v>
      </c>
      <c r="H32" s="306"/>
      <c r="I32" s="307">
        <f t="shared" si="0"/>
        <v>0</v>
      </c>
      <c r="J32" s="306"/>
      <c r="K32" s="305">
        <f t="shared" si="1"/>
        <v>0</v>
      </c>
    </row>
    <row r="33" spans="1:11" ht="18" customHeight="1">
      <c r="A33" s="300" t="s">
        <v>135</v>
      </c>
      <c r="B33" s="350"/>
      <c r="C33" s="349"/>
      <c r="D33" s="348"/>
      <c r="F33" s="308"/>
      <c r="G33" s="347" t="s">
        <v>85</v>
      </c>
      <c r="H33" s="306"/>
      <c r="I33" s="307">
        <f t="shared" si="0"/>
        <v>0</v>
      </c>
      <c r="J33" s="306"/>
      <c r="K33" s="305">
        <f t="shared" si="1"/>
        <v>0</v>
      </c>
    </row>
    <row r="34" spans="1:11" ht="18" customHeight="1">
      <c r="A34" s="300" t="s">
        <v>136</v>
      </c>
      <c r="B34" s="572"/>
      <c r="C34" s="573"/>
      <c r="D34" s="574"/>
      <c r="F34" s="308"/>
      <c r="G34" s="347" t="s">
        <v>85</v>
      </c>
      <c r="H34" s="306"/>
      <c r="I34" s="307">
        <f t="shared" si="0"/>
        <v>0</v>
      </c>
      <c r="J34" s="306"/>
      <c r="K34" s="305">
        <f t="shared" si="1"/>
        <v>0</v>
      </c>
    </row>
    <row r="35" spans="1:11" ht="18" customHeight="1">
      <c r="K35" s="346"/>
    </row>
    <row r="36" spans="1:11" ht="18" customHeight="1">
      <c r="A36" s="295" t="s">
        <v>137</v>
      </c>
      <c r="B36" s="293" t="s">
        <v>138</v>
      </c>
      <c r="E36" s="293" t="s">
        <v>7</v>
      </c>
      <c r="F36" s="298">
        <f t="shared" ref="F36:K36" si="2">SUM(F21:F34)</f>
        <v>243840</v>
      </c>
      <c r="G36" s="298">
        <f t="shared" si="2"/>
        <v>307843</v>
      </c>
      <c r="H36" s="298">
        <f t="shared" si="2"/>
        <v>9210946</v>
      </c>
      <c r="I36" s="305">
        <f t="shared" si="2"/>
        <v>99846.654640000008</v>
      </c>
      <c r="J36" s="305">
        <f t="shared" si="2"/>
        <v>111889</v>
      </c>
      <c r="K36" s="305">
        <f t="shared" si="2"/>
        <v>9198903.6546400003</v>
      </c>
    </row>
    <row r="37" spans="1:11" ht="18" customHeight="1" thickBot="1">
      <c r="B37" s="293"/>
      <c r="F37" s="356" t="s">
        <v>518</v>
      </c>
      <c r="G37" s="356" t="s">
        <v>518</v>
      </c>
      <c r="H37" s="356" t="s">
        <v>518</v>
      </c>
      <c r="I37" s="356" t="s">
        <v>518</v>
      </c>
      <c r="J37" s="356" t="s">
        <v>518</v>
      </c>
      <c r="K37" s="356" t="s">
        <v>518</v>
      </c>
    </row>
    <row r="38" spans="1:11" ht="42.75" customHeight="1" thickTop="1">
      <c r="F38" s="304" t="s">
        <v>9</v>
      </c>
      <c r="G38" s="304" t="s">
        <v>37</v>
      </c>
      <c r="H38" s="304" t="s">
        <v>29</v>
      </c>
      <c r="I38" s="304" t="s">
        <v>30</v>
      </c>
      <c r="J38" s="304" t="s">
        <v>33</v>
      </c>
      <c r="K38" s="304" t="s">
        <v>34</v>
      </c>
    </row>
    <row r="39" spans="1:11" ht="18.75" customHeight="1">
      <c r="A39" s="295" t="s">
        <v>86</v>
      </c>
      <c r="B39" s="293" t="s">
        <v>49</v>
      </c>
      <c r="F39" s="355" t="s">
        <v>533</v>
      </c>
      <c r="G39" s="355" t="s">
        <v>533</v>
      </c>
      <c r="H39" s="355" t="s">
        <v>533</v>
      </c>
      <c r="I39" s="355" t="s">
        <v>518</v>
      </c>
      <c r="J39" s="355" t="s">
        <v>533</v>
      </c>
      <c r="K39" s="355" t="s">
        <v>518</v>
      </c>
    </row>
    <row r="40" spans="1:11" ht="18" customHeight="1">
      <c r="A40" s="300" t="s">
        <v>87</v>
      </c>
      <c r="B40" s="291" t="s">
        <v>31</v>
      </c>
      <c r="F40" s="308"/>
      <c r="G40" s="308"/>
      <c r="H40" s="306"/>
      <c r="I40" s="307">
        <v>0</v>
      </c>
      <c r="J40" s="306"/>
      <c r="K40" s="305">
        <f t="shared" ref="K40:K47" si="3">(H40+I40)-J40</f>
        <v>0</v>
      </c>
    </row>
    <row r="41" spans="1:11" ht="18" customHeight="1">
      <c r="A41" s="300" t="s">
        <v>88</v>
      </c>
      <c r="B41" s="575" t="s">
        <v>50</v>
      </c>
      <c r="C41" s="576"/>
      <c r="F41" s="308"/>
      <c r="G41" s="308"/>
      <c r="H41" s="306"/>
      <c r="I41" s="307">
        <v>0</v>
      </c>
      <c r="J41" s="306"/>
      <c r="K41" s="305">
        <f t="shared" si="3"/>
        <v>0</v>
      </c>
    </row>
    <row r="42" spans="1:11" ht="18" customHeight="1">
      <c r="A42" s="300" t="s">
        <v>89</v>
      </c>
      <c r="B42" s="311" t="s">
        <v>11</v>
      </c>
      <c r="F42" s="308">
        <v>1836</v>
      </c>
      <c r="G42" s="308">
        <v>1836</v>
      </c>
      <c r="H42" s="306">
        <v>116260</v>
      </c>
      <c r="I42" s="307">
        <v>0</v>
      </c>
      <c r="J42" s="306"/>
      <c r="K42" s="305">
        <f t="shared" si="3"/>
        <v>116260</v>
      </c>
    </row>
    <row r="43" spans="1:11" ht="18" customHeight="1">
      <c r="A43" s="300" t="s">
        <v>90</v>
      </c>
      <c r="B43" s="342" t="s">
        <v>10</v>
      </c>
      <c r="C43" s="314"/>
      <c r="D43" s="314"/>
      <c r="F43" s="308"/>
      <c r="G43" s="308"/>
      <c r="H43" s="306"/>
      <c r="I43" s="307">
        <v>0</v>
      </c>
      <c r="J43" s="306"/>
      <c r="K43" s="305">
        <f t="shared" si="3"/>
        <v>0</v>
      </c>
    </row>
    <row r="44" spans="1:11" ht="18" customHeight="1">
      <c r="A44" s="300" t="s">
        <v>91</v>
      </c>
      <c r="B44" s="572"/>
      <c r="C44" s="573"/>
      <c r="D44" s="574"/>
      <c r="F44" s="358"/>
      <c r="G44" s="358"/>
      <c r="H44" s="358"/>
      <c r="I44" s="359">
        <v>0</v>
      </c>
      <c r="J44" s="358"/>
      <c r="K44" s="357">
        <f t="shared" si="3"/>
        <v>0</v>
      </c>
    </row>
    <row r="45" spans="1:11" ht="18" customHeight="1">
      <c r="A45" s="300" t="s">
        <v>139</v>
      </c>
      <c r="B45" s="572"/>
      <c r="C45" s="573"/>
      <c r="D45" s="574"/>
      <c r="F45" s="308"/>
      <c r="G45" s="308"/>
      <c r="H45" s="306"/>
      <c r="I45" s="307">
        <v>0</v>
      </c>
      <c r="J45" s="306"/>
      <c r="K45" s="305">
        <f t="shared" si="3"/>
        <v>0</v>
      </c>
    </row>
    <row r="46" spans="1:11" ht="18" customHeight="1">
      <c r="A46" s="300" t="s">
        <v>140</v>
      </c>
      <c r="B46" s="572"/>
      <c r="C46" s="573"/>
      <c r="D46" s="574"/>
      <c r="F46" s="308"/>
      <c r="G46" s="308"/>
      <c r="H46" s="306"/>
      <c r="I46" s="307">
        <v>0</v>
      </c>
      <c r="J46" s="306"/>
      <c r="K46" s="305">
        <f t="shared" si="3"/>
        <v>0</v>
      </c>
    </row>
    <row r="47" spans="1:11" ht="18" customHeight="1">
      <c r="A47" s="300" t="s">
        <v>141</v>
      </c>
      <c r="B47" s="572"/>
      <c r="C47" s="573"/>
      <c r="D47" s="574"/>
      <c r="F47" s="308"/>
      <c r="G47" s="308"/>
      <c r="H47" s="306"/>
      <c r="I47" s="307">
        <v>0</v>
      </c>
      <c r="J47" s="306"/>
      <c r="K47" s="305">
        <f t="shared" si="3"/>
        <v>0</v>
      </c>
    </row>
    <row r="48" spans="1:11" ht="18" customHeight="1"/>
    <row r="49" spans="1:11" ht="18" customHeight="1">
      <c r="A49" s="295" t="s">
        <v>142</v>
      </c>
      <c r="B49" s="293" t="s">
        <v>143</v>
      </c>
      <c r="E49" s="293" t="s">
        <v>7</v>
      </c>
      <c r="F49" s="341">
        <f t="shared" ref="F49:K49" si="4">SUM(F40:F47)</f>
        <v>1836</v>
      </c>
      <c r="G49" s="341">
        <f t="shared" si="4"/>
        <v>1836</v>
      </c>
      <c r="H49" s="305">
        <f t="shared" si="4"/>
        <v>116260</v>
      </c>
      <c r="I49" s="305">
        <f t="shared" si="4"/>
        <v>0</v>
      </c>
      <c r="J49" s="305">
        <f t="shared" si="4"/>
        <v>0</v>
      </c>
      <c r="K49" s="305">
        <f t="shared" si="4"/>
        <v>116260</v>
      </c>
    </row>
    <row r="50" spans="1:11" ht="18" customHeight="1">
      <c r="F50" s="355" t="s">
        <v>518</v>
      </c>
      <c r="G50" s="355" t="s">
        <v>518</v>
      </c>
      <c r="H50" s="355" t="s">
        <v>518</v>
      </c>
      <c r="I50" s="355" t="s">
        <v>518</v>
      </c>
      <c r="J50" s="355" t="s">
        <v>518</v>
      </c>
      <c r="K50" s="355" t="s">
        <v>518</v>
      </c>
    </row>
    <row r="51" spans="1:11" ht="42.75" customHeight="1">
      <c r="F51" s="304" t="s">
        <v>9</v>
      </c>
      <c r="G51" s="304" t="s">
        <v>37</v>
      </c>
      <c r="H51" s="304" t="s">
        <v>29</v>
      </c>
      <c r="I51" s="304" t="s">
        <v>30</v>
      </c>
      <c r="J51" s="304" t="s">
        <v>33</v>
      </c>
      <c r="K51" s="304" t="s">
        <v>34</v>
      </c>
    </row>
    <row r="52" spans="1:11" ht="18.75" customHeight="1">
      <c r="A52" s="295" t="s">
        <v>92</v>
      </c>
      <c r="B52" s="577" t="s">
        <v>38</v>
      </c>
      <c r="C52" s="578"/>
      <c r="F52" s="355" t="s">
        <v>532</v>
      </c>
      <c r="G52" s="355" t="s">
        <v>532</v>
      </c>
      <c r="H52" s="355" t="s">
        <v>532</v>
      </c>
      <c r="I52" s="355" t="s">
        <v>518</v>
      </c>
      <c r="J52" s="355" t="s">
        <v>532</v>
      </c>
      <c r="K52" s="355" t="s">
        <v>518</v>
      </c>
    </row>
    <row r="53" spans="1:11" ht="18" customHeight="1">
      <c r="A53" s="300" t="s">
        <v>51</v>
      </c>
      <c r="B53" s="579" t="s">
        <v>531</v>
      </c>
      <c r="C53" s="580"/>
      <c r="D53" s="581"/>
      <c r="F53" s="308">
        <v>13446</v>
      </c>
      <c r="G53" s="308">
        <v>15308</v>
      </c>
      <c r="H53" s="306">
        <v>417124</v>
      </c>
      <c r="I53" s="307">
        <v>0</v>
      </c>
      <c r="J53" s="306"/>
      <c r="K53" s="305">
        <f t="shared" ref="K53:K62" si="5">(H53+I53)-J53</f>
        <v>417124</v>
      </c>
    </row>
    <row r="54" spans="1:11" ht="18" customHeight="1">
      <c r="A54" s="300" t="s">
        <v>93</v>
      </c>
      <c r="B54" s="336"/>
      <c r="C54" s="335"/>
      <c r="D54" s="334"/>
      <c r="F54" s="308"/>
      <c r="G54" s="308"/>
      <c r="H54" s="306"/>
      <c r="I54" s="307">
        <v>0</v>
      </c>
      <c r="J54" s="306"/>
      <c r="K54" s="305">
        <f t="shared" si="5"/>
        <v>0</v>
      </c>
    </row>
    <row r="55" spans="1:11" ht="18" customHeight="1">
      <c r="A55" s="300" t="s">
        <v>94</v>
      </c>
      <c r="B55" s="582"/>
      <c r="C55" s="583"/>
      <c r="D55" s="581"/>
      <c r="F55" s="308"/>
      <c r="G55" s="308"/>
      <c r="H55" s="306"/>
      <c r="I55" s="307">
        <v>0</v>
      </c>
      <c r="J55" s="306"/>
      <c r="K55" s="305">
        <f t="shared" si="5"/>
        <v>0</v>
      </c>
    </row>
    <row r="56" spans="1:11" ht="18" customHeight="1">
      <c r="A56" s="300" t="s">
        <v>95</v>
      </c>
      <c r="B56" s="582"/>
      <c r="C56" s="583"/>
      <c r="D56" s="581"/>
      <c r="F56" s="308" t="s">
        <v>740</v>
      </c>
      <c r="G56" s="308"/>
      <c r="H56" s="306"/>
      <c r="I56" s="307">
        <v>0</v>
      </c>
      <c r="J56" s="306"/>
      <c r="K56" s="305">
        <f t="shared" si="5"/>
        <v>0</v>
      </c>
    </row>
    <row r="57" spans="1:11" ht="18" customHeight="1">
      <c r="A57" s="300" t="s">
        <v>96</v>
      </c>
      <c r="B57" s="582"/>
      <c r="C57" s="583"/>
      <c r="D57" s="581"/>
      <c r="F57" s="308"/>
      <c r="G57" s="308"/>
      <c r="H57" s="306"/>
      <c r="I57" s="307">
        <v>0</v>
      </c>
      <c r="J57" s="306"/>
      <c r="K57" s="305">
        <f t="shared" si="5"/>
        <v>0</v>
      </c>
    </row>
    <row r="58" spans="1:11" ht="18" customHeight="1">
      <c r="A58" s="300" t="s">
        <v>97</v>
      </c>
      <c r="B58" s="336"/>
      <c r="C58" s="335"/>
      <c r="D58" s="334"/>
      <c r="F58" s="308"/>
      <c r="G58" s="308"/>
      <c r="H58" s="306"/>
      <c r="I58" s="307">
        <v>0</v>
      </c>
      <c r="J58" s="306"/>
      <c r="K58" s="305">
        <f t="shared" si="5"/>
        <v>0</v>
      </c>
    </row>
    <row r="59" spans="1:11" ht="18" customHeight="1">
      <c r="A59" s="300" t="s">
        <v>98</v>
      </c>
      <c r="B59" s="582"/>
      <c r="C59" s="583"/>
      <c r="D59" s="581"/>
      <c r="F59" s="308"/>
      <c r="G59" s="308"/>
      <c r="H59" s="306"/>
      <c r="I59" s="307">
        <v>0</v>
      </c>
      <c r="J59" s="306"/>
      <c r="K59" s="305">
        <f t="shared" si="5"/>
        <v>0</v>
      </c>
    </row>
    <row r="60" spans="1:11" ht="18" customHeight="1">
      <c r="A60" s="300" t="s">
        <v>99</v>
      </c>
      <c r="B60" s="336"/>
      <c r="C60" s="335"/>
      <c r="D60" s="334"/>
      <c r="F60" s="308"/>
      <c r="G60" s="308"/>
      <c r="H60" s="306"/>
      <c r="I60" s="307">
        <v>0</v>
      </c>
      <c r="J60" s="306"/>
      <c r="K60" s="305">
        <f t="shared" si="5"/>
        <v>0</v>
      </c>
    </row>
    <row r="61" spans="1:11" ht="18" customHeight="1">
      <c r="A61" s="300" t="s">
        <v>100</v>
      </c>
      <c r="B61" s="336"/>
      <c r="C61" s="335"/>
      <c r="D61" s="334"/>
      <c r="F61" s="308"/>
      <c r="G61" s="308"/>
      <c r="H61" s="306"/>
      <c r="I61" s="307">
        <v>0</v>
      </c>
      <c r="J61" s="306"/>
      <c r="K61" s="305">
        <f t="shared" si="5"/>
        <v>0</v>
      </c>
    </row>
    <row r="62" spans="1:11" ht="18" customHeight="1">
      <c r="A62" s="300" t="s">
        <v>101</v>
      </c>
      <c r="B62" s="582"/>
      <c r="C62" s="583"/>
      <c r="D62" s="581"/>
      <c r="F62" s="308"/>
      <c r="G62" s="308"/>
      <c r="H62" s="306"/>
      <c r="I62" s="307">
        <v>0</v>
      </c>
      <c r="J62" s="306"/>
      <c r="K62" s="305">
        <f t="shared" si="5"/>
        <v>0</v>
      </c>
    </row>
    <row r="63" spans="1:11" ht="18" customHeight="1">
      <c r="A63" s="300"/>
      <c r="I63" s="340"/>
    </row>
    <row r="64" spans="1:11" ht="18" customHeight="1">
      <c r="A64" s="300" t="s">
        <v>144</v>
      </c>
      <c r="B64" s="293" t="s">
        <v>145</v>
      </c>
      <c r="E64" s="293" t="s">
        <v>7</v>
      </c>
      <c r="F64" s="298">
        <f t="shared" ref="F64:K64" si="6">SUM(F53:F62)</f>
        <v>13446</v>
      </c>
      <c r="G64" s="298">
        <f t="shared" si="6"/>
        <v>15308</v>
      </c>
      <c r="H64" s="305">
        <f t="shared" si="6"/>
        <v>417124</v>
      </c>
      <c r="I64" s="305">
        <f t="shared" si="6"/>
        <v>0</v>
      </c>
      <c r="J64" s="305">
        <f t="shared" si="6"/>
        <v>0</v>
      </c>
      <c r="K64" s="305">
        <f t="shared" si="6"/>
        <v>417124</v>
      </c>
    </row>
    <row r="65" spans="1:11" ht="18" customHeight="1" thickBot="1">
      <c r="F65" s="356" t="s">
        <v>518</v>
      </c>
      <c r="G65" s="356" t="s">
        <v>518</v>
      </c>
      <c r="H65" s="356" t="s">
        <v>518</v>
      </c>
      <c r="I65" s="356" t="s">
        <v>518</v>
      </c>
      <c r="J65" s="356" t="s">
        <v>518</v>
      </c>
      <c r="K65" s="356" t="s">
        <v>518</v>
      </c>
    </row>
    <row r="66" spans="1:11" ht="42.75" customHeight="1" thickTop="1">
      <c r="F66" s="339" t="s">
        <v>9</v>
      </c>
      <c r="G66" s="339" t="s">
        <v>37</v>
      </c>
      <c r="H66" s="339" t="s">
        <v>29</v>
      </c>
      <c r="I66" s="339" t="s">
        <v>30</v>
      </c>
      <c r="J66" s="339" t="s">
        <v>33</v>
      </c>
      <c r="K66" s="339" t="s">
        <v>34</v>
      </c>
    </row>
    <row r="67" spans="1:11" ht="18" customHeight="1">
      <c r="A67" s="295" t="s">
        <v>102</v>
      </c>
      <c r="B67" s="293" t="s">
        <v>12</v>
      </c>
      <c r="F67" s="338"/>
      <c r="G67" s="338"/>
      <c r="H67" s="338"/>
      <c r="I67" s="327"/>
      <c r="J67" s="338"/>
      <c r="K67" s="325"/>
    </row>
    <row r="68" spans="1:11" ht="18" customHeight="1">
      <c r="A68" s="300" t="s">
        <v>103</v>
      </c>
      <c r="B68" s="291" t="s">
        <v>52</v>
      </c>
      <c r="F68" s="337"/>
      <c r="G68" s="337"/>
      <c r="H68" s="337"/>
      <c r="I68" s="307">
        <v>0</v>
      </c>
      <c r="J68" s="337"/>
      <c r="K68" s="305">
        <f>(H68+I68)-J68</f>
        <v>0</v>
      </c>
    </row>
    <row r="69" spans="1:11" ht="18" customHeight="1">
      <c r="A69" s="300" t="s">
        <v>104</v>
      </c>
      <c r="B69" s="311" t="s">
        <v>53</v>
      </c>
      <c r="F69" s="337"/>
      <c r="G69" s="337"/>
      <c r="H69" s="337"/>
      <c r="I69" s="307">
        <v>0</v>
      </c>
      <c r="J69" s="337"/>
      <c r="K69" s="305">
        <f>(H69+I69)-J69</f>
        <v>0</v>
      </c>
    </row>
    <row r="70" spans="1:11" ht="18" customHeight="1">
      <c r="A70" s="300" t="s">
        <v>178</v>
      </c>
      <c r="B70" s="336"/>
      <c r="C70" s="335"/>
      <c r="D70" s="334"/>
      <c r="E70" s="293"/>
      <c r="F70" s="333"/>
      <c r="G70" s="333"/>
      <c r="H70" s="332"/>
      <c r="I70" s="307">
        <v>0</v>
      </c>
      <c r="J70" s="332"/>
      <c r="K70" s="305">
        <f>(H70+I70)-J70</f>
        <v>0</v>
      </c>
    </row>
    <row r="71" spans="1:11" ht="18" customHeight="1">
      <c r="A71" s="300" t="s">
        <v>179</v>
      </c>
      <c r="B71" s="336"/>
      <c r="C71" s="335"/>
      <c r="D71" s="334"/>
      <c r="E71" s="293"/>
      <c r="F71" s="333"/>
      <c r="G71" s="333"/>
      <c r="H71" s="332"/>
      <c r="I71" s="307">
        <v>0</v>
      </c>
      <c r="J71" s="332"/>
      <c r="K71" s="305">
        <f>(H71+I71)-J71</f>
        <v>0</v>
      </c>
    </row>
    <row r="72" spans="1:11" ht="18" customHeight="1">
      <c r="A72" s="300" t="s">
        <v>180</v>
      </c>
      <c r="B72" s="331"/>
      <c r="C72" s="330"/>
      <c r="D72" s="329"/>
      <c r="E72" s="293"/>
      <c r="F72" s="308"/>
      <c r="G72" s="308"/>
      <c r="H72" s="306"/>
      <c r="I72" s="307">
        <v>0</v>
      </c>
      <c r="J72" s="306"/>
      <c r="K72" s="305">
        <f>(H72+I72)-J72</f>
        <v>0</v>
      </c>
    </row>
    <row r="73" spans="1:11" ht="18" customHeight="1">
      <c r="A73" s="300"/>
      <c r="B73" s="311"/>
      <c r="E73" s="293"/>
      <c r="F73" s="328"/>
      <c r="G73" s="328"/>
      <c r="H73" s="326"/>
      <c r="I73" s="327"/>
      <c r="J73" s="326"/>
      <c r="K73" s="325"/>
    </row>
    <row r="74" spans="1:11" ht="18" customHeight="1">
      <c r="A74" s="295" t="s">
        <v>146</v>
      </c>
      <c r="B74" s="293" t="s">
        <v>147</v>
      </c>
      <c r="E74" s="293" t="s">
        <v>7</v>
      </c>
      <c r="F74" s="322">
        <f t="shared" ref="F74:K74" si="7">SUM(F68:F72)</f>
        <v>0</v>
      </c>
      <c r="G74" s="322">
        <f t="shared" si="7"/>
        <v>0</v>
      </c>
      <c r="H74" s="322">
        <f t="shared" si="7"/>
        <v>0</v>
      </c>
      <c r="I74" s="324">
        <f t="shared" si="7"/>
        <v>0</v>
      </c>
      <c r="J74" s="322">
        <f t="shared" si="7"/>
        <v>0</v>
      </c>
      <c r="K74" s="310">
        <f t="shared" si="7"/>
        <v>0</v>
      </c>
    </row>
    <row r="75" spans="1:11" ht="42.75" customHeight="1">
      <c r="F75" s="304" t="s">
        <v>9</v>
      </c>
      <c r="G75" s="304" t="s">
        <v>37</v>
      </c>
      <c r="H75" s="304" t="s">
        <v>29</v>
      </c>
      <c r="I75" s="304" t="s">
        <v>30</v>
      </c>
      <c r="J75" s="304" t="s">
        <v>33</v>
      </c>
      <c r="K75" s="304" t="s">
        <v>34</v>
      </c>
    </row>
    <row r="76" spans="1:11" ht="18" customHeight="1">
      <c r="A76" s="295" t="s">
        <v>105</v>
      </c>
      <c r="B76" s="293" t="s">
        <v>106</v>
      </c>
    </row>
    <row r="77" spans="1:11" ht="18" customHeight="1">
      <c r="A77" s="300" t="s">
        <v>107</v>
      </c>
      <c r="B77" s="311" t="s">
        <v>54</v>
      </c>
      <c r="F77" s="308"/>
      <c r="G77" s="308"/>
      <c r="H77" s="306"/>
      <c r="I77" s="307">
        <v>0</v>
      </c>
      <c r="J77" s="306"/>
      <c r="K77" s="305">
        <f>(H77+I77)-J77</f>
        <v>0</v>
      </c>
    </row>
    <row r="78" spans="1:11" ht="18" customHeight="1">
      <c r="A78" s="300" t="s">
        <v>108</v>
      </c>
      <c r="B78" s="311" t="s">
        <v>55</v>
      </c>
      <c r="F78" s="308"/>
      <c r="G78" s="308"/>
      <c r="H78" s="306"/>
      <c r="I78" s="307">
        <v>0</v>
      </c>
      <c r="J78" s="306"/>
      <c r="K78" s="305">
        <f>(H78+I78)-J78</f>
        <v>0</v>
      </c>
    </row>
    <row r="79" spans="1:11" ht="18" customHeight="1">
      <c r="A79" s="300" t="s">
        <v>109</v>
      </c>
      <c r="B79" s="311" t="s">
        <v>13</v>
      </c>
      <c r="F79" s="308"/>
      <c r="G79" s="308"/>
      <c r="H79" s="306"/>
      <c r="I79" s="307">
        <v>0</v>
      </c>
      <c r="J79" s="306"/>
      <c r="K79" s="305">
        <f>(H79+I79)-J79</f>
        <v>0</v>
      </c>
    </row>
    <row r="80" spans="1:11" ht="18" customHeight="1">
      <c r="A80" s="300" t="s">
        <v>110</v>
      </c>
      <c r="B80" s="311" t="s">
        <v>56</v>
      </c>
      <c r="F80" s="308"/>
      <c r="G80" s="308"/>
      <c r="H80" s="306"/>
      <c r="I80" s="307">
        <v>0</v>
      </c>
      <c r="J80" s="306"/>
      <c r="K80" s="305">
        <f>(H80+I80)-J80</f>
        <v>0</v>
      </c>
    </row>
    <row r="81" spans="1:11" ht="18" customHeight="1">
      <c r="A81" s="300"/>
      <c r="K81" s="323"/>
    </row>
    <row r="82" spans="1:11" ht="18" customHeight="1">
      <c r="A82" s="300" t="s">
        <v>148</v>
      </c>
      <c r="B82" s="293" t="s">
        <v>149</v>
      </c>
      <c r="E82" s="293" t="s">
        <v>7</v>
      </c>
      <c r="F82" s="322">
        <f t="shared" ref="F82:K82" si="8">SUM(F77:F80)</f>
        <v>0</v>
      </c>
      <c r="G82" s="322">
        <f t="shared" si="8"/>
        <v>0</v>
      </c>
      <c r="H82" s="310">
        <f t="shared" si="8"/>
        <v>0</v>
      </c>
      <c r="I82" s="310">
        <f t="shared" si="8"/>
        <v>0</v>
      </c>
      <c r="J82" s="310">
        <f t="shared" si="8"/>
        <v>0</v>
      </c>
      <c r="K82" s="310">
        <f t="shared" si="8"/>
        <v>0</v>
      </c>
    </row>
    <row r="83" spans="1:11" ht="18" customHeight="1" thickBot="1">
      <c r="A83" s="300"/>
      <c r="F83" s="315"/>
      <c r="G83" s="315"/>
      <c r="H83" s="315"/>
      <c r="I83" s="315"/>
      <c r="J83" s="315"/>
      <c r="K83" s="315"/>
    </row>
    <row r="84" spans="1:11" ht="42.75" customHeight="1">
      <c r="F84" s="304" t="s">
        <v>9</v>
      </c>
      <c r="G84" s="304" t="s">
        <v>37</v>
      </c>
      <c r="H84" s="304" t="s">
        <v>29</v>
      </c>
      <c r="I84" s="304" t="s">
        <v>30</v>
      </c>
      <c r="J84" s="304" t="s">
        <v>33</v>
      </c>
      <c r="K84" s="304" t="s">
        <v>34</v>
      </c>
    </row>
    <row r="85" spans="1:11" ht="18" customHeight="1">
      <c r="A85" s="295" t="s">
        <v>111</v>
      </c>
      <c r="B85" s="293" t="s">
        <v>57</v>
      </c>
      <c r="F85" s="355" t="s">
        <v>530</v>
      </c>
      <c r="G85" s="355" t="s">
        <v>530</v>
      </c>
      <c r="H85" s="355" t="s">
        <v>530</v>
      </c>
      <c r="I85" s="355" t="s">
        <v>518</v>
      </c>
      <c r="J85" s="355" t="s">
        <v>530</v>
      </c>
      <c r="K85" s="355" t="s">
        <v>518</v>
      </c>
    </row>
    <row r="86" spans="1:11" ht="18" customHeight="1">
      <c r="A86" s="300" t="s">
        <v>112</v>
      </c>
      <c r="B86" s="311" t="s">
        <v>113</v>
      </c>
      <c r="F86" s="308">
        <v>9801</v>
      </c>
      <c r="G86" s="308">
        <v>10932</v>
      </c>
      <c r="H86" s="306">
        <v>2861210</v>
      </c>
      <c r="I86" s="307">
        <f t="shared" ref="I86:I96" si="9">H86*F$114</f>
        <v>31015.5164</v>
      </c>
      <c r="J86" s="306">
        <v>2779792</v>
      </c>
      <c r="K86" s="305">
        <f t="shared" ref="K86:K96" si="10">(H86+I86)-J86</f>
        <v>112433.51640000008</v>
      </c>
    </row>
    <row r="87" spans="1:11" ht="18" customHeight="1">
      <c r="A87" s="300" t="s">
        <v>114</v>
      </c>
      <c r="B87" s="311" t="s">
        <v>14</v>
      </c>
      <c r="F87" s="308"/>
      <c r="G87" s="308"/>
      <c r="H87" s="306"/>
      <c r="I87" s="307">
        <f t="shared" si="9"/>
        <v>0</v>
      </c>
      <c r="J87" s="306"/>
      <c r="K87" s="305">
        <f t="shared" si="10"/>
        <v>0</v>
      </c>
    </row>
    <row r="88" spans="1:11" ht="18" customHeight="1">
      <c r="A88" s="300" t="s">
        <v>115</v>
      </c>
      <c r="B88" s="311" t="s">
        <v>116</v>
      </c>
      <c r="F88" s="308"/>
      <c r="G88" s="308"/>
      <c r="H88" s="306"/>
      <c r="I88" s="307">
        <f t="shared" si="9"/>
        <v>0</v>
      </c>
      <c r="J88" s="306"/>
      <c r="K88" s="305">
        <f t="shared" si="10"/>
        <v>0</v>
      </c>
    </row>
    <row r="89" spans="1:11" ht="18" customHeight="1">
      <c r="A89" s="300" t="s">
        <v>117</v>
      </c>
      <c r="B89" s="311" t="s">
        <v>58</v>
      </c>
      <c r="F89" s="308"/>
      <c r="G89" s="308"/>
      <c r="H89" s="306"/>
      <c r="I89" s="307">
        <f t="shared" si="9"/>
        <v>0</v>
      </c>
      <c r="J89" s="306"/>
      <c r="K89" s="305">
        <f t="shared" si="10"/>
        <v>0</v>
      </c>
    </row>
    <row r="90" spans="1:11" ht="18" customHeight="1">
      <c r="A90" s="300" t="s">
        <v>118</v>
      </c>
      <c r="B90" s="575" t="s">
        <v>59</v>
      </c>
      <c r="C90" s="576"/>
      <c r="F90" s="308"/>
      <c r="G90" s="308"/>
      <c r="H90" s="306"/>
      <c r="I90" s="307">
        <f t="shared" si="9"/>
        <v>0</v>
      </c>
      <c r="J90" s="306"/>
      <c r="K90" s="305">
        <f t="shared" si="10"/>
        <v>0</v>
      </c>
    </row>
    <row r="91" spans="1:11" ht="18" customHeight="1">
      <c r="A91" s="300" t="s">
        <v>119</v>
      </c>
      <c r="B91" s="311" t="s">
        <v>60</v>
      </c>
      <c r="F91" s="308"/>
      <c r="G91" s="308"/>
      <c r="H91" s="306"/>
      <c r="I91" s="307">
        <f t="shared" si="9"/>
        <v>0</v>
      </c>
      <c r="J91" s="306"/>
      <c r="K91" s="305">
        <f t="shared" si="10"/>
        <v>0</v>
      </c>
    </row>
    <row r="92" spans="1:11" ht="18" customHeight="1">
      <c r="A92" s="300" t="s">
        <v>120</v>
      </c>
      <c r="B92" s="311" t="s">
        <v>121</v>
      </c>
      <c r="F92" s="321"/>
      <c r="G92" s="321"/>
      <c r="H92" s="320"/>
      <c r="I92" s="307">
        <f t="shared" si="9"/>
        <v>0</v>
      </c>
      <c r="J92" s="320"/>
      <c r="K92" s="305">
        <f t="shared" si="10"/>
        <v>0</v>
      </c>
    </row>
    <row r="93" spans="1:11" ht="18" customHeight="1">
      <c r="A93" s="300" t="s">
        <v>122</v>
      </c>
      <c r="B93" s="311" t="s">
        <v>123</v>
      </c>
      <c r="F93" s="308"/>
      <c r="G93" s="308"/>
      <c r="H93" s="306"/>
      <c r="I93" s="307">
        <f t="shared" si="9"/>
        <v>0</v>
      </c>
      <c r="J93" s="306"/>
      <c r="K93" s="305">
        <f t="shared" si="10"/>
        <v>0</v>
      </c>
    </row>
    <row r="94" spans="1:11" ht="18" customHeight="1">
      <c r="A94" s="300" t="s">
        <v>124</v>
      </c>
      <c r="B94" s="582"/>
      <c r="C94" s="583"/>
      <c r="D94" s="581"/>
      <c r="F94" s="308"/>
      <c r="G94" s="308"/>
      <c r="H94" s="306"/>
      <c r="I94" s="307">
        <f t="shared" si="9"/>
        <v>0</v>
      </c>
      <c r="J94" s="306"/>
      <c r="K94" s="305">
        <f t="shared" si="10"/>
        <v>0</v>
      </c>
    </row>
    <row r="95" spans="1:11" ht="18" customHeight="1">
      <c r="A95" s="300" t="s">
        <v>125</v>
      </c>
      <c r="B95" s="582"/>
      <c r="C95" s="583"/>
      <c r="D95" s="581"/>
      <c r="F95" s="308"/>
      <c r="G95" s="308"/>
      <c r="H95" s="306"/>
      <c r="I95" s="307">
        <f t="shared" si="9"/>
        <v>0</v>
      </c>
      <c r="J95" s="306"/>
      <c r="K95" s="305">
        <f t="shared" si="10"/>
        <v>0</v>
      </c>
    </row>
    <row r="96" spans="1:11" ht="18" customHeight="1">
      <c r="A96" s="300" t="s">
        <v>126</v>
      </c>
      <c r="B96" s="582"/>
      <c r="C96" s="583"/>
      <c r="D96" s="581"/>
      <c r="F96" s="308"/>
      <c r="G96" s="308"/>
      <c r="H96" s="306"/>
      <c r="I96" s="307">
        <f t="shared" si="9"/>
        <v>0</v>
      </c>
      <c r="J96" s="306"/>
      <c r="K96" s="305">
        <f t="shared" si="10"/>
        <v>0</v>
      </c>
    </row>
    <row r="97" spans="1:11" ht="18" customHeight="1">
      <c r="A97" s="300"/>
      <c r="B97" s="311"/>
    </row>
    <row r="98" spans="1:11" ht="18" customHeight="1">
      <c r="A98" s="295" t="s">
        <v>150</v>
      </c>
      <c r="B98" s="293" t="s">
        <v>151</v>
      </c>
      <c r="E98" s="293" t="s">
        <v>7</v>
      </c>
      <c r="F98" s="298">
        <f t="shared" ref="F98:K98" si="11">SUM(F86:F96)</f>
        <v>9801</v>
      </c>
      <c r="G98" s="298">
        <f t="shared" si="11"/>
        <v>10932</v>
      </c>
      <c r="H98" s="298">
        <f t="shared" si="11"/>
        <v>2861210</v>
      </c>
      <c r="I98" s="298">
        <f t="shared" si="11"/>
        <v>31015.5164</v>
      </c>
      <c r="J98" s="298">
        <f t="shared" si="11"/>
        <v>2779792</v>
      </c>
      <c r="K98" s="298">
        <f t="shared" si="11"/>
        <v>112433.51640000008</v>
      </c>
    </row>
    <row r="99" spans="1:11" ht="18" customHeight="1">
      <c r="B99" s="293"/>
      <c r="F99" s="355" t="s">
        <v>518</v>
      </c>
      <c r="G99" s="355" t="s">
        <v>518</v>
      </c>
      <c r="H99" s="355" t="s">
        <v>518</v>
      </c>
      <c r="I99" s="355" t="s">
        <v>518</v>
      </c>
      <c r="J99" s="355" t="s">
        <v>518</v>
      </c>
      <c r="K99" s="355" t="s">
        <v>518</v>
      </c>
    </row>
    <row r="100" spans="1:11" ht="42.75" customHeight="1">
      <c r="F100" s="304" t="s">
        <v>9</v>
      </c>
      <c r="G100" s="304" t="s">
        <v>37</v>
      </c>
      <c r="H100" s="304" t="s">
        <v>29</v>
      </c>
      <c r="I100" s="304" t="s">
        <v>30</v>
      </c>
      <c r="J100" s="304" t="s">
        <v>33</v>
      </c>
      <c r="K100" s="304" t="s">
        <v>34</v>
      </c>
    </row>
    <row r="101" spans="1:11" ht="18" customHeight="1">
      <c r="A101" s="295" t="s">
        <v>130</v>
      </c>
      <c r="B101" s="293" t="s">
        <v>63</v>
      </c>
      <c r="F101" s="355" t="s">
        <v>529</v>
      </c>
      <c r="G101" s="355" t="s">
        <v>529</v>
      </c>
      <c r="H101" s="355" t="s">
        <v>529</v>
      </c>
      <c r="I101" s="355" t="s">
        <v>518</v>
      </c>
      <c r="J101" s="355" t="s">
        <v>529</v>
      </c>
      <c r="K101" s="355" t="s">
        <v>518</v>
      </c>
    </row>
    <row r="102" spans="1:11" ht="18" customHeight="1">
      <c r="A102" s="300" t="s">
        <v>131</v>
      </c>
      <c r="B102" s="311" t="s">
        <v>152</v>
      </c>
      <c r="F102" s="308">
        <v>13263</v>
      </c>
      <c r="G102" s="308"/>
      <c r="H102" s="306">
        <v>1104644</v>
      </c>
      <c r="I102" s="307">
        <f>H102*F$114</f>
        <v>11974.340960000001</v>
      </c>
      <c r="J102" s="306"/>
      <c r="K102" s="305">
        <f>(H102+I102)-J102</f>
        <v>1116618.3409599999</v>
      </c>
    </row>
    <row r="103" spans="1:11" ht="18" customHeight="1">
      <c r="A103" s="300" t="s">
        <v>132</v>
      </c>
      <c r="B103" s="575" t="s">
        <v>62</v>
      </c>
      <c r="C103" s="575"/>
      <c r="F103" s="308"/>
      <c r="G103" s="308"/>
      <c r="H103" s="306"/>
      <c r="I103" s="307">
        <f>H103*F$114</f>
        <v>0</v>
      </c>
      <c r="J103" s="306"/>
      <c r="K103" s="305">
        <f>(H103+I103)-J103</f>
        <v>0</v>
      </c>
    </row>
    <row r="104" spans="1:11" ht="18" customHeight="1">
      <c r="A104" s="300" t="s">
        <v>128</v>
      </c>
      <c r="B104" s="582"/>
      <c r="C104" s="583"/>
      <c r="D104" s="581"/>
      <c r="F104" s="308"/>
      <c r="G104" s="308"/>
      <c r="H104" s="306"/>
      <c r="I104" s="307">
        <f>H104*F$114</f>
        <v>0</v>
      </c>
      <c r="J104" s="306"/>
      <c r="K104" s="305">
        <f>(H104+I104)-J104</f>
        <v>0</v>
      </c>
    </row>
    <row r="105" spans="1:11" ht="18" customHeight="1">
      <c r="A105" s="300" t="s">
        <v>127</v>
      </c>
      <c r="B105" s="582"/>
      <c r="C105" s="583"/>
      <c r="D105" s="581"/>
      <c r="F105" s="308"/>
      <c r="G105" s="308"/>
      <c r="H105" s="306"/>
      <c r="I105" s="307">
        <f>H105*F$114</f>
        <v>0</v>
      </c>
      <c r="J105" s="306"/>
      <c r="K105" s="305">
        <f>(H105+I105)-J105</f>
        <v>0</v>
      </c>
    </row>
    <row r="106" spans="1:11" ht="18" customHeight="1">
      <c r="A106" s="300" t="s">
        <v>129</v>
      </c>
      <c r="B106" s="582"/>
      <c r="C106" s="583"/>
      <c r="D106" s="581"/>
      <c r="F106" s="308"/>
      <c r="G106" s="308"/>
      <c r="H106" s="306"/>
      <c r="I106" s="307">
        <f>H106*F$114</f>
        <v>0</v>
      </c>
      <c r="J106" s="306"/>
      <c r="K106" s="305">
        <f>(H106+I106)-J106</f>
        <v>0</v>
      </c>
    </row>
    <row r="107" spans="1:11" ht="18" customHeight="1">
      <c r="B107" s="293"/>
    </row>
    <row r="108" spans="1:11" s="314" customFormat="1" ht="18" customHeight="1">
      <c r="A108" s="295" t="s">
        <v>153</v>
      </c>
      <c r="B108" s="319" t="s">
        <v>154</v>
      </c>
      <c r="C108" s="291"/>
      <c r="D108" s="291"/>
      <c r="E108" s="293" t="s">
        <v>7</v>
      </c>
      <c r="F108" s="298">
        <f t="shared" ref="F108:K108" si="12">SUM(F102:F106)</f>
        <v>13263</v>
      </c>
      <c r="G108" s="298">
        <f t="shared" si="12"/>
        <v>0</v>
      </c>
      <c r="H108" s="305">
        <f t="shared" si="12"/>
        <v>1104644</v>
      </c>
      <c r="I108" s="305">
        <f t="shared" si="12"/>
        <v>11974.340960000001</v>
      </c>
      <c r="J108" s="305">
        <f t="shared" si="12"/>
        <v>0</v>
      </c>
      <c r="K108" s="305">
        <f t="shared" si="12"/>
        <v>1116618.3409599999</v>
      </c>
    </row>
    <row r="109" spans="1:11" s="314" customFormat="1" ht="18" customHeight="1">
      <c r="A109" s="318"/>
      <c r="B109" s="317"/>
      <c r="C109" s="316"/>
      <c r="D109" s="316"/>
      <c r="E109" s="316"/>
      <c r="F109" s="355" t="s">
        <v>518</v>
      </c>
      <c r="G109" s="355" t="s">
        <v>518</v>
      </c>
      <c r="H109" s="355" t="s">
        <v>518</v>
      </c>
      <c r="I109" s="355" t="s">
        <v>518</v>
      </c>
      <c r="J109" s="355" t="s">
        <v>518</v>
      </c>
      <c r="K109" s="355" t="s">
        <v>518</v>
      </c>
    </row>
    <row r="110" spans="1:11" s="314" customFormat="1" ht="18" customHeight="1">
      <c r="A110" s="295" t="s">
        <v>156</v>
      </c>
      <c r="B110" s="293" t="s">
        <v>39</v>
      </c>
      <c r="C110" s="291"/>
      <c r="D110" s="291"/>
      <c r="E110" s="291"/>
      <c r="F110" s="291"/>
      <c r="G110" s="291"/>
      <c r="H110" s="291"/>
      <c r="I110" s="291"/>
      <c r="J110" s="291"/>
      <c r="K110" s="291"/>
    </row>
    <row r="111" spans="1:11" ht="18" customHeight="1">
      <c r="A111" s="295" t="s">
        <v>155</v>
      </c>
      <c r="B111" s="293" t="s">
        <v>164</v>
      </c>
      <c r="E111" s="293" t="s">
        <v>7</v>
      </c>
      <c r="F111" s="306">
        <v>10867591</v>
      </c>
      <c r="G111" s="354" t="s">
        <v>528</v>
      </c>
    </row>
    <row r="112" spans="1:11" ht="18" customHeight="1">
      <c r="B112" s="293"/>
      <c r="E112" s="293"/>
      <c r="F112" s="313"/>
      <c r="G112" s="354"/>
    </row>
    <row r="113" spans="1:7" ht="18" customHeight="1">
      <c r="A113" s="295"/>
      <c r="B113" s="293" t="s">
        <v>15</v>
      </c>
      <c r="G113" s="354"/>
    </row>
    <row r="114" spans="1:7" ht="18" customHeight="1">
      <c r="A114" s="300" t="s">
        <v>171</v>
      </c>
      <c r="B114" s="311" t="s">
        <v>35</v>
      </c>
      <c r="F114" s="312">
        <v>1.0840000000000001E-2</v>
      </c>
      <c r="G114" s="354" t="s">
        <v>527</v>
      </c>
    </row>
    <row r="115" spans="1:7" ht="18" customHeight="1">
      <c r="A115" s="300"/>
      <c r="B115" s="293"/>
      <c r="G115" s="354"/>
    </row>
    <row r="116" spans="1:7" ht="18" customHeight="1">
      <c r="A116" s="300" t="s">
        <v>170</v>
      </c>
      <c r="B116" s="293" t="s">
        <v>16</v>
      </c>
      <c r="G116" s="354"/>
    </row>
    <row r="117" spans="1:7" ht="18" customHeight="1">
      <c r="A117" s="300" t="s">
        <v>172</v>
      </c>
      <c r="B117" s="311" t="s">
        <v>17</v>
      </c>
      <c r="F117" s="306">
        <v>120367600</v>
      </c>
      <c r="G117" s="354" t="s">
        <v>526</v>
      </c>
    </row>
    <row r="118" spans="1:7" ht="18" customHeight="1">
      <c r="A118" s="300" t="s">
        <v>173</v>
      </c>
      <c r="B118" s="291" t="s">
        <v>18</v>
      </c>
      <c r="F118" s="306">
        <v>3417923</v>
      </c>
      <c r="G118" s="354" t="s">
        <v>525</v>
      </c>
    </row>
    <row r="119" spans="1:7" ht="18" customHeight="1">
      <c r="A119" s="300" t="s">
        <v>174</v>
      </c>
      <c r="B119" s="293" t="s">
        <v>19</v>
      </c>
      <c r="F119" s="310">
        <f>SUM(F117:F118)</f>
        <v>123785523</v>
      </c>
      <c r="G119" s="354" t="s">
        <v>518</v>
      </c>
    </row>
    <row r="120" spans="1:7" ht="18" customHeight="1">
      <c r="A120" s="300"/>
      <c r="B120" s="293"/>
      <c r="G120" s="354"/>
    </row>
    <row r="121" spans="1:7" ht="18" customHeight="1">
      <c r="A121" s="300" t="s">
        <v>167</v>
      </c>
      <c r="B121" s="293" t="s">
        <v>36</v>
      </c>
      <c r="F121" s="306">
        <v>120519715</v>
      </c>
      <c r="G121" s="354" t="s">
        <v>524</v>
      </c>
    </row>
    <row r="122" spans="1:7" ht="18" customHeight="1">
      <c r="A122" s="300"/>
      <c r="G122" s="354"/>
    </row>
    <row r="123" spans="1:7" ht="18" customHeight="1">
      <c r="A123" s="300" t="s">
        <v>175</v>
      </c>
      <c r="B123" s="293" t="s">
        <v>20</v>
      </c>
      <c r="F123" s="306">
        <v>1220799</v>
      </c>
      <c r="G123" s="354" t="s">
        <v>523</v>
      </c>
    </row>
    <row r="124" spans="1:7" ht="18" customHeight="1">
      <c r="A124" s="300"/>
      <c r="G124" s="354"/>
    </row>
    <row r="125" spans="1:7" ht="18" customHeight="1">
      <c r="A125" s="300" t="s">
        <v>176</v>
      </c>
      <c r="B125" s="293" t="s">
        <v>21</v>
      </c>
      <c r="F125" s="306">
        <v>383037</v>
      </c>
      <c r="G125" s="354" t="s">
        <v>522</v>
      </c>
    </row>
    <row r="126" spans="1:7" ht="18" customHeight="1">
      <c r="A126" s="300"/>
      <c r="G126" s="354"/>
    </row>
    <row r="127" spans="1:7" ht="18" customHeight="1">
      <c r="A127" s="300" t="s">
        <v>177</v>
      </c>
      <c r="B127" s="293" t="s">
        <v>22</v>
      </c>
      <c r="F127" s="306">
        <v>1603836</v>
      </c>
      <c r="G127" s="354" t="s">
        <v>521</v>
      </c>
    </row>
    <row r="128" spans="1:7" ht="18" customHeight="1">
      <c r="A128" s="300"/>
    </row>
    <row r="129" spans="1:11" ht="42.75" customHeight="1">
      <c r="F129" s="304" t="s">
        <v>9</v>
      </c>
      <c r="G129" s="304" t="s">
        <v>37</v>
      </c>
      <c r="H129" s="304" t="s">
        <v>29</v>
      </c>
      <c r="I129" s="304" t="s">
        <v>30</v>
      </c>
      <c r="J129" s="304" t="s">
        <v>33</v>
      </c>
      <c r="K129" s="304" t="s">
        <v>34</v>
      </c>
    </row>
    <row r="130" spans="1:11" ht="18" customHeight="1">
      <c r="A130" s="295" t="s">
        <v>157</v>
      </c>
      <c r="B130" s="293" t="s">
        <v>23</v>
      </c>
      <c r="F130" s="355" t="s">
        <v>520</v>
      </c>
      <c r="G130" s="355" t="s">
        <v>520</v>
      </c>
      <c r="H130" s="355" t="s">
        <v>520</v>
      </c>
      <c r="I130" s="355" t="s">
        <v>518</v>
      </c>
      <c r="J130" s="355" t="s">
        <v>520</v>
      </c>
      <c r="K130" s="355" t="s">
        <v>518</v>
      </c>
    </row>
    <row r="131" spans="1:11" ht="18" customHeight="1">
      <c r="A131" s="300" t="s">
        <v>158</v>
      </c>
      <c r="B131" s="291" t="s">
        <v>24</v>
      </c>
      <c r="F131" s="308">
        <v>3934</v>
      </c>
      <c r="G131" s="308">
        <v>1492</v>
      </c>
      <c r="H131" s="306">
        <v>158000</v>
      </c>
      <c r="I131" s="307">
        <v>0</v>
      </c>
      <c r="J131" s="306"/>
      <c r="K131" s="305">
        <f>(H131+I131)-J131</f>
        <v>158000</v>
      </c>
    </row>
    <row r="132" spans="1:11" ht="18" customHeight="1">
      <c r="A132" s="300" t="s">
        <v>159</v>
      </c>
      <c r="B132" s="291" t="s">
        <v>25</v>
      </c>
      <c r="F132" s="308">
        <v>45799</v>
      </c>
      <c r="G132" s="308">
        <v>10748</v>
      </c>
      <c r="H132" s="306">
        <v>1299301</v>
      </c>
      <c r="I132" s="307">
        <v>0</v>
      </c>
      <c r="J132" s="306"/>
      <c r="K132" s="305">
        <f>(H132+I132)-J132</f>
        <v>1299301</v>
      </c>
    </row>
    <row r="133" spans="1:11" ht="18" customHeight="1">
      <c r="A133" s="300" t="s">
        <v>160</v>
      </c>
      <c r="B133" s="572"/>
      <c r="C133" s="573"/>
      <c r="D133" s="574"/>
      <c r="F133" s="308"/>
      <c r="G133" s="308"/>
      <c r="H133" s="306"/>
      <c r="I133" s="307">
        <v>0</v>
      </c>
      <c r="J133" s="306"/>
      <c r="K133" s="305">
        <f>(H133+I133)-J133</f>
        <v>0</v>
      </c>
    </row>
    <row r="134" spans="1:11" ht="18" customHeight="1">
      <c r="A134" s="300" t="s">
        <v>161</v>
      </c>
      <c r="B134" s="572"/>
      <c r="C134" s="573"/>
      <c r="D134" s="574"/>
      <c r="F134" s="308"/>
      <c r="G134" s="308"/>
      <c r="H134" s="306"/>
      <c r="I134" s="307">
        <v>0</v>
      </c>
      <c r="J134" s="306"/>
      <c r="K134" s="305">
        <f>(H134+I134)-J134</f>
        <v>0</v>
      </c>
    </row>
    <row r="135" spans="1:11" ht="18" customHeight="1">
      <c r="A135" s="300" t="s">
        <v>162</v>
      </c>
      <c r="B135" s="572"/>
      <c r="C135" s="573"/>
      <c r="D135" s="574"/>
      <c r="F135" s="308"/>
      <c r="G135" s="308"/>
      <c r="H135" s="306"/>
      <c r="I135" s="307">
        <v>0</v>
      </c>
      <c r="J135" s="306"/>
      <c r="K135" s="305">
        <f>(H135+I135)-J135</f>
        <v>0</v>
      </c>
    </row>
    <row r="136" spans="1:11" ht="18" customHeight="1">
      <c r="A136" s="295"/>
    </row>
    <row r="137" spans="1:11" ht="18" customHeight="1">
      <c r="A137" s="295" t="s">
        <v>163</v>
      </c>
      <c r="B137" s="293" t="s">
        <v>27</v>
      </c>
      <c r="F137" s="298">
        <f t="shared" ref="F137:K137" si="13">SUM(F131:F135)</f>
        <v>49733</v>
      </c>
      <c r="G137" s="298">
        <f t="shared" si="13"/>
        <v>12240</v>
      </c>
      <c r="H137" s="305">
        <f t="shared" si="13"/>
        <v>1457301</v>
      </c>
      <c r="I137" s="305">
        <f t="shared" si="13"/>
        <v>0</v>
      </c>
      <c r="J137" s="305">
        <f t="shared" si="13"/>
        <v>0</v>
      </c>
      <c r="K137" s="305">
        <f t="shared" si="13"/>
        <v>1457301</v>
      </c>
    </row>
    <row r="138" spans="1:11" ht="18" customHeight="1">
      <c r="A138" s="291"/>
      <c r="F138" s="355" t="s">
        <v>518</v>
      </c>
      <c r="G138" s="355" t="s">
        <v>518</v>
      </c>
      <c r="H138" s="355" t="s">
        <v>518</v>
      </c>
      <c r="I138" s="355" t="s">
        <v>518</v>
      </c>
      <c r="J138" s="355" t="s">
        <v>518</v>
      </c>
      <c r="K138" s="355" t="s">
        <v>518</v>
      </c>
    </row>
    <row r="139" spans="1:11" ht="42.75" customHeight="1">
      <c r="F139" s="304" t="s">
        <v>9</v>
      </c>
      <c r="G139" s="304" t="s">
        <v>37</v>
      </c>
      <c r="H139" s="304" t="s">
        <v>29</v>
      </c>
      <c r="I139" s="304" t="s">
        <v>30</v>
      </c>
      <c r="J139" s="304" t="s">
        <v>33</v>
      </c>
      <c r="K139" s="304" t="s">
        <v>34</v>
      </c>
    </row>
    <row r="140" spans="1:11" ht="18" customHeight="1">
      <c r="A140" s="295" t="s">
        <v>166</v>
      </c>
      <c r="B140" s="293" t="s">
        <v>26</v>
      </c>
      <c r="F140" s="355" t="s">
        <v>518</v>
      </c>
      <c r="G140" s="355" t="s">
        <v>518</v>
      </c>
      <c r="H140" s="355" t="s">
        <v>518</v>
      </c>
      <c r="I140" s="355" t="s">
        <v>518</v>
      </c>
      <c r="J140" s="355" t="s">
        <v>518</v>
      </c>
      <c r="K140" s="355" t="s">
        <v>518</v>
      </c>
    </row>
    <row r="141" spans="1:11" ht="18" customHeight="1">
      <c r="A141" s="300" t="s">
        <v>137</v>
      </c>
      <c r="B141" s="293" t="s">
        <v>64</v>
      </c>
      <c r="F141" s="303">
        <f t="shared" ref="F141:K141" si="14">F36</f>
        <v>243840</v>
      </c>
      <c r="G141" s="303">
        <f t="shared" si="14"/>
        <v>307843</v>
      </c>
      <c r="H141" s="303">
        <f t="shared" si="14"/>
        <v>9210946</v>
      </c>
      <c r="I141" s="303">
        <f t="shared" si="14"/>
        <v>99846.654640000008</v>
      </c>
      <c r="J141" s="303">
        <f t="shared" si="14"/>
        <v>111889</v>
      </c>
      <c r="K141" s="303">
        <f t="shared" si="14"/>
        <v>9198903.6546400003</v>
      </c>
    </row>
    <row r="142" spans="1:11" ht="18" customHeight="1">
      <c r="A142" s="300" t="s">
        <v>142</v>
      </c>
      <c r="B142" s="293" t="s">
        <v>65</v>
      </c>
      <c r="F142" s="303">
        <f t="shared" ref="F142:K142" si="15">F49</f>
        <v>1836</v>
      </c>
      <c r="G142" s="303">
        <f t="shared" si="15"/>
        <v>1836</v>
      </c>
      <c r="H142" s="303">
        <f t="shared" si="15"/>
        <v>116260</v>
      </c>
      <c r="I142" s="303">
        <f t="shared" si="15"/>
        <v>0</v>
      </c>
      <c r="J142" s="303">
        <f t="shared" si="15"/>
        <v>0</v>
      </c>
      <c r="K142" s="303">
        <f t="shared" si="15"/>
        <v>116260</v>
      </c>
    </row>
    <row r="143" spans="1:11" ht="18" customHeight="1">
      <c r="A143" s="300" t="s">
        <v>144</v>
      </c>
      <c r="B143" s="293" t="s">
        <v>66</v>
      </c>
      <c r="F143" s="303">
        <f t="shared" ref="F143:K143" si="16">F64</f>
        <v>13446</v>
      </c>
      <c r="G143" s="303">
        <f t="shared" si="16"/>
        <v>15308</v>
      </c>
      <c r="H143" s="303">
        <f t="shared" si="16"/>
        <v>417124</v>
      </c>
      <c r="I143" s="303">
        <f t="shared" si="16"/>
        <v>0</v>
      </c>
      <c r="J143" s="303">
        <f t="shared" si="16"/>
        <v>0</v>
      </c>
      <c r="K143" s="303">
        <f t="shared" si="16"/>
        <v>417124</v>
      </c>
    </row>
    <row r="144" spans="1:11" ht="18" customHeight="1">
      <c r="A144" s="300" t="s">
        <v>146</v>
      </c>
      <c r="B144" s="293" t="s">
        <v>67</v>
      </c>
      <c r="F144" s="303">
        <f t="shared" ref="F144:K144" si="17">F74</f>
        <v>0</v>
      </c>
      <c r="G144" s="303">
        <f t="shared" si="17"/>
        <v>0</v>
      </c>
      <c r="H144" s="303">
        <f t="shared" si="17"/>
        <v>0</v>
      </c>
      <c r="I144" s="303">
        <f t="shared" si="17"/>
        <v>0</v>
      </c>
      <c r="J144" s="303">
        <f t="shared" si="17"/>
        <v>0</v>
      </c>
      <c r="K144" s="303">
        <f t="shared" si="17"/>
        <v>0</v>
      </c>
    </row>
    <row r="145" spans="1:11" ht="18" customHeight="1">
      <c r="A145" s="300" t="s">
        <v>148</v>
      </c>
      <c r="B145" s="293" t="s">
        <v>68</v>
      </c>
      <c r="F145" s="303">
        <f t="shared" ref="F145:K145" si="18">F82</f>
        <v>0</v>
      </c>
      <c r="G145" s="303">
        <f t="shared" si="18"/>
        <v>0</v>
      </c>
      <c r="H145" s="303">
        <f t="shared" si="18"/>
        <v>0</v>
      </c>
      <c r="I145" s="303">
        <f t="shared" si="18"/>
        <v>0</v>
      </c>
      <c r="J145" s="303">
        <f t="shared" si="18"/>
        <v>0</v>
      </c>
      <c r="K145" s="303">
        <f t="shared" si="18"/>
        <v>0</v>
      </c>
    </row>
    <row r="146" spans="1:11" ht="18" customHeight="1">
      <c r="A146" s="300" t="s">
        <v>150</v>
      </c>
      <c r="B146" s="293" t="s">
        <v>69</v>
      </c>
      <c r="F146" s="303">
        <f t="shared" ref="F146:K146" si="19">F98</f>
        <v>9801</v>
      </c>
      <c r="G146" s="303">
        <f t="shared" si="19"/>
        <v>10932</v>
      </c>
      <c r="H146" s="303">
        <f t="shared" si="19"/>
        <v>2861210</v>
      </c>
      <c r="I146" s="303">
        <f t="shared" si="19"/>
        <v>31015.5164</v>
      </c>
      <c r="J146" s="303">
        <f t="shared" si="19"/>
        <v>2779792</v>
      </c>
      <c r="K146" s="303">
        <f t="shared" si="19"/>
        <v>112433.51640000008</v>
      </c>
    </row>
    <row r="147" spans="1:11" ht="18" customHeight="1">
      <c r="A147" s="300" t="s">
        <v>153</v>
      </c>
      <c r="B147" s="293" t="s">
        <v>61</v>
      </c>
      <c r="F147" s="298">
        <f t="shared" ref="F147:K147" si="20">F108</f>
        <v>13263</v>
      </c>
      <c r="G147" s="298">
        <f t="shared" si="20"/>
        <v>0</v>
      </c>
      <c r="H147" s="298">
        <f t="shared" si="20"/>
        <v>1104644</v>
      </c>
      <c r="I147" s="298">
        <f t="shared" si="20"/>
        <v>11974.340960000001</v>
      </c>
      <c r="J147" s="298">
        <f t="shared" si="20"/>
        <v>0</v>
      </c>
      <c r="K147" s="298">
        <f t="shared" si="20"/>
        <v>1116618.3409599999</v>
      </c>
    </row>
    <row r="148" spans="1:11" ht="18" customHeight="1">
      <c r="A148" s="300" t="s">
        <v>155</v>
      </c>
      <c r="B148" s="293" t="s">
        <v>70</v>
      </c>
      <c r="F148" s="299" t="s">
        <v>73</v>
      </c>
      <c r="G148" s="299" t="s">
        <v>73</v>
      </c>
      <c r="H148" s="302" t="s">
        <v>73</v>
      </c>
      <c r="I148" s="302" t="s">
        <v>73</v>
      </c>
      <c r="J148" s="302" t="s">
        <v>73</v>
      </c>
      <c r="K148" s="301">
        <f>F111</f>
        <v>10867591</v>
      </c>
    </row>
    <row r="149" spans="1:11" ht="18" customHeight="1">
      <c r="A149" s="300" t="s">
        <v>163</v>
      </c>
      <c r="B149" s="293" t="s">
        <v>71</v>
      </c>
      <c r="F149" s="298">
        <f t="shared" ref="F149:K149" si="21">F137</f>
        <v>49733</v>
      </c>
      <c r="G149" s="298">
        <f t="shared" si="21"/>
        <v>12240</v>
      </c>
      <c r="H149" s="298">
        <f t="shared" si="21"/>
        <v>1457301</v>
      </c>
      <c r="I149" s="298">
        <f t="shared" si="21"/>
        <v>0</v>
      </c>
      <c r="J149" s="298">
        <f t="shared" si="21"/>
        <v>0</v>
      </c>
      <c r="K149" s="298">
        <f t="shared" si="21"/>
        <v>1457301</v>
      </c>
    </row>
    <row r="150" spans="1:11" ht="18" customHeight="1">
      <c r="A150" s="300" t="s">
        <v>185</v>
      </c>
      <c r="B150" s="293" t="s">
        <v>186</v>
      </c>
      <c r="F150" s="299" t="s">
        <v>73</v>
      </c>
      <c r="G150" s="299" t="s">
        <v>73</v>
      </c>
      <c r="H150" s="298">
        <f>H18</f>
        <v>3886465</v>
      </c>
      <c r="I150" s="298">
        <f>I18</f>
        <v>0</v>
      </c>
      <c r="J150" s="298">
        <f>J18</f>
        <v>3323413</v>
      </c>
      <c r="K150" s="298">
        <f>K18</f>
        <v>563052</v>
      </c>
    </row>
    <row r="151" spans="1:11" ht="18" customHeight="1">
      <c r="B151" s="293"/>
      <c r="F151" s="297"/>
      <c r="G151" s="297"/>
      <c r="H151" s="297"/>
      <c r="I151" s="297"/>
      <c r="J151" s="297"/>
      <c r="K151" s="297"/>
    </row>
    <row r="152" spans="1:11" ht="18" customHeight="1">
      <c r="A152" s="295" t="s">
        <v>165</v>
      </c>
      <c r="B152" s="293" t="s">
        <v>26</v>
      </c>
      <c r="F152" s="296">
        <f t="shared" ref="F152:K152" si="22">SUM(F141:F150)</f>
        <v>331919</v>
      </c>
      <c r="G152" s="296">
        <f t="shared" si="22"/>
        <v>348159</v>
      </c>
      <c r="H152" s="296">
        <f t="shared" si="22"/>
        <v>19053950</v>
      </c>
      <c r="I152" s="296">
        <f t="shared" si="22"/>
        <v>142836.51200000002</v>
      </c>
      <c r="J152" s="296">
        <f t="shared" si="22"/>
        <v>6215094</v>
      </c>
      <c r="K152" s="296">
        <f t="shared" si="22"/>
        <v>23849283.512000002</v>
      </c>
    </row>
    <row r="153" spans="1:11" ht="18" customHeight="1">
      <c r="F153" s="355" t="s">
        <v>519</v>
      </c>
      <c r="G153" s="355" t="s">
        <v>519</v>
      </c>
      <c r="H153" s="355" t="s">
        <v>519</v>
      </c>
      <c r="I153" s="355" t="s">
        <v>518</v>
      </c>
      <c r="J153" s="355" t="s">
        <v>519</v>
      </c>
      <c r="K153" s="355" t="s">
        <v>518</v>
      </c>
    </row>
    <row r="154" spans="1:11" ht="18" customHeight="1">
      <c r="A154" s="295" t="s">
        <v>168</v>
      </c>
      <c r="B154" s="293" t="s">
        <v>28</v>
      </c>
      <c r="F154" s="294">
        <f>K152/F121</f>
        <v>0.19788698896276016</v>
      </c>
      <c r="G154" s="354" t="s">
        <v>518</v>
      </c>
    </row>
    <row r="155" spans="1:11" ht="18" customHeight="1">
      <c r="A155" s="295" t="s">
        <v>169</v>
      </c>
      <c r="B155" s="293" t="s">
        <v>72</v>
      </c>
      <c r="F155" s="294">
        <f>K152/F127</f>
        <v>14.870151007958421</v>
      </c>
      <c r="G155" s="354" t="s">
        <v>518</v>
      </c>
    </row>
    <row r="156" spans="1:11" ht="18" customHeight="1">
      <c r="G156" s="293"/>
    </row>
  </sheetData>
  <sheetProtection password="EF72" sheet="1" objects="1" scenarios="1"/>
  <mergeCells count="34"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  <mergeCell ref="B57:D57"/>
    <mergeCell ref="B59:D59"/>
    <mergeCell ref="B62:D62"/>
    <mergeCell ref="B90:C90"/>
    <mergeCell ref="B106:D106"/>
    <mergeCell ref="B47:D47"/>
    <mergeCell ref="B52:C52"/>
    <mergeCell ref="B53:D53"/>
    <mergeCell ref="B55:D55"/>
    <mergeCell ref="B56:D56"/>
    <mergeCell ref="B34:D34"/>
    <mergeCell ref="B41:C41"/>
    <mergeCell ref="B44:D44"/>
    <mergeCell ref="B45:D45"/>
    <mergeCell ref="B46:D46"/>
    <mergeCell ref="C10:G10"/>
    <mergeCell ref="C11:G11"/>
    <mergeCell ref="B13:H13"/>
    <mergeCell ref="B30:D30"/>
    <mergeCell ref="B31:D31"/>
    <mergeCell ref="D2:H2"/>
    <mergeCell ref="C5:G5"/>
    <mergeCell ref="C6:G6"/>
    <mergeCell ref="C7:G7"/>
    <mergeCell ref="C9:G9"/>
  </mergeCells>
  <printOptions headings="1" gridLines="1"/>
  <pageMargins left="0.2" right="0.2" top="0.75" bottom="0.75" header="0.3" footer="0.05"/>
  <pageSetup scale="56" orientation="landscape" r:id="rId1"/>
  <rowBreaks count="3" manualBreakCount="3">
    <brk id="37" max="16383" man="1"/>
    <brk id="74" max="16383" man="1"/>
    <brk id="10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70" zoomScaleNormal="50" zoomScaleSheetLayoutView="7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233</v>
      </c>
      <c r="D5" s="534"/>
      <c r="E5" s="534"/>
      <c r="F5" s="534"/>
      <c r="G5" s="535"/>
    </row>
    <row r="6" spans="1:11" ht="18" customHeight="1">
      <c r="B6" s="5" t="s">
        <v>3</v>
      </c>
      <c r="C6" s="655">
        <v>39</v>
      </c>
      <c r="D6" s="656"/>
      <c r="E6" s="656"/>
      <c r="F6" s="656"/>
      <c r="G6" s="657"/>
    </row>
    <row r="7" spans="1:11" ht="18" customHeight="1">
      <c r="B7" s="5" t="s">
        <v>4</v>
      </c>
      <c r="C7" s="640">
        <v>1120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232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231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230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3573247</v>
      </c>
      <c r="I18" s="55">
        <v>0</v>
      </c>
      <c r="J18" s="15">
        <v>3055573</v>
      </c>
      <c r="K18" s="16">
        <f>(H18+I18)-J18</f>
        <v>517674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921</v>
      </c>
      <c r="G21" s="54">
        <v>4457</v>
      </c>
      <c r="H21" s="15">
        <v>92282</v>
      </c>
      <c r="I21" s="55">
        <f t="shared" ref="I21:I34" si="0">H21*F$114</f>
        <v>77362.260576857763</v>
      </c>
      <c r="J21" s="15">
        <v>0</v>
      </c>
      <c r="K21" s="16">
        <f t="shared" ref="K21:K34" si="1">(H21+I21)-J21</f>
        <v>169644.26057685778</v>
      </c>
    </row>
    <row r="22" spans="1:11" ht="18" customHeight="1">
      <c r="A22" s="5" t="s">
        <v>76</v>
      </c>
      <c r="B22" t="s">
        <v>6</v>
      </c>
      <c r="F22" s="87">
        <v>1181</v>
      </c>
      <c r="G22" s="87">
        <v>980</v>
      </c>
      <c r="H22" s="15">
        <v>48041.56</v>
      </c>
      <c r="I22" s="55">
        <f t="shared" si="0"/>
        <v>40274.416280951285</v>
      </c>
      <c r="J22" s="15">
        <v>0</v>
      </c>
      <c r="K22" s="16">
        <f t="shared" si="1"/>
        <v>88315.97628095129</v>
      </c>
    </row>
    <row r="23" spans="1:11" ht="18" customHeight="1">
      <c r="A23" s="5" t="s">
        <v>77</v>
      </c>
      <c r="B23" t="s">
        <v>43</v>
      </c>
      <c r="F23" s="87">
        <f>+[7]Detail!G120</f>
        <v>490</v>
      </c>
      <c r="G23" s="87">
        <f>+[7]Detail!H120</f>
        <v>985</v>
      </c>
      <c r="H23" s="15">
        <f>+[7]Detail!L120</f>
        <v>16637.681046156915</v>
      </c>
      <c r="I23" s="55">
        <f t="shared" si="0"/>
        <v>13947.77547612144</v>
      </c>
      <c r="J23" s="15">
        <v>0</v>
      </c>
      <c r="K23" s="16">
        <f t="shared" si="1"/>
        <v>30585.456522278357</v>
      </c>
    </row>
    <row r="24" spans="1:11" ht="18" customHeight="1">
      <c r="A24" s="5" t="s">
        <v>78</v>
      </c>
      <c r="B24" t="s">
        <v>44</v>
      </c>
      <c r="F24" s="87">
        <v>3671</v>
      </c>
      <c r="G24" s="87">
        <f>+[7]Detail!H128</f>
        <v>0</v>
      </c>
      <c r="H24" s="15">
        <v>177807.31</v>
      </c>
      <c r="I24" s="55">
        <f t="shared" si="0"/>
        <v>149060.22245605997</v>
      </c>
      <c r="J24" s="15">
        <v>158846.41</v>
      </c>
      <c r="K24" s="16">
        <f t="shared" si="1"/>
        <v>168021.12245605994</v>
      </c>
    </row>
    <row r="25" spans="1:11" ht="18" customHeight="1">
      <c r="A25" s="5" t="s">
        <v>79</v>
      </c>
      <c r="B25" t="s">
        <v>5</v>
      </c>
      <c r="F25" s="54">
        <v>172</v>
      </c>
      <c r="G25" s="54">
        <v>290</v>
      </c>
      <c r="H25" s="15">
        <v>10263.379999999999</v>
      </c>
      <c r="I25" s="55">
        <f t="shared" si="0"/>
        <v>8604.0428031394022</v>
      </c>
      <c r="J25" s="15">
        <v>0</v>
      </c>
      <c r="K25" s="16">
        <f t="shared" si="1"/>
        <v>18867.422803139401</v>
      </c>
    </row>
    <row r="26" spans="1:11" ht="18" customHeight="1">
      <c r="A26" s="5" t="s">
        <v>80</v>
      </c>
      <c r="B26" t="s">
        <v>45</v>
      </c>
      <c r="F26" s="54" t="s">
        <v>73</v>
      </c>
      <c r="G26" s="54" t="s">
        <v>73</v>
      </c>
      <c r="H26" s="15"/>
      <c r="I26" s="55">
        <f t="shared" si="0"/>
        <v>0</v>
      </c>
      <c r="J26" s="15"/>
      <c r="K26" s="16">
        <f t="shared" si="1"/>
        <v>0</v>
      </c>
    </row>
    <row r="27" spans="1:11" ht="18" customHeight="1">
      <c r="A27" s="5" t="s">
        <v>81</v>
      </c>
      <c r="B27" t="s">
        <v>46</v>
      </c>
      <c r="F27" s="54" t="s">
        <v>73</v>
      </c>
      <c r="G27" s="54" t="s">
        <v>73</v>
      </c>
      <c r="H27" s="15"/>
      <c r="I27" s="55">
        <f t="shared" si="0"/>
        <v>0</v>
      </c>
      <c r="J27" s="15"/>
      <c r="K27" s="16">
        <f t="shared" si="1"/>
        <v>0</v>
      </c>
    </row>
    <row r="28" spans="1:11" ht="18" customHeight="1">
      <c r="A28" s="5" t="s">
        <v>82</v>
      </c>
      <c r="B28" t="s">
        <v>47</v>
      </c>
      <c r="F28" s="54" t="s">
        <v>73</v>
      </c>
      <c r="G28" s="54" t="s">
        <v>73</v>
      </c>
      <c r="H28" s="15"/>
      <c r="I28" s="55">
        <f t="shared" si="0"/>
        <v>0</v>
      </c>
      <c r="J28" s="15"/>
      <c r="K28" s="16">
        <f t="shared" si="1"/>
        <v>0</v>
      </c>
    </row>
    <row r="29" spans="1:11" ht="18" customHeight="1">
      <c r="A29" s="5" t="s">
        <v>83</v>
      </c>
      <c r="B29" t="s">
        <v>48</v>
      </c>
      <c r="F29" s="54">
        <v>346</v>
      </c>
      <c r="G29" s="54">
        <v>4481</v>
      </c>
      <c r="H29" s="15">
        <v>280645.82</v>
      </c>
      <c r="I29" s="55">
        <f t="shared" si="0"/>
        <v>235272.26389378126</v>
      </c>
      <c r="J29" s="15">
        <v>0</v>
      </c>
      <c r="K29" s="16">
        <f t="shared" si="1"/>
        <v>515918.0838937813</v>
      </c>
    </row>
    <row r="30" spans="1:11" ht="18" customHeight="1">
      <c r="A30" s="5" t="s">
        <v>84</v>
      </c>
      <c r="B30" s="547"/>
      <c r="C30" s="548"/>
      <c r="D30" s="549"/>
      <c r="F30" s="54"/>
      <c r="G30" s="54"/>
      <c r="H30" s="15"/>
      <c r="I30" s="55">
        <f t="shared" si="0"/>
        <v>0</v>
      </c>
      <c r="J30" s="15"/>
      <c r="K30" s="16">
        <f t="shared" si="1"/>
        <v>0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 t="shared" si="0"/>
        <v>0</v>
      </c>
      <c r="J31" s="15"/>
      <c r="K31" s="16">
        <f t="shared" si="1"/>
        <v>0</v>
      </c>
    </row>
    <row r="32" spans="1:11" ht="18" customHeight="1">
      <c r="A32" s="5" t="s">
        <v>134</v>
      </c>
      <c r="B32" s="73"/>
      <c r="C32" s="74"/>
      <c r="D32" s="75"/>
      <c r="F32" s="54"/>
      <c r="G32" s="52" t="s">
        <v>85</v>
      </c>
      <c r="H32" s="15"/>
      <c r="I32" s="55">
        <f t="shared" si="0"/>
        <v>0</v>
      </c>
      <c r="J32" s="15"/>
      <c r="K32" s="16">
        <f t="shared" si="1"/>
        <v>0</v>
      </c>
    </row>
    <row r="33" spans="1:11" ht="18" customHeight="1">
      <c r="A33" s="5" t="s">
        <v>135</v>
      </c>
      <c r="B33" s="73"/>
      <c r="C33" s="74"/>
      <c r="D33" s="75"/>
      <c r="F33" s="54"/>
      <c r="G33" s="52" t="s">
        <v>85</v>
      </c>
      <c r="H33" s="15"/>
      <c r="I33" s="55">
        <f t="shared" si="0"/>
        <v>0</v>
      </c>
      <c r="J33" s="15"/>
      <c r="K33" s="16">
        <f t="shared" si="1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 t="shared" si="0"/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6781</v>
      </c>
      <c r="G36" s="18">
        <f t="shared" si="2"/>
        <v>11193</v>
      </c>
      <c r="H36" s="18">
        <f t="shared" si="2"/>
        <v>625677.75104615698</v>
      </c>
      <c r="I36" s="16">
        <f t="shared" si="2"/>
        <v>524520.98148691107</v>
      </c>
      <c r="J36" s="16">
        <f t="shared" si="2"/>
        <v>158846.41</v>
      </c>
      <c r="K36" s="16">
        <f t="shared" si="2"/>
        <v>991352.32253306813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>
        <v>112</v>
      </c>
      <c r="G40" s="54">
        <v>1333</v>
      </c>
      <c r="H40" s="15">
        <v>5066.42</v>
      </c>
      <c r="I40" s="55">
        <v>1638.22</v>
      </c>
      <c r="J40" s="15"/>
      <c r="K40" s="16">
        <f t="shared" ref="K40:K47" si="3">(H40+I40)-J40</f>
        <v>6704.64</v>
      </c>
    </row>
    <row r="41" spans="1:11" ht="18" customHeight="1">
      <c r="A41" s="5" t="s">
        <v>88</v>
      </c>
      <c r="B41" s="550" t="s">
        <v>50</v>
      </c>
      <c r="C41" s="551"/>
      <c r="F41" s="54" t="s">
        <v>73</v>
      </c>
      <c r="G41" s="54" t="s">
        <v>73</v>
      </c>
      <c r="H41" s="15"/>
      <c r="I41" s="55">
        <f>H41*F$114</f>
        <v>0</v>
      </c>
      <c r="J41" s="15"/>
      <c r="K41" s="16">
        <f t="shared" si="3"/>
        <v>0</v>
      </c>
    </row>
    <row r="42" spans="1:11" ht="18" customHeight="1">
      <c r="A42" s="5" t="s">
        <v>89</v>
      </c>
      <c r="B42" s="1" t="s">
        <v>11</v>
      </c>
      <c r="F42" s="54">
        <v>13629</v>
      </c>
      <c r="G42" s="54">
        <v>229</v>
      </c>
      <c r="H42" s="15">
        <v>581076.41</v>
      </c>
      <c r="I42" s="55">
        <v>187890.13</v>
      </c>
      <c r="J42" s="15"/>
      <c r="K42" s="16">
        <f t="shared" si="3"/>
        <v>768966.54</v>
      </c>
    </row>
    <row r="43" spans="1:11" ht="18" customHeight="1">
      <c r="A43" s="5" t="s">
        <v>90</v>
      </c>
      <c r="B43" s="47" t="s">
        <v>10</v>
      </c>
      <c r="C43" s="10"/>
      <c r="D43" s="10"/>
      <c r="F43" s="54" t="s">
        <v>73</v>
      </c>
      <c r="G43" s="54" t="s">
        <v>73</v>
      </c>
      <c r="H43" s="15"/>
      <c r="I43" s="55">
        <f>H43*F$114</f>
        <v>0</v>
      </c>
      <c r="J43" s="15"/>
      <c r="K43" s="16">
        <f t="shared" si="3"/>
        <v>0</v>
      </c>
    </row>
    <row r="44" spans="1:11" ht="18" customHeight="1">
      <c r="A44" s="5" t="s">
        <v>91</v>
      </c>
      <c r="B44" s="547" t="s">
        <v>229</v>
      </c>
      <c r="C44" s="548"/>
      <c r="D44" s="549"/>
      <c r="F44" s="54">
        <v>324</v>
      </c>
      <c r="G44" s="54">
        <v>54</v>
      </c>
      <c r="H44" s="54">
        <v>14259.55</v>
      </c>
      <c r="I44" s="55">
        <v>4610.8</v>
      </c>
      <c r="J44" s="54"/>
      <c r="K44" s="56">
        <f t="shared" si="3"/>
        <v>18870.349999999999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f>H45*F$114</f>
        <v>0</v>
      </c>
      <c r="J45" s="15"/>
      <c r="K45" s="16">
        <f t="shared" si="3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f>H46*F$114</f>
        <v>0</v>
      </c>
      <c r="J46" s="15"/>
      <c r="K46" s="16">
        <f t="shared" si="3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f>H47*F$114</f>
        <v>0</v>
      </c>
      <c r="J47" s="15"/>
      <c r="K47" s="16">
        <f t="shared" si="3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4">SUM(F40:F47)</f>
        <v>14065</v>
      </c>
      <c r="G49" s="23">
        <f t="shared" si="4"/>
        <v>1616</v>
      </c>
      <c r="H49" s="16">
        <f t="shared" si="4"/>
        <v>600402.38000000012</v>
      </c>
      <c r="I49" s="16">
        <f t="shared" si="4"/>
        <v>194139.15</v>
      </c>
      <c r="J49" s="16">
        <f t="shared" si="4"/>
        <v>0</v>
      </c>
      <c r="K49" s="16">
        <f t="shared" si="4"/>
        <v>794541.53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 t="s">
        <v>228</v>
      </c>
      <c r="C53" s="559"/>
      <c r="D53" s="532"/>
      <c r="F53" s="15">
        <v>20943</v>
      </c>
      <c r="G53" s="15">
        <v>17115</v>
      </c>
      <c r="H53" s="15">
        <v>1996813</v>
      </c>
      <c r="I53" s="15">
        <v>835671</v>
      </c>
      <c r="J53" s="15">
        <v>1759164</v>
      </c>
      <c r="K53" s="16">
        <f t="shared" ref="K53:K62" si="5">(H53+I53)-J53</f>
        <v>1073320</v>
      </c>
    </row>
    <row r="54" spans="1:11" ht="18" customHeight="1">
      <c r="A54" s="5" t="s">
        <v>93</v>
      </c>
      <c r="B54" s="76" t="s">
        <v>227</v>
      </c>
      <c r="C54" s="77"/>
      <c r="D54" s="78"/>
      <c r="F54" s="54">
        <v>9228</v>
      </c>
      <c r="G54" s="54">
        <v>2643</v>
      </c>
      <c r="H54" s="15">
        <v>558995</v>
      </c>
      <c r="I54" s="55">
        <v>237782</v>
      </c>
      <c r="J54" s="15">
        <v>344397</v>
      </c>
      <c r="K54" s="16">
        <f t="shared" si="5"/>
        <v>452380</v>
      </c>
    </row>
    <row r="55" spans="1:11" ht="18" customHeight="1">
      <c r="A55" s="5" t="s">
        <v>94</v>
      </c>
      <c r="B55" s="530" t="s">
        <v>226</v>
      </c>
      <c r="C55" s="531"/>
      <c r="D55" s="532"/>
      <c r="F55" s="15">
        <v>44214</v>
      </c>
      <c r="G55" s="15">
        <v>359</v>
      </c>
      <c r="H55" s="15">
        <v>2466784</v>
      </c>
      <c r="I55" s="15">
        <v>1589945</v>
      </c>
      <c r="J55" s="15">
        <v>1678182</v>
      </c>
      <c r="K55" s="16">
        <f t="shared" si="5"/>
        <v>2378547</v>
      </c>
    </row>
    <row r="56" spans="1:11" ht="18" customHeight="1">
      <c r="A56" s="5" t="s">
        <v>95</v>
      </c>
      <c r="B56" s="530" t="s">
        <v>225</v>
      </c>
      <c r="C56" s="531"/>
      <c r="D56" s="532"/>
      <c r="F56" s="54" t="s">
        <v>740</v>
      </c>
      <c r="G56" s="54"/>
      <c r="H56" s="15">
        <v>974423</v>
      </c>
      <c r="I56" s="55">
        <v>554863</v>
      </c>
      <c r="J56" s="15">
        <v>210625</v>
      </c>
      <c r="K56" s="16">
        <f t="shared" si="5"/>
        <v>1318661</v>
      </c>
    </row>
    <row r="57" spans="1:11" ht="18" customHeight="1">
      <c r="A57" s="5" t="s">
        <v>96</v>
      </c>
      <c r="B57" s="530" t="s">
        <v>224</v>
      </c>
      <c r="C57" s="531"/>
      <c r="D57" s="532"/>
      <c r="F57" s="54"/>
      <c r="G57" s="54"/>
      <c r="H57" s="15">
        <v>1163760</v>
      </c>
      <c r="I57" s="55">
        <v>603452</v>
      </c>
      <c r="J57" s="15"/>
      <c r="K57" s="16">
        <f t="shared" si="5"/>
        <v>1767212</v>
      </c>
    </row>
    <row r="58" spans="1:11" ht="18" customHeight="1">
      <c r="A58" s="5" t="s">
        <v>97</v>
      </c>
      <c r="B58" s="76" t="s">
        <v>223</v>
      </c>
      <c r="C58" s="77"/>
      <c r="D58" s="78"/>
      <c r="F58" s="54"/>
      <c r="G58" s="54"/>
      <c r="H58" s="15">
        <v>25000</v>
      </c>
      <c r="I58" s="55">
        <v>12963</v>
      </c>
      <c r="J58" s="15"/>
      <c r="K58" s="16">
        <f t="shared" si="5"/>
        <v>37963</v>
      </c>
    </row>
    <row r="59" spans="1:11" ht="18" customHeight="1">
      <c r="A59" s="5" t="s">
        <v>98</v>
      </c>
      <c r="B59" s="405" t="s">
        <v>222</v>
      </c>
      <c r="C59" s="86"/>
      <c r="D59" s="86"/>
      <c r="F59" s="54"/>
      <c r="G59" s="54"/>
      <c r="H59" s="15">
        <v>26500</v>
      </c>
      <c r="I59" s="55">
        <v>7896</v>
      </c>
      <c r="J59" s="15"/>
      <c r="K59" s="16">
        <f t="shared" si="5"/>
        <v>34396</v>
      </c>
    </row>
    <row r="60" spans="1:11" ht="18" customHeight="1">
      <c r="A60" s="5" t="s">
        <v>99</v>
      </c>
      <c r="B60" s="530" t="s">
        <v>221</v>
      </c>
      <c r="C60" s="531"/>
      <c r="D60" s="532"/>
      <c r="F60" s="54"/>
      <c r="G60" s="54"/>
      <c r="H60" s="15">
        <v>839784</v>
      </c>
      <c r="I60" s="55">
        <v>300954</v>
      </c>
      <c r="J60" s="15">
        <v>251014</v>
      </c>
      <c r="K60" s="16">
        <f t="shared" si="5"/>
        <v>889724</v>
      </c>
    </row>
    <row r="61" spans="1:11" ht="18" customHeight="1">
      <c r="A61" s="5" t="s">
        <v>100</v>
      </c>
      <c r="B61" s="76"/>
      <c r="C61" s="77"/>
      <c r="D61" s="78"/>
      <c r="F61" s="54"/>
      <c r="G61" s="54"/>
      <c r="H61" s="15"/>
      <c r="I61" s="55">
        <v>0</v>
      </c>
      <c r="J61" s="15"/>
      <c r="K61" s="16">
        <f t="shared" si="5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5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6">SUM(F53:F62)</f>
        <v>74385</v>
      </c>
      <c r="G64" s="18">
        <f t="shared" si="6"/>
        <v>20117</v>
      </c>
      <c r="H64" s="16">
        <f t="shared" si="6"/>
        <v>8052059</v>
      </c>
      <c r="I64" s="16">
        <f t="shared" si="6"/>
        <v>4143526</v>
      </c>
      <c r="J64" s="16">
        <f t="shared" si="6"/>
        <v>4243382</v>
      </c>
      <c r="K64" s="16">
        <f t="shared" si="6"/>
        <v>7952203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 t="s">
        <v>73</v>
      </c>
      <c r="G68" s="51" t="s">
        <v>73</v>
      </c>
      <c r="H68" s="51"/>
      <c r="I68" s="55">
        <v>0</v>
      </c>
      <c r="J68" s="51"/>
      <c r="K68" s="16">
        <f>(H68+I68)-J68</f>
        <v>0</v>
      </c>
    </row>
    <row r="69" spans="1:11" ht="18" customHeight="1">
      <c r="A69" s="5" t="s">
        <v>104</v>
      </c>
      <c r="B69" s="1" t="s">
        <v>53</v>
      </c>
      <c r="F69" s="51" t="s">
        <v>73</v>
      </c>
      <c r="G69" s="51" t="s">
        <v>73</v>
      </c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76"/>
      <c r="C70" s="77"/>
      <c r="D70" s="78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76"/>
      <c r="C71" s="77"/>
      <c r="D71" s="78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79"/>
      <c r="C72" s="80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7">SUM(F68:F72)</f>
        <v>0</v>
      </c>
      <c r="G74" s="21">
        <f t="shared" si="7"/>
        <v>0</v>
      </c>
      <c r="H74" s="21">
        <f t="shared" si="7"/>
        <v>0</v>
      </c>
      <c r="I74" s="53">
        <f t="shared" si="7"/>
        <v>0</v>
      </c>
      <c r="J74" s="21">
        <f t="shared" si="7"/>
        <v>0</v>
      </c>
      <c r="K74" s="56">
        <f t="shared" si="7"/>
        <v>0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/>
      <c r="G77" s="54"/>
      <c r="H77" s="15">
        <v>14884</v>
      </c>
      <c r="I77" s="55">
        <v>4435.04</v>
      </c>
      <c r="J77" s="15"/>
      <c r="K77" s="16">
        <f>(H77+I77)-J77</f>
        <v>19319.04</v>
      </c>
    </row>
    <row r="78" spans="1:11" ht="18" customHeight="1">
      <c r="A78" s="5" t="s">
        <v>108</v>
      </c>
      <c r="B78" s="1" t="s">
        <v>55</v>
      </c>
      <c r="F78" s="54"/>
      <c r="G78" s="54"/>
      <c r="H78" s="15"/>
      <c r="I78" s="55"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/>
      <c r="G79" s="54">
        <v>40</v>
      </c>
      <c r="H79" s="15">
        <v>3863</v>
      </c>
      <c r="I79" s="55">
        <v>0</v>
      </c>
      <c r="J79" s="15"/>
      <c r="K79" s="16">
        <f>(H79+I79)-J79</f>
        <v>3863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8">SUM(F77:F80)</f>
        <v>0</v>
      </c>
      <c r="G82" s="21">
        <f t="shared" si="8"/>
        <v>40</v>
      </c>
      <c r="H82" s="56">
        <f t="shared" si="8"/>
        <v>18747</v>
      </c>
      <c r="I82" s="56">
        <f t="shared" si="8"/>
        <v>4435.04</v>
      </c>
      <c r="J82" s="56">
        <f t="shared" si="8"/>
        <v>0</v>
      </c>
      <c r="K82" s="56">
        <f t="shared" si="8"/>
        <v>23182.04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f t="shared" ref="I86:I96" si="9">H86*F$114</f>
        <v>0</v>
      </c>
      <c r="J86" s="15"/>
      <c r="K86" s="16">
        <f t="shared" ref="K86:K96" si="10">(H86+I86)-J86</f>
        <v>0</v>
      </c>
    </row>
    <row r="87" spans="1:11" ht="18" customHeight="1">
      <c r="A87" s="5" t="s">
        <v>114</v>
      </c>
      <c r="B87" s="1" t="s">
        <v>14</v>
      </c>
      <c r="F87" s="54"/>
      <c r="G87" s="54"/>
      <c r="H87" s="15"/>
      <c r="I87" s="55">
        <f t="shared" si="9"/>
        <v>0</v>
      </c>
      <c r="J87" s="15"/>
      <c r="K87" s="16">
        <f t="shared" si="10"/>
        <v>0</v>
      </c>
    </row>
    <row r="88" spans="1:11" ht="18" customHeight="1">
      <c r="A88" s="5" t="s">
        <v>115</v>
      </c>
      <c r="B88" s="1" t="s">
        <v>116</v>
      </c>
      <c r="F88" s="54">
        <v>30</v>
      </c>
      <c r="G88" s="54"/>
      <c r="H88" s="15">
        <v>231348.08</v>
      </c>
      <c r="I88" s="55">
        <f t="shared" si="9"/>
        <v>193944.76115510863</v>
      </c>
      <c r="J88" s="15">
        <v>26400</v>
      </c>
      <c r="K88" s="16">
        <f t="shared" si="10"/>
        <v>398892.84115510865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 t="shared" si="9"/>
        <v>0</v>
      </c>
      <c r="J89" s="15"/>
      <c r="K89" s="16">
        <f t="shared" si="10"/>
        <v>0</v>
      </c>
    </row>
    <row r="90" spans="1:11" ht="18" customHeight="1">
      <c r="A90" s="5" t="s">
        <v>118</v>
      </c>
      <c r="B90" s="550" t="s">
        <v>59</v>
      </c>
      <c r="C90" s="551"/>
      <c r="F90" s="54"/>
      <c r="G90" s="54"/>
      <c r="H90" s="15"/>
      <c r="I90" s="55">
        <f t="shared" si="9"/>
        <v>0</v>
      </c>
      <c r="J90" s="15"/>
      <c r="K90" s="16">
        <f t="shared" si="10"/>
        <v>0</v>
      </c>
    </row>
    <row r="91" spans="1:11" ht="18" customHeight="1">
      <c r="A91" s="5" t="s">
        <v>119</v>
      </c>
      <c r="B91" s="1" t="s">
        <v>60</v>
      </c>
      <c r="F91" s="54">
        <v>433</v>
      </c>
      <c r="G91" s="54">
        <v>189</v>
      </c>
      <c r="H91" s="15">
        <v>34474.97</v>
      </c>
      <c r="I91" s="55">
        <f t="shared" si="9"/>
        <v>28901.211639532674</v>
      </c>
      <c r="J91" s="15"/>
      <c r="K91" s="16">
        <f t="shared" si="10"/>
        <v>63376.181639532675</v>
      </c>
    </row>
    <row r="92" spans="1:11" ht="18" customHeight="1">
      <c r="A92" s="5" t="s">
        <v>120</v>
      </c>
      <c r="B92" s="1" t="s">
        <v>121</v>
      </c>
      <c r="F92" s="38">
        <v>562</v>
      </c>
      <c r="G92" s="38">
        <v>74</v>
      </c>
      <c r="H92" s="39">
        <v>29027.68</v>
      </c>
      <c r="I92" s="55">
        <f t="shared" si="9"/>
        <v>24334.615028950855</v>
      </c>
      <c r="J92" s="39">
        <v>12000</v>
      </c>
      <c r="K92" s="16">
        <f t="shared" si="10"/>
        <v>41362.295028950859</v>
      </c>
    </row>
    <row r="93" spans="1:11" ht="18" customHeight="1">
      <c r="A93" s="5" t="s">
        <v>122</v>
      </c>
      <c r="B93" s="1" t="s">
        <v>123</v>
      </c>
      <c r="F93" s="54">
        <v>30</v>
      </c>
      <c r="G93" s="54">
        <v>50</v>
      </c>
      <c r="H93" s="15">
        <v>1015.33</v>
      </c>
      <c r="I93" s="55">
        <f t="shared" si="9"/>
        <v>851.17600432913241</v>
      </c>
      <c r="J93" s="15"/>
      <c r="K93" s="16">
        <f t="shared" si="10"/>
        <v>1866.5060043291323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f t="shared" si="9"/>
        <v>0</v>
      </c>
      <c r="J94" s="15"/>
      <c r="K94" s="16">
        <f t="shared" si="10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9"/>
        <v>0</v>
      </c>
      <c r="J95" s="15"/>
      <c r="K95" s="16">
        <f t="shared" si="10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9"/>
        <v>0</v>
      </c>
      <c r="J96" s="15"/>
      <c r="K96" s="16">
        <f t="shared" si="10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1">SUM(F86:F96)</f>
        <v>1055</v>
      </c>
      <c r="G98" s="18">
        <f t="shared" si="11"/>
        <v>313</v>
      </c>
      <c r="H98" s="18">
        <f t="shared" si="11"/>
        <v>295866.06</v>
      </c>
      <c r="I98" s="18">
        <f t="shared" si="11"/>
        <v>248031.7638279213</v>
      </c>
      <c r="J98" s="18">
        <f t="shared" si="11"/>
        <v>38400</v>
      </c>
      <c r="K98" s="18">
        <f t="shared" si="11"/>
        <v>505497.8238279213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>
        <v>120</v>
      </c>
      <c r="G102" s="54"/>
      <c r="H102" s="15">
        <v>5988.76</v>
      </c>
      <c r="I102" s="55">
        <f>H102*F$114</f>
        <v>5020.5241721274215</v>
      </c>
      <c r="J102" s="15"/>
      <c r="K102" s="16">
        <f>(H102+I102)-J102</f>
        <v>11009.284172127422</v>
      </c>
    </row>
    <row r="103" spans="1:11" ht="18" customHeight="1">
      <c r="A103" s="5" t="s">
        <v>132</v>
      </c>
      <c r="B103" s="550" t="s">
        <v>62</v>
      </c>
      <c r="C103" s="550"/>
      <c r="F103" s="54"/>
      <c r="G103" s="54"/>
      <c r="H103" s="15"/>
      <c r="I103" s="55">
        <f>H103*F$114</f>
        <v>0</v>
      </c>
      <c r="J103" s="15"/>
      <c r="K103" s="16">
        <f>(H103+I103)-J103</f>
        <v>0</v>
      </c>
    </row>
    <row r="104" spans="1:11" ht="18" customHeight="1">
      <c r="A104" s="5" t="s">
        <v>128</v>
      </c>
      <c r="B104" s="530"/>
      <c r="C104" s="531"/>
      <c r="D104" s="532"/>
      <c r="F104" s="54"/>
      <c r="G104" s="54"/>
      <c r="H104" s="15"/>
      <c r="I104" s="55">
        <f>H104*F$114</f>
        <v>0</v>
      </c>
      <c r="J104" s="15"/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2">SUM(F102:F106)</f>
        <v>120</v>
      </c>
      <c r="G108" s="18">
        <f t="shared" si="12"/>
        <v>0</v>
      </c>
      <c r="H108" s="16">
        <f t="shared" si="12"/>
        <v>5988.76</v>
      </c>
      <c r="I108" s="16">
        <f t="shared" si="12"/>
        <v>5020.5241721274215</v>
      </c>
      <c r="J108" s="16">
        <f t="shared" si="12"/>
        <v>0</v>
      </c>
      <c r="K108" s="16">
        <f t="shared" si="12"/>
        <v>11009.284172127422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84">
        <v>7100039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85">
        <v>0.83832448989898101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84">
        <v>117194632</v>
      </c>
    </row>
    <row r="118" spans="1:6" ht="18" customHeight="1">
      <c r="A118" s="5" t="s">
        <v>173</v>
      </c>
      <c r="B118" t="s">
        <v>18</v>
      </c>
      <c r="F118" s="84">
        <v>6800330</v>
      </c>
    </row>
    <row r="119" spans="1:6" ht="18" customHeight="1">
      <c r="A119" s="5" t="s">
        <v>174</v>
      </c>
      <c r="B119" s="2" t="s">
        <v>19</v>
      </c>
      <c r="F119" s="56">
        <f>SUM(F117:F118)</f>
        <v>123994962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84">
        <v>117602616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84">
        <f>+F119-F121</f>
        <v>6392346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84">
        <f>-4183281+71515</f>
        <v>-4111766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84">
        <f>+F123+F125</f>
        <v>2280580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3">SUM(F131:F135)</f>
        <v>0</v>
      </c>
      <c r="G137" s="18">
        <f t="shared" si="13"/>
        <v>0</v>
      </c>
      <c r="H137" s="16">
        <f t="shared" si="13"/>
        <v>0</v>
      </c>
      <c r="I137" s="16">
        <f t="shared" si="13"/>
        <v>0</v>
      </c>
      <c r="J137" s="16">
        <f t="shared" si="13"/>
        <v>0</v>
      </c>
      <c r="K137" s="16">
        <f t="shared" si="13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4">F36</f>
        <v>6781</v>
      </c>
      <c r="G141" s="41">
        <f t="shared" si="14"/>
        <v>11193</v>
      </c>
      <c r="H141" s="41">
        <f t="shared" si="14"/>
        <v>625677.75104615698</v>
      </c>
      <c r="I141" s="41">
        <f t="shared" si="14"/>
        <v>524520.98148691107</v>
      </c>
      <c r="J141" s="41">
        <f t="shared" si="14"/>
        <v>158846.41</v>
      </c>
      <c r="K141" s="41">
        <f t="shared" si="14"/>
        <v>991352.32253306813</v>
      </c>
    </row>
    <row r="142" spans="1:11" ht="18" customHeight="1">
      <c r="A142" s="5" t="s">
        <v>142</v>
      </c>
      <c r="B142" s="2" t="s">
        <v>65</v>
      </c>
      <c r="F142" s="41">
        <f t="shared" ref="F142:K142" si="15">F49</f>
        <v>14065</v>
      </c>
      <c r="G142" s="41">
        <f t="shared" si="15"/>
        <v>1616</v>
      </c>
      <c r="H142" s="41">
        <f t="shared" si="15"/>
        <v>600402.38000000012</v>
      </c>
      <c r="I142" s="41">
        <f t="shared" si="15"/>
        <v>194139.15</v>
      </c>
      <c r="J142" s="41">
        <f t="shared" si="15"/>
        <v>0</v>
      </c>
      <c r="K142" s="41">
        <f t="shared" si="15"/>
        <v>794541.53</v>
      </c>
    </row>
    <row r="143" spans="1:11" ht="18" customHeight="1">
      <c r="A143" s="5" t="s">
        <v>144</v>
      </c>
      <c r="B143" s="2" t="s">
        <v>66</v>
      </c>
      <c r="F143" s="41">
        <f t="shared" ref="F143:K143" si="16">F64</f>
        <v>74385</v>
      </c>
      <c r="G143" s="41">
        <f t="shared" si="16"/>
        <v>20117</v>
      </c>
      <c r="H143" s="41">
        <f t="shared" si="16"/>
        <v>8052059</v>
      </c>
      <c r="I143" s="41">
        <f t="shared" si="16"/>
        <v>4143526</v>
      </c>
      <c r="J143" s="41">
        <f t="shared" si="16"/>
        <v>4243382</v>
      </c>
      <c r="K143" s="41">
        <f t="shared" si="16"/>
        <v>7952203</v>
      </c>
    </row>
    <row r="144" spans="1:11" ht="18" customHeight="1">
      <c r="A144" s="5" t="s">
        <v>146</v>
      </c>
      <c r="B144" s="2" t="s">
        <v>67</v>
      </c>
      <c r="F144" s="41">
        <f t="shared" ref="F144:K144" si="17">F74</f>
        <v>0</v>
      </c>
      <c r="G144" s="41">
        <f t="shared" si="17"/>
        <v>0</v>
      </c>
      <c r="H144" s="41">
        <f t="shared" si="17"/>
        <v>0</v>
      </c>
      <c r="I144" s="41">
        <f t="shared" si="17"/>
        <v>0</v>
      </c>
      <c r="J144" s="41">
        <f t="shared" si="17"/>
        <v>0</v>
      </c>
      <c r="K144" s="41">
        <f t="shared" si="17"/>
        <v>0</v>
      </c>
    </row>
    <row r="145" spans="1:11" ht="18" customHeight="1">
      <c r="A145" s="5" t="s">
        <v>148</v>
      </c>
      <c r="B145" s="2" t="s">
        <v>68</v>
      </c>
      <c r="F145" s="41">
        <f t="shared" ref="F145:K145" si="18">F82</f>
        <v>0</v>
      </c>
      <c r="G145" s="41">
        <f t="shared" si="18"/>
        <v>40</v>
      </c>
      <c r="H145" s="41">
        <f t="shared" si="18"/>
        <v>18747</v>
      </c>
      <c r="I145" s="41">
        <f t="shared" si="18"/>
        <v>4435.04</v>
      </c>
      <c r="J145" s="41">
        <f t="shared" si="18"/>
        <v>0</v>
      </c>
      <c r="K145" s="41">
        <f t="shared" si="18"/>
        <v>23182.04</v>
      </c>
    </row>
    <row r="146" spans="1:11" ht="18" customHeight="1">
      <c r="A146" s="5" t="s">
        <v>150</v>
      </c>
      <c r="B146" s="2" t="s">
        <v>69</v>
      </c>
      <c r="F146" s="41">
        <f t="shared" ref="F146:K146" si="19">F98</f>
        <v>1055</v>
      </c>
      <c r="G146" s="41">
        <f t="shared" si="19"/>
        <v>313</v>
      </c>
      <c r="H146" s="41">
        <f t="shared" si="19"/>
        <v>295866.06</v>
      </c>
      <c r="I146" s="41">
        <f t="shared" si="19"/>
        <v>248031.7638279213</v>
      </c>
      <c r="J146" s="41">
        <f t="shared" si="19"/>
        <v>38400</v>
      </c>
      <c r="K146" s="41">
        <f t="shared" si="19"/>
        <v>505497.8238279213</v>
      </c>
    </row>
    <row r="147" spans="1:11" ht="18" customHeight="1">
      <c r="A147" s="5" t="s">
        <v>153</v>
      </c>
      <c r="B147" s="2" t="s">
        <v>61</v>
      </c>
      <c r="F147" s="18">
        <f t="shared" ref="F147:K147" si="20">F108</f>
        <v>120</v>
      </c>
      <c r="G147" s="18">
        <f t="shared" si="20"/>
        <v>0</v>
      </c>
      <c r="H147" s="18">
        <f t="shared" si="20"/>
        <v>5988.76</v>
      </c>
      <c r="I147" s="18">
        <f t="shared" si="20"/>
        <v>5020.5241721274215</v>
      </c>
      <c r="J147" s="18">
        <f t="shared" si="20"/>
        <v>0</v>
      </c>
      <c r="K147" s="18">
        <f t="shared" si="20"/>
        <v>11009.284172127422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7100039</v>
      </c>
    </row>
    <row r="149" spans="1:11" ht="18" customHeight="1">
      <c r="A149" s="5" t="s">
        <v>163</v>
      </c>
      <c r="B149" s="2" t="s">
        <v>71</v>
      </c>
      <c r="F149" s="18">
        <f t="shared" ref="F149:K149" si="21">F137</f>
        <v>0</v>
      </c>
      <c r="G149" s="18">
        <f t="shared" si="21"/>
        <v>0</v>
      </c>
      <c r="H149" s="18">
        <f t="shared" si="21"/>
        <v>0</v>
      </c>
      <c r="I149" s="18">
        <f t="shared" si="21"/>
        <v>0</v>
      </c>
      <c r="J149" s="18">
        <f t="shared" si="21"/>
        <v>0</v>
      </c>
      <c r="K149" s="18">
        <f t="shared" si="21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3573247</v>
      </c>
      <c r="I150" s="18">
        <f>I18</f>
        <v>0</v>
      </c>
      <c r="J150" s="18">
        <f>J18</f>
        <v>3055573</v>
      </c>
      <c r="K150" s="18">
        <f>K18</f>
        <v>517674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2">SUM(F141:F150)</f>
        <v>96406</v>
      </c>
      <c r="G152" s="49">
        <f t="shared" si="22"/>
        <v>33279</v>
      </c>
      <c r="H152" s="49">
        <f t="shared" si="22"/>
        <v>13171987.951046158</v>
      </c>
      <c r="I152" s="49">
        <f t="shared" si="22"/>
        <v>5119673.4594869595</v>
      </c>
      <c r="J152" s="49">
        <f t="shared" si="22"/>
        <v>7496201.4100000001</v>
      </c>
      <c r="K152" s="49">
        <f t="shared" si="22"/>
        <v>17895499.000533115</v>
      </c>
    </row>
    <row r="154" spans="1:11" ht="18" customHeight="1">
      <c r="A154" s="6" t="s">
        <v>168</v>
      </c>
      <c r="B154" s="2" t="s">
        <v>28</v>
      </c>
      <c r="F154" s="64">
        <f>K152/F121</f>
        <v>0.15216922555985588</v>
      </c>
    </row>
    <row r="155" spans="1:11" ht="18" customHeight="1">
      <c r="A155" s="6" t="s">
        <v>169</v>
      </c>
      <c r="B155" s="2" t="s">
        <v>72</v>
      </c>
      <c r="F155" s="64">
        <f>K152/F127</f>
        <v>7.8469069274189529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B57:D57"/>
    <mergeCell ref="B52:C52"/>
    <mergeCell ref="B90:C90"/>
    <mergeCell ref="B53:D53"/>
    <mergeCell ref="B55:D55"/>
    <mergeCell ref="B56:D56"/>
    <mergeCell ref="B60:D60"/>
    <mergeCell ref="B62:D62"/>
    <mergeCell ref="D2:H2"/>
    <mergeCell ref="B45:D45"/>
    <mergeCell ref="B46:D46"/>
    <mergeCell ref="B47:D47"/>
    <mergeCell ref="B34:D34"/>
    <mergeCell ref="C11:G11"/>
    <mergeCell ref="B41:C41"/>
    <mergeCell ref="B44:D44"/>
    <mergeCell ref="B13:H13"/>
    <mergeCell ref="B31:D31"/>
    <mergeCell ref="C5:G5"/>
    <mergeCell ref="C6:G6"/>
    <mergeCell ref="C7:G7"/>
    <mergeCell ref="C9:G9"/>
    <mergeCell ref="C10:G10"/>
    <mergeCell ref="B30:D30"/>
    <mergeCell ref="B135:D135"/>
    <mergeCell ref="B133:D133"/>
    <mergeCell ref="B104:D104"/>
    <mergeCell ref="B105:D105"/>
    <mergeCell ref="B106:D106"/>
    <mergeCell ref="B94:D94"/>
    <mergeCell ref="B96:D96"/>
    <mergeCell ref="B95:D95"/>
    <mergeCell ref="B103:C103"/>
    <mergeCell ref="B134:D134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70" zoomScaleNormal="50" zoomScaleSheetLayoutView="7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33" t="s">
        <v>638</v>
      </c>
      <c r="D5" s="534"/>
      <c r="E5" s="534"/>
      <c r="F5" s="534"/>
      <c r="G5" s="535"/>
    </row>
    <row r="6" spans="1:11" ht="18" customHeight="1">
      <c r="B6" s="5" t="s">
        <v>3</v>
      </c>
      <c r="C6" s="655">
        <v>33</v>
      </c>
      <c r="D6" s="656"/>
      <c r="E6" s="656"/>
      <c r="F6" s="656"/>
      <c r="G6" s="657"/>
    </row>
    <row r="7" spans="1:11" ht="18" customHeight="1">
      <c r="B7" s="5" t="s">
        <v>4</v>
      </c>
      <c r="C7" s="640">
        <v>1750</v>
      </c>
      <c r="D7" s="641"/>
      <c r="E7" s="641"/>
      <c r="F7" s="641"/>
      <c r="G7" s="642"/>
    </row>
    <row r="9" spans="1:11" ht="18" customHeight="1">
      <c r="B9" s="5" t="s">
        <v>1</v>
      </c>
      <c r="C9" s="533" t="s">
        <v>637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636</v>
      </c>
      <c r="D10" s="543"/>
      <c r="E10" s="543"/>
      <c r="F10" s="543"/>
      <c r="G10" s="544"/>
    </row>
    <row r="11" spans="1:11" ht="18" customHeight="1">
      <c r="B11" s="5" t="s">
        <v>32</v>
      </c>
      <c r="C11" s="533" t="s">
        <v>635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55">
        <v>5904868</v>
      </c>
      <c r="I18" s="55"/>
      <c r="J18" s="15">
        <v>5049400</v>
      </c>
      <c r="K18" s="16">
        <f>(H18+I18)-J18</f>
        <v>855468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10446</v>
      </c>
      <c r="G21" s="54">
        <v>21109</v>
      </c>
      <c r="H21" s="15">
        <v>609139</v>
      </c>
      <c r="I21" s="55">
        <v>304569.5</v>
      </c>
      <c r="J21" s="15">
        <v>114637</v>
      </c>
      <c r="K21" s="16">
        <f t="shared" ref="K21:K34" si="0">(H21+I21)-J21</f>
        <v>799071.5</v>
      </c>
    </row>
    <row r="22" spans="1:11" ht="18" customHeight="1">
      <c r="A22" s="5" t="s">
        <v>76</v>
      </c>
      <c r="B22" t="s">
        <v>6</v>
      </c>
      <c r="F22" s="54">
        <v>190</v>
      </c>
      <c r="G22" s="54">
        <v>2520</v>
      </c>
      <c r="H22" s="15">
        <v>10866</v>
      </c>
      <c r="I22" s="55">
        <f>H22*F$114</f>
        <v>5433</v>
      </c>
      <c r="J22" s="15"/>
      <c r="K22" s="16">
        <f t="shared" si="0"/>
        <v>16299</v>
      </c>
    </row>
    <row r="23" spans="1:11" ht="18" customHeight="1">
      <c r="A23" s="5" t="s">
        <v>77</v>
      </c>
      <c r="B23" t="s">
        <v>43</v>
      </c>
      <c r="F23" s="54">
        <v>0</v>
      </c>
      <c r="G23" s="54">
        <v>153</v>
      </c>
      <c r="H23" s="15">
        <v>11775</v>
      </c>
      <c r="I23" s="55">
        <f>H23*F$114</f>
        <v>5887.5</v>
      </c>
      <c r="J23" s="15">
        <v>6183</v>
      </c>
      <c r="K23" s="16">
        <f t="shared" si="0"/>
        <v>11479.5</v>
      </c>
    </row>
    <row r="24" spans="1:11" ht="18" customHeight="1">
      <c r="A24" s="5" t="s">
        <v>78</v>
      </c>
      <c r="B24" t="s">
        <v>44</v>
      </c>
      <c r="F24" s="54"/>
      <c r="G24" s="54"/>
      <c r="H24" s="15"/>
      <c r="I24" s="55">
        <f>H24*F$114</f>
        <v>0</v>
      </c>
      <c r="J24" s="15"/>
      <c r="K24" s="16">
        <f t="shared" si="0"/>
        <v>0</v>
      </c>
    </row>
    <row r="25" spans="1:11" ht="18" customHeight="1">
      <c r="A25" s="5" t="s">
        <v>79</v>
      </c>
      <c r="B25" t="s">
        <v>5</v>
      </c>
      <c r="F25" s="54">
        <v>110.5</v>
      </c>
      <c r="G25" s="54">
        <v>1825</v>
      </c>
      <c r="H25" s="15">
        <v>4100</v>
      </c>
      <c r="I25" s="55">
        <f>H25*F$114</f>
        <v>2050</v>
      </c>
      <c r="J25" s="15">
        <v>495</v>
      </c>
      <c r="K25" s="16">
        <f t="shared" si="0"/>
        <v>5655</v>
      </c>
    </row>
    <row r="26" spans="1:11" ht="18" customHeight="1">
      <c r="A26" s="5" t="s">
        <v>80</v>
      </c>
      <c r="B26" t="s">
        <v>45</v>
      </c>
      <c r="F26" s="54">
        <v>0</v>
      </c>
      <c r="G26" s="54">
        <v>9</v>
      </c>
      <c r="H26" s="15">
        <v>180</v>
      </c>
      <c r="I26" s="55">
        <v>90</v>
      </c>
      <c r="J26" s="15"/>
      <c r="K26" s="16">
        <f t="shared" si="0"/>
        <v>270</v>
      </c>
    </row>
    <row r="27" spans="1:11" ht="18" customHeight="1">
      <c r="A27" s="5" t="s">
        <v>81</v>
      </c>
      <c r="B27" t="s">
        <v>46</v>
      </c>
      <c r="F27" s="54"/>
      <c r="G27" s="54"/>
      <c r="H27" s="15"/>
      <c r="I27" s="55">
        <f>H27*F$114</f>
        <v>0</v>
      </c>
      <c r="J27" s="15"/>
      <c r="K27" s="16">
        <f t="shared" si="0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15"/>
      <c r="I28" s="55">
        <f>H28*F$114</f>
        <v>0</v>
      </c>
      <c r="J28" s="15"/>
      <c r="K28" s="16">
        <f t="shared" si="0"/>
        <v>0</v>
      </c>
    </row>
    <row r="29" spans="1:11" ht="18" customHeight="1">
      <c r="A29" s="5" t="s">
        <v>83</v>
      </c>
      <c r="B29" t="s">
        <v>48</v>
      </c>
      <c r="F29" s="54">
        <v>5437</v>
      </c>
      <c r="G29" s="54">
        <v>10554</v>
      </c>
      <c r="H29" s="15">
        <v>677925</v>
      </c>
      <c r="I29" s="55">
        <f>H29*F$114</f>
        <v>338962.5</v>
      </c>
      <c r="J29" s="15"/>
      <c r="K29" s="16">
        <f t="shared" si="0"/>
        <v>1016887.5</v>
      </c>
    </row>
    <row r="30" spans="1:11" ht="18" customHeight="1">
      <c r="A30" s="5" t="s">
        <v>84</v>
      </c>
      <c r="B30" s="547" t="s">
        <v>211</v>
      </c>
      <c r="C30" s="548"/>
      <c r="D30" s="549"/>
      <c r="F30" s="54">
        <v>416</v>
      </c>
      <c r="G30" s="54">
        <v>401</v>
      </c>
      <c r="H30" s="15">
        <v>9455</v>
      </c>
      <c r="I30" s="55">
        <v>4727.5</v>
      </c>
      <c r="J30" s="15"/>
      <c r="K30" s="16">
        <f t="shared" si="0"/>
        <v>14182.5</v>
      </c>
    </row>
    <row r="31" spans="1:11" ht="18" customHeight="1">
      <c r="A31" s="5" t="s">
        <v>133</v>
      </c>
      <c r="B31" s="547" t="s">
        <v>634</v>
      </c>
      <c r="C31" s="548"/>
      <c r="D31" s="549"/>
      <c r="F31" s="54">
        <v>0</v>
      </c>
      <c r="G31" s="54">
        <v>240</v>
      </c>
      <c r="H31" s="15">
        <v>22265</v>
      </c>
      <c r="I31" s="55">
        <v>11132.5</v>
      </c>
      <c r="J31" s="15"/>
      <c r="K31" s="16">
        <f t="shared" si="0"/>
        <v>33397.5</v>
      </c>
    </row>
    <row r="32" spans="1:11" ht="18" customHeight="1">
      <c r="A32" s="5" t="s">
        <v>134</v>
      </c>
      <c r="B32" s="284" t="s">
        <v>235</v>
      </c>
      <c r="C32" s="285"/>
      <c r="D32" s="286"/>
      <c r="F32" s="54">
        <v>1615</v>
      </c>
      <c r="G32" s="52">
        <v>52</v>
      </c>
      <c r="H32" s="15">
        <v>116276</v>
      </c>
      <c r="I32" s="55">
        <v>58138</v>
      </c>
      <c r="J32" s="15"/>
      <c r="K32" s="16">
        <f t="shared" si="0"/>
        <v>174414</v>
      </c>
    </row>
    <row r="33" spans="1:11" ht="18" customHeight="1">
      <c r="A33" s="5" t="s">
        <v>135</v>
      </c>
      <c r="B33" s="284"/>
      <c r="C33" s="285"/>
      <c r="D33" s="286"/>
      <c r="F33" s="54"/>
      <c r="G33" s="52"/>
      <c r="H33" s="15"/>
      <c r="I33" s="55"/>
      <c r="J33" s="15"/>
      <c r="K33" s="16">
        <f t="shared" si="0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>H34*F$114</f>
        <v>0</v>
      </c>
      <c r="J34" s="15"/>
      <c r="K34" s="16">
        <f t="shared" si="0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1">SUM(F21:F34)</f>
        <v>18214.5</v>
      </c>
      <c r="G36" s="18">
        <f t="shared" si="1"/>
        <v>36863</v>
      </c>
      <c r="H36" s="18">
        <f t="shared" si="1"/>
        <v>1461981</v>
      </c>
      <c r="I36" s="16">
        <f t="shared" si="1"/>
        <v>730990.5</v>
      </c>
      <c r="J36" s="16">
        <f t="shared" si="1"/>
        <v>121315</v>
      </c>
      <c r="K36" s="16">
        <f t="shared" si="1"/>
        <v>2071656.5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/>
      <c r="G40" s="54"/>
      <c r="H40" s="15"/>
      <c r="I40" s="55">
        <v>0</v>
      </c>
      <c r="J40" s="15"/>
      <c r="K40" s="16">
        <f t="shared" ref="K40:K47" si="2">(H40+I40)-J40</f>
        <v>0</v>
      </c>
    </row>
    <row r="41" spans="1:11" ht="18" customHeight="1">
      <c r="A41" s="5" t="s">
        <v>88</v>
      </c>
      <c r="B41" s="550" t="s">
        <v>50</v>
      </c>
      <c r="C41" s="551"/>
      <c r="F41" s="54">
        <v>9419</v>
      </c>
      <c r="G41" s="54">
        <v>308</v>
      </c>
      <c r="H41" s="15">
        <v>287175</v>
      </c>
      <c r="I41" s="55">
        <v>0</v>
      </c>
      <c r="J41" s="15"/>
      <c r="K41" s="16">
        <f t="shared" si="2"/>
        <v>287175</v>
      </c>
    </row>
    <row r="42" spans="1:11" ht="18" customHeight="1">
      <c r="A42" s="5" t="s">
        <v>89</v>
      </c>
      <c r="B42" s="1" t="s">
        <v>11</v>
      </c>
      <c r="F42" s="54">
        <v>11858</v>
      </c>
      <c r="G42" s="54">
        <v>104</v>
      </c>
      <c r="H42" s="15">
        <v>224008</v>
      </c>
      <c r="I42" s="55">
        <v>0</v>
      </c>
      <c r="J42" s="15"/>
      <c r="K42" s="16">
        <f t="shared" si="2"/>
        <v>224008</v>
      </c>
    </row>
    <row r="43" spans="1:11" ht="18" customHeight="1">
      <c r="A43" s="5" t="s">
        <v>90</v>
      </c>
      <c r="B43" s="47" t="s">
        <v>10</v>
      </c>
      <c r="C43" s="10"/>
      <c r="D43" s="10"/>
      <c r="F43" s="54">
        <v>19.5</v>
      </c>
      <c r="G43" s="54">
        <v>16</v>
      </c>
      <c r="H43" s="15">
        <v>26616</v>
      </c>
      <c r="I43" s="55">
        <v>0</v>
      </c>
      <c r="J43" s="15"/>
      <c r="K43" s="16">
        <f t="shared" si="2"/>
        <v>26616</v>
      </c>
    </row>
    <row r="44" spans="1:11" ht="18" customHeight="1">
      <c r="A44" s="5" t="s">
        <v>91</v>
      </c>
      <c r="B44" s="547" t="s">
        <v>633</v>
      </c>
      <c r="C44" s="548"/>
      <c r="D44" s="549"/>
      <c r="F44" s="82">
        <v>320</v>
      </c>
      <c r="G44" s="82">
        <v>180</v>
      </c>
      <c r="H44" s="82">
        <v>5904</v>
      </c>
      <c r="I44" s="83">
        <v>0</v>
      </c>
      <c r="J44" s="82"/>
      <c r="K44" s="81">
        <f t="shared" si="2"/>
        <v>5904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v>0</v>
      </c>
      <c r="J45" s="15"/>
      <c r="K45" s="16">
        <f t="shared" si="2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v>0</v>
      </c>
      <c r="J46" s="15"/>
      <c r="K46" s="16">
        <f t="shared" si="2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v>0</v>
      </c>
      <c r="J47" s="15"/>
      <c r="K47" s="16">
        <f t="shared" si="2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3">SUM(F40:F47)</f>
        <v>21616.5</v>
      </c>
      <c r="G49" s="23">
        <f t="shared" si="3"/>
        <v>608</v>
      </c>
      <c r="H49" s="16">
        <f t="shared" si="3"/>
        <v>543703</v>
      </c>
      <c r="I49" s="16">
        <f t="shared" si="3"/>
        <v>0</v>
      </c>
      <c r="J49" s="16">
        <f t="shared" si="3"/>
        <v>0</v>
      </c>
      <c r="K49" s="16">
        <f t="shared" si="3"/>
        <v>543703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558" t="s">
        <v>415</v>
      </c>
      <c r="C53" s="559"/>
      <c r="D53" s="532"/>
      <c r="F53" s="54">
        <v>104000</v>
      </c>
      <c r="G53" s="54">
        <v>22411</v>
      </c>
      <c r="H53" s="15">
        <v>296140</v>
      </c>
      <c r="I53" s="55">
        <v>98714</v>
      </c>
      <c r="J53" s="15"/>
      <c r="K53" s="16">
        <f t="shared" ref="K53:K62" si="4">(H53+I53)-J53</f>
        <v>394854</v>
      </c>
    </row>
    <row r="54" spans="1:11" ht="18" customHeight="1">
      <c r="A54" s="5" t="s">
        <v>93</v>
      </c>
      <c r="B54" s="281" t="s">
        <v>632</v>
      </c>
      <c r="C54" s="282"/>
      <c r="D54" s="283"/>
      <c r="F54" s="54">
        <v>2750.5</v>
      </c>
      <c r="G54" s="54">
        <v>6198</v>
      </c>
      <c r="H54" s="15">
        <v>270199</v>
      </c>
      <c r="I54" s="55">
        <v>0</v>
      </c>
      <c r="J54" s="15"/>
      <c r="K54" s="16">
        <f t="shared" si="4"/>
        <v>270199</v>
      </c>
    </row>
    <row r="55" spans="1:11" ht="18" customHeight="1">
      <c r="A55" s="5" t="s">
        <v>94</v>
      </c>
      <c r="B55" s="530" t="s">
        <v>631</v>
      </c>
      <c r="C55" s="531"/>
      <c r="D55" s="532"/>
      <c r="F55" s="54">
        <v>98848</v>
      </c>
      <c r="G55" s="54">
        <v>48784</v>
      </c>
      <c r="H55" s="15">
        <v>8749933</v>
      </c>
      <c r="I55" s="55">
        <v>0</v>
      </c>
      <c r="J55" s="55">
        <v>1942795</v>
      </c>
      <c r="K55" s="16">
        <f t="shared" si="4"/>
        <v>6807138</v>
      </c>
    </row>
    <row r="56" spans="1:11" ht="18" customHeight="1">
      <c r="A56" s="5" t="s">
        <v>95</v>
      </c>
      <c r="B56" s="530" t="s">
        <v>418</v>
      </c>
      <c r="C56" s="531"/>
      <c r="D56" s="532"/>
      <c r="F56" s="54" t="s">
        <v>740</v>
      </c>
      <c r="G56" s="54"/>
      <c r="H56" s="15">
        <v>185500</v>
      </c>
      <c r="I56" s="55">
        <v>18500</v>
      </c>
      <c r="J56" s="15"/>
      <c r="K56" s="16">
        <f t="shared" si="4"/>
        <v>204000</v>
      </c>
    </row>
    <row r="57" spans="1:11" ht="18" customHeight="1">
      <c r="A57" s="5" t="s">
        <v>96</v>
      </c>
      <c r="B57" s="530"/>
      <c r="C57" s="531"/>
      <c r="D57" s="532"/>
      <c r="F57" s="54"/>
      <c r="G57" s="54"/>
      <c r="H57" s="15"/>
      <c r="I57" s="55">
        <v>0</v>
      </c>
      <c r="J57" s="15"/>
      <c r="K57" s="16">
        <f t="shared" si="4"/>
        <v>0</v>
      </c>
    </row>
    <row r="58" spans="1:11" ht="18" customHeight="1">
      <c r="A58" s="5" t="s">
        <v>97</v>
      </c>
      <c r="B58" s="281"/>
      <c r="C58" s="282"/>
      <c r="D58" s="283"/>
      <c r="F58" s="54"/>
      <c r="G58" s="54"/>
      <c r="H58" s="15"/>
      <c r="I58" s="55">
        <v>0</v>
      </c>
      <c r="J58" s="15"/>
      <c r="K58" s="16">
        <f t="shared" si="4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v>0</v>
      </c>
      <c r="J59" s="15"/>
      <c r="K59" s="16">
        <f t="shared" si="4"/>
        <v>0</v>
      </c>
    </row>
    <row r="60" spans="1:11" ht="18" customHeight="1">
      <c r="A60" s="5" t="s">
        <v>99</v>
      </c>
      <c r="B60" s="281"/>
      <c r="C60" s="282"/>
      <c r="D60" s="283"/>
      <c r="F60" s="54"/>
      <c r="G60" s="54"/>
      <c r="H60" s="15"/>
      <c r="I60" s="55">
        <v>0</v>
      </c>
      <c r="J60" s="15"/>
      <c r="K60" s="16">
        <f t="shared" si="4"/>
        <v>0</v>
      </c>
    </row>
    <row r="61" spans="1:11" ht="18" customHeight="1">
      <c r="A61" s="5" t="s">
        <v>100</v>
      </c>
      <c r="B61" s="281"/>
      <c r="C61" s="282"/>
      <c r="D61" s="283"/>
      <c r="F61" s="54"/>
      <c r="G61" s="54"/>
      <c r="H61" s="15"/>
      <c r="I61" s="55">
        <v>0</v>
      </c>
      <c r="J61" s="15"/>
      <c r="K61" s="16">
        <f t="shared" si="4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4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5">SUM(F53:F62)</f>
        <v>205598.5</v>
      </c>
      <c r="G64" s="18">
        <f t="shared" si="5"/>
        <v>77393</v>
      </c>
      <c r="H64" s="16">
        <f t="shared" si="5"/>
        <v>9501772</v>
      </c>
      <c r="I64" s="16">
        <f t="shared" si="5"/>
        <v>117214</v>
      </c>
      <c r="J64" s="16">
        <f t="shared" si="5"/>
        <v>1942795</v>
      </c>
      <c r="K64" s="16">
        <f t="shared" si="5"/>
        <v>7676191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/>
      <c r="G68" s="51"/>
      <c r="H68" s="51"/>
      <c r="I68" s="55">
        <v>0</v>
      </c>
      <c r="J68" s="51"/>
      <c r="K68" s="16">
        <f>(H68+I68)-J68</f>
        <v>0</v>
      </c>
    </row>
    <row r="69" spans="1:11" ht="18" customHeight="1">
      <c r="A69" s="5" t="s">
        <v>104</v>
      </c>
      <c r="B69" s="1" t="s">
        <v>53</v>
      </c>
      <c r="F69" s="51"/>
      <c r="G69" s="51"/>
      <c r="H69" s="51"/>
      <c r="I69" s="55">
        <v>0</v>
      </c>
      <c r="J69" s="51"/>
      <c r="K69" s="16">
        <f>(H69+I69)-J69</f>
        <v>0</v>
      </c>
    </row>
    <row r="70" spans="1:11" ht="18" customHeight="1">
      <c r="A70" s="5" t="s">
        <v>178</v>
      </c>
      <c r="B70" s="281"/>
      <c r="C70" s="282"/>
      <c r="D70" s="283"/>
      <c r="E70" s="2"/>
      <c r="F70" s="35"/>
      <c r="G70" s="35"/>
      <c r="H70" s="36"/>
      <c r="I70" s="55"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281"/>
      <c r="C71" s="282"/>
      <c r="D71" s="283"/>
      <c r="E71" s="2"/>
      <c r="F71" s="35"/>
      <c r="G71" s="35"/>
      <c r="H71" s="36"/>
      <c r="I71" s="55"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287"/>
      <c r="C72" s="288"/>
      <c r="D72" s="34"/>
      <c r="E72" s="2"/>
      <c r="F72" s="54"/>
      <c r="G72" s="54"/>
      <c r="H72" s="15"/>
      <c r="I72" s="55"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6">SUM(F68:F72)</f>
        <v>0</v>
      </c>
      <c r="G74" s="21">
        <f t="shared" si="6"/>
        <v>0</v>
      </c>
      <c r="H74" s="21">
        <f t="shared" si="6"/>
        <v>0</v>
      </c>
      <c r="I74" s="53">
        <f t="shared" si="6"/>
        <v>0</v>
      </c>
      <c r="J74" s="21">
        <f t="shared" si="6"/>
        <v>0</v>
      </c>
      <c r="K74" s="56">
        <f t="shared" si="6"/>
        <v>0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/>
      <c r="G77" s="54"/>
      <c r="H77" s="15">
        <v>181604</v>
      </c>
      <c r="I77" s="55">
        <v>0</v>
      </c>
      <c r="J77" s="15"/>
      <c r="K77" s="16">
        <f>(H77+I77)-J77</f>
        <v>181604</v>
      </c>
    </row>
    <row r="78" spans="1:11" ht="18" customHeight="1">
      <c r="A78" s="5" t="s">
        <v>108</v>
      </c>
      <c r="B78" s="1" t="s">
        <v>55</v>
      </c>
      <c r="F78" s="54"/>
      <c r="G78" s="54"/>
      <c r="H78" s="15"/>
      <c r="I78" s="55"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>
        <v>629.5</v>
      </c>
      <c r="G79" s="54">
        <v>9502</v>
      </c>
      <c r="H79" s="15">
        <v>104571</v>
      </c>
      <c r="I79" s="55">
        <v>0</v>
      </c>
      <c r="J79" s="15"/>
      <c r="K79" s="16">
        <f>(H79+I79)-J79</f>
        <v>104571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7">SUM(F77:F80)</f>
        <v>629.5</v>
      </c>
      <c r="G82" s="21">
        <f t="shared" si="7"/>
        <v>9502</v>
      </c>
      <c r="H82" s="56">
        <f t="shared" si="7"/>
        <v>286175</v>
      </c>
      <c r="I82" s="56">
        <f t="shared" si="7"/>
        <v>0</v>
      </c>
      <c r="J82" s="56">
        <f t="shared" si="7"/>
        <v>0</v>
      </c>
      <c r="K82" s="56">
        <f t="shared" si="7"/>
        <v>286175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f>H86*F$114</f>
        <v>0</v>
      </c>
      <c r="J86" s="15"/>
      <c r="K86" s="16">
        <f t="shared" ref="K86:K96" si="8">(H86+I86)-J86</f>
        <v>0</v>
      </c>
    </row>
    <row r="87" spans="1:11" ht="18" customHeight="1">
      <c r="A87" s="5" t="s">
        <v>114</v>
      </c>
      <c r="B87" s="1" t="s">
        <v>14</v>
      </c>
      <c r="F87" s="54"/>
      <c r="G87" s="54"/>
      <c r="H87" s="15"/>
      <c r="I87" s="55">
        <f>H87*F$114</f>
        <v>0</v>
      </c>
      <c r="J87" s="15"/>
      <c r="K87" s="16">
        <f t="shared" si="8"/>
        <v>0</v>
      </c>
    </row>
    <row r="88" spans="1:11" ht="18" customHeight="1">
      <c r="A88" s="5" t="s">
        <v>115</v>
      </c>
      <c r="B88" s="1" t="s">
        <v>116</v>
      </c>
      <c r="F88" s="54"/>
      <c r="G88" s="54"/>
      <c r="H88" s="15"/>
      <c r="I88" s="55">
        <v>0</v>
      </c>
      <c r="J88" s="55"/>
      <c r="K88" s="16">
        <f t="shared" si="8"/>
        <v>0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 t="shared" ref="I89:I96" si="9">H89*F$114</f>
        <v>0</v>
      </c>
      <c r="J89" s="15"/>
      <c r="K89" s="16">
        <f t="shared" si="8"/>
        <v>0</v>
      </c>
    </row>
    <row r="90" spans="1:11" ht="18" customHeight="1">
      <c r="A90" s="5" t="s">
        <v>118</v>
      </c>
      <c r="B90" s="550" t="s">
        <v>59</v>
      </c>
      <c r="C90" s="551"/>
      <c r="F90" s="54"/>
      <c r="G90" s="54"/>
      <c r="H90" s="15"/>
      <c r="I90" s="55">
        <f t="shared" si="9"/>
        <v>0</v>
      </c>
      <c r="J90" s="15"/>
      <c r="K90" s="16">
        <f t="shared" si="8"/>
        <v>0</v>
      </c>
    </row>
    <row r="91" spans="1:11" ht="18" customHeight="1">
      <c r="A91" s="5" t="s">
        <v>119</v>
      </c>
      <c r="B91" s="1" t="s">
        <v>60</v>
      </c>
      <c r="F91" s="54">
        <v>2170</v>
      </c>
      <c r="G91" s="54">
        <v>26000</v>
      </c>
      <c r="H91" s="15">
        <v>347062</v>
      </c>
      <c r="I91" s="55">
        <f t="shared" si="9"/>
        <v>173531</v>
      </c>
      <c r="J91" s="15"/>
      <c r="K91" s="16">
        <f t="shared" si="8"/>
        <v>520593</v>
      </c>
    </row>
    <row r="92" spans="1:11" ht="18" customHeight="1">
      <c r="A92" s="5" t="s">
        <v>120</v>
      </c>
      <c r="B92" s="1" t="s">
        <v>121</v>
      </c>
      <c r="F92" s="38"/>
      <c r="G92" s="38"/>
      <c r="H92" s="39"/>
      <c r="I92" s="55">
        <f t="shared" si="9"/>
        <v>0</v>
      </c>
      <c r="J92" s="39"/>
      <c r="K92" s="16">
        <f t="shared" si="8"/>
        <v>0</v>
      </c>
    </row>
    <row r="93" spans="1:11" ht="18" customHeight="1">
      <c r="A93" s="5" t="s">
        <v>122</v>
      </c>
      <c r="B93" s="1" t="s">
        <v>123</v>
      </c>
      <c r="F93" s="54"/>
      <c r="G93" s="54"/>
      <c r="H93" s="15"/>
      <c r="I93" s="55">
        <f t="shared" si="9"/>
        <v>0</v>
      </c>
      <c r="J93" s="15"/>
      <c r="K93" s="16">
        <f t="shared" si="8"/>
        <v>0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f t="shared" si="9"/>
        <v>0</v>
      </c>
      <c r="J94" s="15"/>
      <c r="K94" s="16">
        <f t="shared" si="8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9"/>
        <v>0</v>
      </c>
      <c r="J95" s="15"/>
      <c r="K95" s="16">
        <f t="shared" si="8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9"/>
        <v>0</v>
      </c>
      <c r="J96" s="15"/>
      <c r="K96" s="16">
        <f t="shared" si="8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0">SUM(F86:F96)</f>
        <v>2170</v>
      </c>
      <c r="G98" s="18">
        <f t="shared" si="10"/>
        <v>26000</v>
      </c>
      <c r="H98" s="18">
        <f t="shared" si="10"/>
        <v>347062</v>
      </c>
      <c r="I98" s="18">
        <f t="shared" si="10"/>
        <v>173531</v>
      </c>
      <c r="J98" s="18">
        <f t="shared" si="10"/>
        <v>0</v>
      </c>
      <c r="K98" s="18">
        <f t="shared" si="10"/>
        <v>520593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/>
      <c r="G102" s="54"/>
      <c r="H102" s="15"/>
      <c r="I102" s="55"/>
      <c r="J102" s="15"/>
      <c r="K102" s="16">
        <f>(H102+I102)-J102</f>
        <v>0</v>
      </c>
    </row>
    <row r="103" spans="1:11" ht="18" customHeight="1">
      <c r="A103" s="5" t="s">
        <v>132</v>
      </c>
      <c r="B103" s="550" t="s">
        <v>62</v>
      </c>
      <c r="C103" s="550"/>
      <c r="F103" s="54">
        <v>20</v>
      </c>
      <c r="G103" s="54"/>
      <c r="H103" s="15">
        <v>41373</v>
      </c>
      <c r="I103" s="55">
        <f>H103*F$114</f>
        <v>20686.5</v>
      </c>
      <c r="J103" s="15"/>
      <c r="K103" s="16">
        <f>(H103+I103)-J103</f>
        <v>62059.5</v>
      </c>
    </row>
    <row r="104" spans="1:11" ht="18" customHeight="1">
      <c r="A104" s="5" t="s">
        <v>128</v>
      </c>
      <c r="B104" s="530"/>
      <c r="C104" s="531"/>
      <c r="D104" s="532"/>
      <c r="F104" s="54"/>
      <c r="G104" s="54"/>
      <c r="H104" s="15"/>
      <c r="I104" s="55">
        <f>H104*F$114</f>
        <v>0</v>
      </c>
      <c r="J104" s="15"/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1">SUM(F102:F106)</f>
        <v>20</v>
      </c>
      <c r="G108" s="18">
        <f t="shared" si="11"/>
        <v>0</v>
      </c>
      <c r="H108" s="16">
        <f t="shared" si="11"/>
        <v>41373</v>
      </c>
      <c r="I108" s="16">
        <f t="shared" si="11"/>
        <v>20686.5</v>
      </c>
      <c r="J108" s="16">
        <f t="shared" si="11"/>
        <v>0</v>
      </c>
      <c r="K108" s="16">
        <f t="shared" si="11"/>
        <v>62059.5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2902549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0.5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219469000</v>
      </c>
    </row>
    <row r="118" spans="1:6" ht="18" customHeight="1">
      <c r="A118" s="5" t="s">
        <v>173</v>
      </c>
      <c r="B118" t="s">
        <v>18</v>
      </c>
      <c r="F118" s="15">
        <v>4828000</v>
      </c>
    </row>
    <row r="119" spans="1:6" ht="18" customHeight="1">
      <c r="A119" s="5" t="s">
        <v>174</v>
      </c>
      <c r="B119" s="2" t="s">
        <v>19</v>
      </c>
      <c r="F119" s="56">
        <f>SUM(F117:F118)</f>
        <v>224297000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211404000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v>12893000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-12980000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v>-87000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2">SUM(F131:F135)</f>
        <v>0</v>
      </c>
      <c r="G137" s="18">
        <f t="shared" si="12"/>
        <v>0</v>
      </c>
      <c r="H137" s="16">
        <f t="shared" si="12"/>
        <v>0</v>
      </c>
      <c r="I137" s="16">
        <f t="shared" si="12"/>
        <v>0</v>
      </c>
      <c r="J137" s="16">
        <f t="shared" si="12"/>
        <v>0</v>
      </c>
      <c r="K137" s="16">
        <f t="shared" si="12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3">F36</f>
        <v>18214.5</v>
      </c>
      <c r="G141" s="41">
        <f t="shared" si="13"/>
        <v>36863</v>
      </c>
      <c r="H141" s="41">
        <f t="shared" si="13"/>
        <v>1461981</v>
      </c>
      <c r="I141" s="41">
        <f t="shared" si="13"/>
        <v>730990.5</v>
      </c>
      <c r="J141" s="41">
        <f t="shared" si="13"/>
        <v>121315</v>
      </c>
      <c r="K141" s="41">
        <f t="shared" si="13"/>
        <v>2071656.5</v>
      </c>
    </row>
    <row r="142" spans="1:11" ht="18" customHeight="1">
      <c r="A142" s="5" t="s">
        <v>142</v>
      </c>
      <c r="B142" s="2" t="s">
        <v>65</v>
      </c>
      <c r="F142" s="41">
        <f t="shared" ref="F142:K142" si="14">F49</f>
        <v>21616.5</v>
      </c>
      <c r="G142" s="41">
        <f t="shared" si="14"/>
        <v>608</v>
      </c>
      <c r="H142" s="41">
        <f t="shared" si="14"/>
        <v>543703</v>
      </c>
      <c r="I142" s="41">
        <f t="shared" si="14"/>
        <v>0</v>
      </c>
      <c r="J142" s="41">
        <f t="shared" si="14"/>
        <v>0</v>
      </c>
      <c r="K142" s="41">
        <f t="shared" si="14"/>
        <v>543703</v>
      </c>
    </row>
    <row r="143" spans="1:11" ht="18" customHeight="1">
      <c r="A143" s="5" t="s">
        <v>144</v>
      </c>
      <c r="B143" s="2" t="s">
        <v>66</v>
      </c>
      <c r="F143" s="41">
        <f t="shared" ref="F143:K143" si="15">F64</f>
        <v>205598.5</v>
      </c>
      <c r="G143" s="41">
        <f t="shared" si="15"/>
        <v>77393</v>
      </c>
      <c r="H143" s="41">
        <f t="shared" si="15"/>
        <v>9501772</v>
      </c>
      <c r="I143" s="41">
        <f t="shared" si="15"/>
        <v>117214</v>
      </c>
      <c r="J143" s="41">
        <f t="shared" si="15"/>
        <v>1942795</v>
      </c>
      <c r="K143" s="41">
        <f t="shared" si="15"/>
        <v>7676191</v>
      </c>
    </row>
    <row r="144" spans="1:11" ht="18" customHeight="1">
      <c r="A144" s="5" t="s">
        <v>146</v>
      </c>
      <c r="B144" s="2" t="s">
        <v>67</v>
      </c>
      <c r="F144" s="41">
        <f t="shared" ref="F144:K144" si="16">F74</f>
        <v>0</v>
      </c>
      <c r="G144" s="41">
        <f t="shared" si="16"/>
        <v>0</v>
      </c>
      <c r="H144" s="41">
        <f t="shared" si="16"/>
        <v>0</v>
      </c>
      <c r="I144" s="41">
        <f t="shared" si="16"/>
        <v>0</v>
      </c>
      <c r="J144" s="41">
        <f t="shared" si="16"/>
        <v>0</v>
      </c>
      <c r="K144" s="41">
        <f t="shared" si="16"/>
        <v>0</v>
      </c>
    </row>
    <row r="145" spans="1:11" ht="18" customHeight="1">
      <c r="A145" s="5" t="s">
        <v>148</v>
      </c>
      <c r="B145" s="2" t="s">
        <v>68</v>
      </c>
      <c r="F145" s="41">
        <f t="shared" ref="F145:K145" si="17">F82</f>
        <v>629.5</v>
      </c>
      <c r="G145" s="41">
        <f t="shared" si="17"/>
        <v>9502</v>
      </c>
      <c r="H145" s="41">
        <f t="shared" si="17"/>
        <v>286175</v>
      </c>
      <c r="I145" s="41">
        <f t="shared" si="17"/>
        <v>0</v>
      </c>
      <c r="J145" s="41">
        <f t="shared" si="17"/>
        <v>0</v>
      </c>
      <c r="K145" s="41">
        <f t="shared" si="17"/>
        <v>286175</v>
      </c>
    </row>
    <row r="146" spans="1:11" ht="18" customHeight="1">
      <c r="A146" s="5" t="s">
        <v>150</v>
      </c>
      <c r="B146" s="2" t="s">
        <v>69</v>
      </c>
      <c r="F146" s="41">
        <f t="shared" ref="F146:K146" si="18">F98</f>
        <v>2170</v>
      </c>
      <c r="G146" s="41">
        <f t="shared" si="18"/>
        <v>26000</v>
      </c>
      <c r="H146" s="41">
        <f t="shared" si="18"/>
        <v>347062</v>
      </c>
      <c r="I146" s="41">
        <f t="shared" si="18"/>
        <v>173531</v>
      </c>
      <c r="J146" s="41">
        <f t="shared" si="18"/>
        <v>0</v>
      </c>
      <c r="K146" s="41">
        <f t="shared" si="18"/>
        <v>520593</v>
      </c>
    </row>
    <row r="147" spans="1:11" ht="18" customHeight="1">
      <c r="A147" s="5" t="s">
        <v>153</v>
      </c>
      <c r="B147" s="2" t="s">
        <v>61</v>
      </c>
      <c r="F147" s="18">
        <f t="shared" ref="F147:K147" si="19">F108</f>
        <v>20</v>
      </c>
      <c r="G147" s="18">
        <f t="shared" si="19"/>
        <v>0</v>
      </c>
      <c r="H147" s="18">
        <f t="shared" si="19"/>
        <v>41373</v>
      </c>
      <c r="I147" s="18">
        <f t="shared" si="19"/>
        <v>20686.5</v>
      </c>
      <c r="J147" s="18">
        <f t="shared" si="19"/>
        <v>0</v>
      </c>
      <c r="K147" s="18">
        <f t="shared" si="19"/>
        <v>62059.5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2902549</v>
      </c>
    </row>
    <row r="149" spans="1:11" ht="18" customHeight="1">
      <c r="A149" s="5" t="s">
        <v>163</v>
      </c>
      <c r="B149" s="2" t="s">
        <v>71</v>
      </c>
      <c r="F149" s="18">
        <f t="shared" ref="F149:K149" si="20">F137</f>
        <v>0</v>
      </c>
      <c r="G149" s="18">
        <f t="shared" si="20"/>
        <v>0</v>
      </c>
      <c r="H149" s="18">
        <f t="shared" si="20"/>
        <v>0</v>
      </c>
      <c r="I149" s="18">
        <f t="shared" si="20"/>
        <v>0</v>
      </c>
      <c r="J149" s="18">
        <f t="shared" si="20"/>
        <v>0</v>
      </c>
      <c r="K149" s="18">
        <f t="shared" si="20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5904868</v>
      </c>
      <c r="I150" s="18">
        <f>I18</f>
        <v>0</v>
      </c>
      <c r="J150" s="18">
        <f>J18</f>
        <v>5049400</v>
      </c>
      <c r="K150" s="18">
        <f>K18</f>
        <v>855468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1">SUM(F141:F150)</f>
        <v>248249</v>
      </c>
      <c r="G152" s="49">
        <f t="shared" si="21"/>
        <v>150366</v>
      </c>
      <c r="H152" s="49">
        <f t="shared" si="21"/>
        <v>18086934</v>
      </c>
      <c r="I152" s="49">
        <f t="shared" si="21"/>
        <v>1042422</v>
      </c>
      <c r="J152" s="49">
        <f t="shared" si="21"/>
        <v>7113510</v>
      </c>
      <c r="K152" s="49">
        <f t="shared" si="21"/>
        <v>14918395</v>
      </c>
    </row>
    <row r="154" spans="1:11" ht="18" customHeight="1">
      <c r="A154" s="6" t="s">
        <v>168</v>
      </c>
      <c r="B154" s="2" t="s">
        <v>28</v>
      </c>
      <c r="F154" s="64">
        <f>K152/F121</f>
        <v>7.0568177517927766E-2</v>
      </c>
    </row>
    <row r="155" spans="1:11" ht="18" customHeight="1">
      <c r="A155" s="6" t="s">
        <v>169</v>
      </c>
      <c r="B155" s="2" t="s">
        <v>72</v>
      </c>
      <c r="F155" s="64">
        <f>K152/F127</f>
        <v>-171.47580459770114</v>
      </c>
      <c r="G155" s="2"/>
    </row>
    <row r="156" spans="1:11" ht="18" customHeight="1">
      <c r="G156" s="2"/>
    </row>
  </sheetData>
  <sheetProtection password="EF72" sheet="1" objects="1" scenarios="1"/>
  <mergeCells count="34">
    <mergeCell ref="B134:D134"/>
    <mergeCell ref="B135:D135"/>
    <mergeCell ref="B133:D133"/>
    <mergeCell ref="B104:D104"/>
    <mergeCell ref="B105:D105"/>
    <mergeCell ref="B106:D106"/>
    <mergeCell ref="B62:D62"/>
    <mergeCell ref="B31:D31"/>
    <mergeCell ref="B103:C103"/>
    <mergeCell ref="B96:D96"/>
    <mergeCell ref="B95:D95"/>
    <mergeCell ref="B57:D57"/>
    <mergeCell ref="B94:D94"/>
    <mergeCell ref="B52:C52"/>
    <mergeCell ref="B90:C90"/>
    <mergeCell ref="B53:D53"/>
    <mergeCell ref="B55:D55"/>
    <mergeCell ref="B56:D56"/>
    <mergeCell ref="B59:D59"/>
    <mergeCell ref="D2:H2"/>
    <mergeCell ref="B45:D45"/>
    <mergeCell ref="B46:D46"/>
    <mergeCell ref="B47:D47"/>
    <mergeCell ref="B34:D34"/>
    <mergeCell ref="C11:G11"/>
    <mergeCell ref="B41:C41"/>
    <mergeCell ref="B44:D44"/>
    <mergeCell ref="B13:H13"/>
    <mergeCell ref="C5:G5"/>
    <mergeCell ref="C6:G6"/>
    <mergeCell ref="C7:G7"/>
    <mergeCell ref="C9:G9"/>
    <mergeCell ref="C10:G10"/>
    <mergeCell ref="B30:D30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&amp;L&amp;Z&amp;F.xls&amp;C&amp;P of &amp;N&amp;R&amp;D</oddFooter>
  </headerFooter>
  <rowBreaks count="3" manualBreakCount="3">
    <brk id="37" max="16383" man="1"/>
    <brk id="74" max="16383" man="1"/>
    <brk id="10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view="pageBreakPreview" zoomScale="70" zoomScaleNormal="80" zoomScaleSheetLayoutView="70" workbookViewId="0"/>
  </sheetViews>
  <sheetFormatPr defaultRowHeight="18" customHeight="1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>
      <c r="D2" s="545" t="s">
        <v>187</v>
      </c>
      <c r="E2" s="546"/>
      <c r="F2" s="546"/>
      <c r="G2" s="546"/>
      <c r="H2" s="546"/>
    </row>
    <row r="3" spans="1:11" ht="18" customHeight="1">
      <c r="B3" s="2" t="s">
        <v>0</v>
      </c>
    </row>
    <row r="5" spans="1:11" ht="18" customHeight="1">
      <c r="B5" s="5" t="s">
        <v>40</v>
      </c>
      <c r="C5" s="584" t="s">
        <v>572</v>
      </c>
      <c r="D5" s="534"/>
      <c r="E5" s="534"/>
      <c r="F5" s="534"/>
      <c r="G5" s="535"/>
    </row>
    <row r="6" spans="1:11" ht="18" customHeight="1">
      <c r="B6" s="5" t="s">
        <v>3</v>
      </c>
      <c r="C6" s="655">
        <v>30</v>
      </c>
      <c r="D6" s="656"/>
      <c r="E6" s="656"/>
      <c r="F6" s="656"/>
      <c r="G6" s="657"/>
    </row>
    <row r="7" spans="1:11" ht="18" customHeight="1">
      <c r="B7" s="5" t="s">
        <v>4</v>
      </c>
      <c r="C7" s="640">
        <v>360</v>
      </c>
      <c r="D7" s="641"/>
      <c r="E7" s="641"/>
      <c r="F7" s="641"/>
      <c r="G7" s="642"/>
    </row>
    <row r="9" spans="1:11" ht="18" customHeight="1">
      <c r="B9" s="5" t="s">
        <v>1</v>
      </c>
      <c r="C9" s="584" t="s">
        <v>571</v>
      </c>
      <c r="D9" s="534"/>
      <c r="E9" s="534"/>
      <c r="F9" s="534"/>
      <c r="G9" s="535"/>
    </row>
    <row r="10" spans="1:11" ht="18" customHeight="1">
      <c r="B10" s="5" t="s">
        <v>2</v>
      </c>
      <c r="C10" s="542" t="s">
        <v>570</v>
      </c>
      <c r="D10" s="543"/>
      <c r="E10" s="543"/>
      <c r="F10" s="543"/>
      <c r="G10" s="544"/>
    </row>
    <row r="11" spans="1:11" ht="18" customHeight="1">
      <c r="B11" s="5" t="s">
        <v>32</v>
      </c>
      <c r="C11" s="584" t="s">
        <v>569</v>
      </c>
      <c r="D11" s="541"/>
      <c r="E11" s="541"/>
      <c r="F11" s="541"/>
      <c r="G11" s="541"/>
    </row>
    <row r="12" spans="1:11" ht="18" customHeight="1">
      <c r="B12" s="5"/>
      <c r="C12" s="5"/>
      <c r="D12" s="5"/>
      <c r="E12" s="5"/>
      <c r="F12" s="5"/>
      <c r="G12" s="5"/>
    </row>
    <row r="13" spans="1:11" ht="24.6" customHeight="1">
      <c r="B13" s="552"/>
      <c r="C13" s="553"/>
      <c r="D13" s="553"/>
      <c r="E13" s="553"/>
      <c r="F13" s="553"/>
      <c r="G13" s="553"/>
      <c r="H13" s="554"/>
      <c r="I13" s="4"/>
    </row>
    <row r="14" spans="1:11" ht="18" customHeight="1">
      <c r="B14" s="7"/>
    </row>
    <row r="15" spans="1:11" ht="18" customHeight="1">
      <c r="B15" s="7"/>
    </row>
    <row r="16" spans="1:11" ht="45" customHeight="1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>
      <c r="A17" s="6" t="s">
        <v>184</v>
      </c>
      <c r="B17" s="2" t="s">
        <v>182</v>
      </c>
    </row>
    <row r="18" spans="1:11" ht="18" customHeight="1">
      <c r="A18" s="5" t="s">
        <v>185</v>
      </c>
      <c r="B18" s="1" t="s">
        <v>183</v>
      </c>
      <c r="F18" s="54" t="s">
        <v>73</v>
      </c>
      <c r="G18" s="54" t="s">
        <v>73</v>
      </c>
      <c r="H18" s="15">
        <v>1709052</v>
      </c>
      <c r="I18" s="55">
        <v>0</v>
      </c>
      <c r="J18" s="15">
        <v>1461453</v>
      </c>
      <c r="K18" s="16">
        <f>(H18+I18)-J18</f>
        <v>247599</v>
      </c>
    </row>
    <row r="19" spans="1:11" ht="45" customHeight="1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>
      <c r="A20" s="6" t="s">
        <v>74</v>
      </c>
      <c r="B20" s="2" t="s">
        <v>41</v>
      </c>
    </row>
    <row r="21" spans="1:11" ht="18" customHeight="1">
      <c r="A21" s="5" t="s">
        <v>75</v>
      </c>
      <c r="B21" s="1" t="s">
        <v>42</v>
      </c>
      <c r="F21" s="54">
        <v>566</v>
      </c>
      <c r="G21" s="54">
        <v>4171</v>
      </c>
      <c r="H21" s="15">
        <v>16980</v>
      </c>
      <c r="I21" s="55">
        <f t="shared" ref="I21:I34" si="0">H21*F$114</f>
        <v>14133.183237092733</v>
      </c>
      <c r="J21" s="15"/>
      <c r="K21" s="16">
        <f t="shared" ref="K21:K34" si="1">(H21+I21)-J21</f>
        <v>31113.183237092733</v>
      </c>
    </row>
    <row r="22" spans="1:11" ht="18" customHeight="1">
      <c r="A22" s="5" t="s">
        <v>76</v>
      </c>
      <c r="B22" t="s">
        <v>6</v>
      </c>
      <c r="F22" s="54">
        <v>192</v>
      </c>
      <c r="G22" s="54">
        <v>650</v>
      </c>
      <c r="H22" s="15">
        <v>5760</v>
      </c>
      <c r="I22" s="55">
        <f t="shared" si="0"/>
        <v>4794.2953737134358</v>
      </c>
      <c r="J22" s="15"/>
      <c r="K22" s="16">
        <f t="shared" si="1"/>
        <v>10554.295373713436</v>
      </c>
    </row>
    <row r="23" spans="1:11" ht="18" customHeight="1">
      <c r="A23" s="5" t="s">
        <v>77</v>
      </c>
      <c r="B23" t="s">
        <v>43</v>
      </c>
      <c r="F23" s="54"/>
      <c r="G23" s="54"/>
      <c r="H23" s="15"/>
      <c r="I23" s="55">
        <f t="shared" si="0"/>
        <v>0</v>
      </c>
      <c r="J23" s="15"/>
      <c r="K23" s="16">
        <f t="shared" si="1"/>
        <v>0</v>
      </c>
    </row>
    <row r="24" spans="1:11" ht="18" customHeight="1">
      <c r="A24" s="5" t="s">
        <v>78</v>
      </c>
      <c r="B24" t="s">
        <v>44</v>
      </c>
      <c r="F24" s="54"/>
      <c r="G24" s="54"/>
      <c r="H24" s="15"/>
      <c r="I24" s="55">
        <f t="shared" si="0"/>
        <v>0</v>
      </c>
      <c r="J24" s="15"/>
      <c r="K24" s="16">
        <f t="shared" si="1"/>
        <v>0</v>
      </c>
    </row>
    <row r="25" spans="1:11" ht="18" customHeight="1">
      <c r="A25" s="5" t="s">
        <v>79</v>
      </c>
      <c r="B25" t="s">
        <v>5</v>
      </c>
      <c r="F25" s="54">
        <v>44</v>
      </c>
      <c r="G25" s="54">
        <v>246</v>
      </c>
      <c r="H25" s="15">
        <v>1320</v>
      </c>
      <c r="I25" s="55">
        <f t="shared" si="0"/>
        <v>1098.6926898093291</v>
      </c>
      <c r="J25" s="15"/>
      <c r="K25" s="16">
        <f t="shared" si="1"/>
        <v>2418.6926898093288</v>
      </c>
    </row>
    <row r="26" spans="1:11" ht="18" customHeight="1">
      <c r="A26" s="5" t="s">
        <v>80</v>
      </c>
      <c r="B26" t="s">
        <v>45</v>
      </c>
      <c r="F26" s="54"/>
      <c r="G26" s="54"/>
      <c r="H26" s="15"/>
      <c r="I26" s="55">
        <f t="shared" si="0"/>
        <v>0</v>
      </c>
      <c r="J26" s="15"/>
      <c r="K26" s="16">
        <f t="shared" si="1"/>
        <v>0</v>
      </c>
    </row>
    <row r="27" spans="1:11" ht="18" customHeight="1">
      <c r="A27" s="5" t="s">
        <v>81</v>
      </c>
      <c r="B27" t="s">
        <v>46</v>
      </c>
      <c r="F27" s="54"/>
      <c r="G27" s="54"/>
      <c r="H27" s="15"/>
      <c r="I27" s="55">
        <f t="shared" si="0"/>
        <v>0</v>
      </c>
      <c r="J27" s="15"/>
      <c r="K27" s="16">
        <f t="shared" si="1"/>
        <v>0</v>
      </c>
    </row>
    <row r="28" spans="1:11" ht="18" customHeight="1">
      <c r="A28" s="5" t="s">
        <v>82</v>
      </c>
      <c r="B28" t="s">
        <v>47</v>
      </c>
      <c r="F28" s="54"/>
      <c r="G28" s="54"/>
      <c r="H28" s="15"/>
      <c r="I28" s="55">
        <f t="shared" si="0"/>
        <v>0</v>
      </c>
      <c r="J28" s="15"/>
      <c r="K28" s="16">
        <f t="shared" si="1"/>
        <v>0</v>
      </c>
    </row>
    <row r="29" spans="1:11" ht="18" customHeight="1">
      <c r="A29" s="5" t="s">
        <v>83</v>
      </c>
      <c r="B29" t="s">
        <v>48</v>
      </c>
      <c r="F29" s="54"/>
      <c r="G29" s="54">
        <v>540</v>
      </c>
      <c r="H29" s="15">
        <v>236050</v>
      </c>
      <c r="I29" s="55">
        <f t="shared" si="0"/>
        <v>196474.5525981001</v>
      </c>
      <c r="J29" s="15"/>
      <c r="K29" s="16">
        <f t="shared" si="1"/>
        <v>432524.5525981001</v>
      </c>
    </row>
    <row r="30" spans="1:11" ht="18" customHeight="1">
      <c r="A30" s="5" t="s">
        <v>84</v>
      </c>
      <c r="B30" s="547"/>
      <c r="C30" s="548"/>
      <c r="D30" s="549"/>
      <c r="F30" s="54"/>
      <c r="G30" s="54"/>
      <c r="H30" s="15"/>
      <c r="I30" s="55">
        <f t="shared" si="0"/>
        <v>0</v>
      </c>
      <c r="J30" s="15"/>
      <c r="K30" s="16">
        <f t="shared" si="1"/>
        <v>0</v>
      </c>
    </row>
    <row r="31" spans="1:11" ht="18" customHeight="1">
      <c r="A31" s="5" t="s">
        <v>133</v>
      </c>
      <c r="B31" s="547"/>
      <c r="C31" s="548"/>
      <c r="D31" s="549"/>
      <c r="F31" s="54"/>
      <c r="G31" s="54"/>
      <c r="H31" s="15"/>
      <c r="I31" s="55">
        <f t="shared" si="0"/>
        <v>0</v>
      </c>
      <c r="J31" s="15"/>
      <c r="K31" s="16">
        <f t="shared" si="1"/>
        <v>0</v>
      </c>
    </row>
    <row r="32" spans="1:11" ht="18" customHeight="1">
      <c r="A32" s="5" t="s">
        <v>134</v>
      </c>
      <c r="B32" s="191"/>
      <c r="C32" s="192"/>
      <c r="D32" s="193"/>
      <c r="F32" s="54"/>
      <c r="G32" s="52" t="s">
        <v>85</v>
      </c>
      <c r="H32" s="15"/>
      <c r="I32" s="55">
        <f t="shared" si="0"/>
        <v>0</v>
      </c>
      <c r="J32" s="15"/>
      <c r="K32" s="16">
        <f t="shared" si="1"/>
        <v>0</v>
      </c>
    </row>
    <row r="33" spans="1:11" ht="18" customHeight="1">
      <c r="A33" s="5" t="s">
        <v>135</v>
      </c>
      <c r="B33" s="191"/>
      <c r="C33" s="192"/>
      <c r="D33" s="193"/>
      <c r="F33" s="54"/>
      <c r="G33" s="52" t="s">
        <v>85</v>
      </c>
      <c r="H33" s="15"/>
      <c r="I33" s="55">
        <f t="shared" si="0"/>
        <v>0</v>
      </c>
      <c r="J33" s="15"/>
      <c r="K33" s="16">
        <f t="shared" si="1"/>
        <v>0</v>
      </c>
    </row>
    <row r="34" spans="1:11" ht="18" customHeight="1">
      <c r="A34" s="5" t="s">
        <v>136</v>
      </c>
      <c r="B34" s="547"/>
      <c r="C34" s="548"/>
      <c r="D34" s="549"/>
      <c r="F34" s="54"/>
      <c r="G34" s="52" t="s">
        <v>85</v>
      </c>
      <c r="H34" s="15"/>
      <c r="I34" s="55">
        <f t="shared" si="0"/>
        <v>0</v>
      </c>
      <c r="J34" s="15"/>
      <c r="K34" s="16">
        <f t="shared" si="1"/>
        <v>0</v>
      </c>
    </row>
    <row r="35" spans="1:11" ht="18" customHeight="1">
      <c r="K35" s="44"/>
    </row>
    <row r="36" spans="1:11" ht="18" customHeight="1">
      <c r="A36" s="6" t="s">
        <v>137</v>
      </c>
      <c r="B36" s="2" t="s">
        <v>138</v>
      </c>
      <c r="E36" s="2" t="s">
        <v>7</v>
      </c>
      <c r="F36" s="18">
        <f t="shared" ref="F36:K36" si="2">SUM(F21:F34)</f>
        <v>802</v>
      </c>
      <c r="G36" s="18">
        <f t="shared" si="2"/>
        <v>5607</v>
      </c>
      <c r="H36" s="18">
        <f t="shared" si="2"/>
        <v>260110</v>
      </c>
      <c r="I36" s="16">
        <f t="shared" si="2"/>
        <v>216500.7238987156</v>
      </c>
      <c r="J36" s="16">
        <f t="shared" si="2"/>
        <v>0</v>
      </c>
      <c r="K36" s="16">
        <f t="shared" si="2"/>
        <v>476610.72389871557</v>
      </c>
    </row>
    <row r="37" spans="1:11" ht="18" customHeight="1" thickBot="1">
      <c r="B37" s="2"/>
      <c r="F37" s="19"/>
      <c r="G37" s="19"/>
      <c r="H37" s="20"/>
      <c r="I37" s="20"/>
      <c r="J37" s="20"/>
      <c r="K37" s="45"/>
    </row>
    <row r="38" spans="1:11" ht="42.75" customHeight="1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>
      <c r="A39" s="6" t="s">
        <v>86</v>
      </c>
      <c r="B39" s="2" t="s">
        <v>49</v>
      </c>
    </row>
    <row r="40" spans="1:11" ht="18" customHeight="1">
      <c r="A40" s="5" t="s">
        <v>87</v>
      </c>
      <c r="B40" t="s">
        <v>31</v>
      </c>
      <c r="F40" s="54"/>
      <c r="G40" s="54"/>
      <c r="H40" s="15"/>
      <c r="I40" s="55">
        <f t="shared" ref="I40:I47" si="3">H40*F$114</f>
        <v>0</v>
      </c>
      <c r="J40" s="15"/>
      <c r="K40" s="16">
        <f t="shared" ref="K40:K47" si="4">(H40+I40)-J40</f>
        <v>0</v>
      </c>
    </row>
    <row r="41" spans="1:11" ht="18" customHeight="1">
      <c r="A41" s="5" t="s">
        <v>88</v>
      </c>
      <c r="B41" s="550" t="s">
        <v>50</v>
      </c>
      <c r="C41" s="551"/>
      <c r="F41" s="54">
        <v>53</v>
      </c>
      <c r="G41" s="54">
        <v>47</v>
      </c>
      <c r="H41" s="15">
        <v>8349</v>
      </c>
      <c r="I41" s="55">
        <f t="shared" si="3"/>
        <v>6949.2312630440065</v>
      </c>
      <c r="J41" s="15"/>
      <c r="K41" s="16">
        <f t="shared" si="4"/>
        <v>15298.231263044006</v>
      </c>
    </row>
    <row r="42" spans="1:11" ht="18" customHeight="1">
      <c r="A42" s="5" t="s">
        <v>89</v>
      </c>
      <c r="B42" s="1" t="s">
        <v>11</v>
      </c>
      <c r="F42" s="54">
        <v>625</v>
      </c>
      <c r="G42" s="54">
        <v>42</v>
      </c>
      <c r="H42" s="15">
        <v>25970</v>
      </c>
      <c r="I42" s="55">
        <f t="shared" si="3"/>
        <v>21615.946329051727</v>
      </c>
      <c r="J42" s="15"/>
      <c r="K42" s="16">
        <f t="shared" si="4"/>
        <v>47585.946329051731</v>
      </c>
    </row>
    <row r="43" spans="1:11" ht="18" customHeight="1">
      <c r="A43" s="5" t="s">
        <v>90</v>
      </c>
      <c r="B43" s="47" t="s">
        <v>10</v>
      </c>
      <c r="C43" s="10"/>
      <c r="D43" s="10"/>
      <c r="F43" s="54"/>
      <c r="G43" s="54"/>
      <c r="H43" s="15">
        <v>3800</v>
      </c>
      <c r="I43" s="55">
        <f t="shared" si="3"/>
        <v>3162.9031979359474</v>
      </c>
      <c r="J43" s="15"/>
      <c r="K43" s="16">
        <f t="shared" si="4"/>
        <v>6962.9031979359479</v>
      </c>
    </row>
    <row r="44" spans="1:11" ht="18" customHeight="1">
      <c r="A44" s="5" t="s">
        <v>91</v>
      </c>
      <c r="B44" s="547" t="s">
        <v>568</v>
      </c>
      <c r="C44" s="548"/>
      <c r="D44" s="549"/>
      <c r="F44" s="82"/>
      <c r="G44" s="82">
        <v>4</v>
      </c>
      <c r="H44" s="15">
        <v>4000</v>
      </c>
      <c r="I44" s="55">
        <f t="shared" si="3"/>
        <v>3329.3717873009973</v>
      </c>
      <c r="J44" s="82"/>
      <c r="K44" s="81">
        <f t="shared" si="4"/>
        <v>7329.3717873009973</v>
      </c>
    </row>
    <row r="45" spans="1:11" ht="18" customHeight="1">
      <c r="A45" s="5" t="s">
        <v>139</v>
      </c>
      <c r="B45" s="547"/>
      <c r="C45" s="548"/>
      <c r="D45" s="549"/>
      <c r="F45" s="54"/>
      <c r="G45" s="54"/>
      <c r="H45" s="15"/>
      <c r="I45" s="55">
        <f t="shared" si="3"/>
        <v>0</v>
      </c>
      <c r="J45" s="15"/>
      <c r="K45" s="16">
        <f t="shared" si="4"/>
        <v>0</v>
      </c>
    </row>
    <row r="46" spans="1:11" ht="18" customHeight="1">
      <c r="A46" s="5" t="s">
        <v>140</v>
      </c>
      <c r="B46" s="547"/>
      <c r="C46" s="548"/>
      <c r="D46" s="549"/>
      <c r="F46" s="54"/>
      <c r="G46" s="54"/>
      <c r="H46" s="15"/>
      <c r="I46" s="55">
        <f t="shared" si="3"/>
        <v>0</v>
      </c>
      <c r="J46" s="15"/>
      <c r="K46" s="16">
        <f t="shared" si="4"/>
        <v>0</v>
      </c>
    </row>
    <row r="47" spans="1:11" ht="18" customHeight="1">
      <c r="A47" s="5" t="s">
        <v>141</v>
      </c>
      <c r="B47" s="547"/>
      <c r="C47" s="548"/>
      <c r="D47" s="549"/>
      <c r="F47" s="54"/>
      <c r="G47" s="54"/>
      <c r="H47" s="15"/>
      <c r="I47" s="55">
        <f t="shared" si="3"/>
        <v>0</v>
      </c>
      <c r="J47" s="15"/>
      <c r="K47" s="16">
        <f t="shared" si="4"/>
        <v>0</v>
      </c>
    </row>
    <row r="49" spans="1:11" ht="18" customHeight="1">
      <c r="A49" s="6" t="s">
        <v>142</v>
      </c>
      <c r="B49" s="2" t="s">
        <v>143</v>
      </c>
      <c r="E49" s="2" t="s">
        <v>7</v>
      </c>
      <c r="F49" s="23">
        <f t="shared" ref="F49:K49" si="5">SUM(F40:F47)</f>
        <v>678</v>
      </c>
      <c r="G49" s="23">
        <f t="shared" si="5"/>
        <v>93</v>
      </c>
      <c r="H49" s="16">
        <f t="shared" si="5"/>
        <v>42119</v>
      </c>
      <c r="I49" s="16">
        <f t="shared" si="5"/>
        <v>35057.452577332675</v>
      </c>
      <c r="J49" s="16">
        <f t="shared" si="5"/>
        <v>0</v>
      </c>
      <c r="K49" s="16">
        <f t="shared" si="5"/>
        <v>77176.45257733269</v>
      </c>
    </row>
    <row r="50" spans="1:11" ht="18" customHeight="1" thickBot="1">
      <c r="G50" s="24"/>
      <c r="H50" s="24"/>
      <c r="I50" s="24"/>
      <c r="J50" s="24"/>
      <c r="K50" s="24"/>
    </row>
    <row r="51" spans="1:11" ht="42.75" customHeight="1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>
      <c r="A52" s="6" t="s">
        <v>92</v>
      </c>
      <c r="B52" s="555" t="s">
        <v>38</v>
      </c>
      <c r="C52" s="556"/>
    </row>
    <row r="53" spans="1:11" ht="18" customHeight="1">
      <c r="A53" s="5" t="s">
        <v>51</v>
      </c>
      <c r="B53" s="194" t="s">
        <v>567</v>
      </c>
      <c r="C53" s="190"/>
      <c r="D53" s="188"/>
      <c r="F53" s="54"/>
      <c r="G53" s="54"/>
      <c r="H53" s="15">
        <v>1778000</v>
      </c>
      <c r="I53" s="55">
        <f>H53*F$114</f>
        <v>1479905.7594552934</v>
      </c>
      <c r="J53" s="15">
        <v>523000</v>
      </c>
      <c r="K53" s="16">
        <f t="shared" ref="K53:K62" si="6">(H53+I53)-J53</f>
        <v>2734905.7594552934</v>
      </c>
    </row>
    <row r="54" spans="1:11" ht="18" customHeight="1">
      <c r="A54" s="5" t="s">
        <v>93</v>
      </c>
      <c r="B54" s="194" t="s">
        <v>566</v>
      </c>
      <c r="C54" s="190"/>
      <c r="D54" s="188"/>
      <c r="F54" s="54"/>
      <c r="G54" s="54"/>
      <c r="H54" s="15">
        <v>354800</v>
      </c>
      <c r="I54" s="55">
        <f>H54*F$114</f>
        <v>295315.27753359848</v>
      </c>
      <c r="J54" s="15"/>
      <c r="K54" s="16">
        <f t="shared" si="6"/>
        <v>650115.27753359848</v>
      </c>
    </row>
    <row r="55" spans="1:11" ht="18" customHeight="1">
      <c r="A55" s="5" t="s">
        <v>94</v>
      </c>
      <c r="B55" s="557" t="s">
        <v>418</v>
      </c>
      <c r="C55" s="531"/>
      <c r="D55" s="532"/>
      <c r="F55" s="54"/>
      <c r="G55" s="54"/>
      <c r="H55" s="15">
        <v>80000</v>
      </c>
      <c r="I55" s="55">
        <f>H55*F$114</f>
        <v>66587.435746019954</v>
      </c>
      <c r="J55" s="15"/>
      <c r="K55" s="16">
        <f t="shared" si="6"/>
        <v>146587.43574601994</v>
      </c>
    </row>
    <row r="56" spans="1:11" ht="18" customHeight="1">
      <c r="A56" s="5" t="s">
        <v>95</v>
      </c>
      <c r="B56" s="530" t="s">
        <v>565</v>
      </c>
      <c r="C56" s="531"/>
      <c r="D56" s="532"/>
      <c r="F56" s="54" t="s">
        <v>740</v>
      </c>
      <c r="G56" s="54"/>
      <c r="H56" s="15">
        <v>336108</v>
      </c>
      <c r="I56" s="55">
        <f>H56*F$114</f>
        <v>279757.12317154091</v>
      </c>
      <c r="J56" s="15"/>
      <c r="K56" s="16">
        <f t="shared" si="6"/>
        <v>615865.12317154091</v>
      </c>
    </row>
    <row r="57" spans="1:11" ht="18" customHeight="1">
      <c r="A57" s="5" t="s">
        <v>96</v>
      </c>
      <c r="B57" s="557" t="s">
        <v>564</v>
      </c>
      <c r="C57" s="531"/>
      <c r="D57" s="532"/>
      <c r="F57" s="54"/>
      <c r="G57" s="54"/>
      <c r="H57" s="15">
        <v>517662</v>
      </c>
      <c r="I57" s="55">
        <f>H57*F$114</f>
        <v>430872.3145394522</v>
      </c>
      <c r="J57" s="15"/>
      <c r="K57" s="16">
        <f t="shared" si="6"/>
        <v>948534.3145394522</v>
      </c>
    </row>
    <row r="58" spans="1:11" ht="18" customHeight="1">
      <c r="A58" s="5" t="s">
        <v>97</v>
      </c>
      <c r="B58" s="189"/>
      <c r="C58" s="190"/>
      <c r="D58" s="188"/>
      <c r="F58" s="54"/>
      <c r="G58" s="54"/>
      <c r="H58" s="15"/>
      <c r="I58" s="55">
        <v>0</v>
      </c>
      <c r="J58" s="15"/>
      <c r="K58" s="16">
        <f t="shared" si="6"/>
        <v>0</v>
      </c>
    </row>
    <row r="59" spans="1:11" ht="18" customHeight="1">
      <c r="A59" s="5" t="s">
        <v>98</v>
      </c>
      <c r="B59" s="530"/>
      <c r="C59" s="531"/>
      <c r="D59" s="532"/>
      <c r="F59" s="54"/>
      <c r="G59" s="54"/>
      <c r="H59" s="15"/>
      <c r="I59" s="55">
        <v>0</v>
      </c>
      <c r="J59" s="15"/>
      <c r="K59" s="16">
        <f t="shared" si="6"/>
        <v>0</v>
      </c>
    </row>
    <row r="60" spans="1:11" ht="18" customHeight="1">
      <c r="A60" s="5" t="s">
        <v>99</v>
      </c>
      <c r="B60" s="189"/>
      <c r="C60" s="190"/>
      <c r="D60" s="188"/>
      <c r="F60" s="54"/>
      <c r="G60" s="54"/>
      <c r="H60" s="15"/>
      <c r="I60" s="55">
        <v>0</v>
      </c>
      <c r="J60" s="15"/>
      <c r="K60" s="16">
        <f t="shared" si="6"/>
        <v>0</v>
      </c>
    </row>
    <row r="61" spans="1:11" ht="18" customHeight="1">
      <c r="A61" s="5" t="s">
        <v>100</v>
      </c>
      <c r="B61" s="189"/>
      <c r="C61" s="190"/>
      <c r="D61" s="188"/>
      <c r="F61" s="54"/>
      <c r="G61" s="54"/>
      <c r="H61" s="15"/>
      <c r="I61" s="55">
        <v>0</v>
      </c>
      <c r="J61" s="15"/>
      <c r="K61" s="16">
        <f t="shared" si="6"/>
        <v>0</v>
      </c>
    </row>
    <row r="62" spans="1:11" ht="18" customHeight="1">
      <c r="A62" s="5" t="s">
        <v>101</v>
      </c>
      <c r="B62" s="530"/>
      <c r="C62" s="531"/>
      <c r="D62" s="532"/>
      <c r="F62" s="54"/>
      <c r="G62" s="54"/>
      <c r="H62" s="15"/>
      <c r="I62" s="55">
        <v>0</v>
      </c>
      <c r="J62" s="15"/>
      <c r="K62" s="16">
        <f t="shared" si="6"/>
        <v>0</v>
      </c>
    </row>
    <row r="63" spans="1:11" ht="18" customHeight="1">
      <c r="A63" s="5"/>
      <c r="I63" s="46"/>
    </row>
    <row r="64" spans="1:11" ht="18" customHeight="1">
      <c r="A64" s="5" t="s">
        <v>144</v>
      </c>
      <c r="B64" s="2" t="s">
        <v>145</v>
      </c>
      <c r="E64" s="2" t="s">
        <v>7</v>
      </c>
      <c r="F64" s="18">
        <f t="shared" ref="F64:K64" si="7">SUM(F53:F62)</f>
        <v>0</v>
      </c>
      <c r="G64" s="18">
        <f t="shared" si="7"/>
        <v>0</v>
      </c>
      <c r="H64" s="16">
        <f t="shared" si="7"/>
        <v>3066570</v>
      </c>
      <c r="I64" s="16">
        <f t="shared" si="7"/>
        <v>2552437.9104459048</v>
      </c>
      <c r="J64" s="16">
        <f t="shared" si="7"/>
        <v>523000</v>
      </c>
      <c r="K64" s="16">
        <f t="shared" si="7"/>
        <v>5096007.9104459044</v>
      </c>
    </row>
    <row r="65" spans="1:11" ht="18" customHeight="1">
      <c r="F65" s="48"/>
      <c r="G65" s="48"/>
      <c r="H65" s="48"/>
      <c r="I65" s="48"/>
      <c r="J65" s="48"/>
      <c r="K65" s="48"/>
    </row>
    <row r="66" spans="1:11" ht="42.75" customHeight="1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>
      <c r="A68" s="5" t="s">
        <v>103</v>
      </c>
      <c r="B68" t="s">
        <v>52</v>
      </c>
      <c r="F68" s="51"/>
      <c r="G68" s="51"/>
      <c r="H68" s="51"/>
      <c r="I68" s="55">
        <f>H68*F$114</f>
        <v>0</v>
      </c>
      <c r="J68" s="51"/>
      <c r="K68" s="16">
        <f>(H68+I68)-J68</f>
        <v>0</v>
      </c>
    </row>
    <row r="69" spans="1:11" ht="18" customHeight="1">
      <c r="A69" s="5" t="s">
        <v>104</v>
      </c>
      <c r="B69" s="1" t="s">
        <v>53</v>
      </c>
      <c r="F69" s="51"/>
      <c r="G69" s="51"/>
      <c r="H69" s="55">
        <v>5000</v>
      </c>
      <c r="I69" s="55">
        <f>H69*F$114</f>
        <v>4161.7147341262471</v>
      </c>
      <c r="J69" s="51"/>
      <c r="K69" s="16">
        <f>(H69+I69)-J69</f>
        <v>9161.7147341262462</v>
      </c>
    </row>
    <row r="70" spans="1:11" ht="18" customHeight="1">
      <c r="A70" s="5" t="s">
        <v>178</v>
      </c>
      <c r="B70" s="189"/>
      <c r="C70" s="190"/>
      <c r="D70" s="188"/>
      <c r="E70" s="2"/>
      <c r="F70" s="35"/>
      <c r="G70" s="35"/>
      <c r="H70" s="36"/>
      <c r="I70" s="55">
        <f>H70*F$114</f>
        <v>0</v>
      </c>
      <c r="J70" s="36"/>
      <c r="K70" s="16">
        <f>(H70+I70)-J70</f>
        <v>0</v>
      </c>
    </row>
    <row r="71" spans="1:11" ht="18" customHeight="1">
      <c r="A71" s="5" t="s">
        <v>179</v>
      </c>
      <c r="B71" s="189"/>
      <c r="C71" s="190"/>
      <c r="D71" s="188"/>
      <c r="E71" s="2"/>
      <c r="F71" s="35"/>
      <c r="G71" s="35"/>
      <c r="H71" s="36"/>
      <c r="I71" s="55">
        <f>H71*F$114</f>
        <v>0</v>
      </c>
      <c r="J71" s="36"/>
      <c r="K71" s="16">
        <f>(H71+I71)-J71</f>
        <v>0</v>
      </c>
    </row>
    <row r="72" spans="1:11" ht="18" customHeight="1">
      <c r="A72" s="5" t="s">
        <v>180</v>
      </c>
      <c r="B72" s="186"/>
      <c r="C72" s="187"/>
      <c r="D72" s="34"/>
      <c r="E72" s="2"/>
      <c r="F72" s="54"/>
      <c r="G72" s="54"/>
      <c r="H72" s="15"/>
      <c r="I72" s="55">
        <f>H72*F$114</f>
        <v>0</v>
      </c>
      <c r="J72" s="15"/>
      <c r="K72" s="16">
        <f>(H72+I72)-J72</f>
        <v>0</v>
      </c>
    </row>
    <row r="73" spans="1:11" ht="18" customHeight="1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>
      <c r="A74" s="6" t="s">
        <v>146</v>
      </c>
      <c r="B74" s="2" t="s">
        <v>147</v>
      </c>
      <c r="E74" s="2" t="s">
        <v>7</v>
      </c>
      <c r="F74" s="21">
        <f t="shared" ref="F74:K74" si="8">SUM(F68:F72)</f>
        <v>0</v>
      </c>
      <c r="G74" s="21">
        <f t="shared" si="8"/>
        <v>0</v>
      </c>
      <c r="H74" s="21">
        <f t="shared" si="8"/>
        <v>5000</v>
      </c>
      <c r="I74" s="53">
        <f t="shared" si="8"/>
        <v>4161.7147341262471</v>
      </c>
      <c r="J74" s="21">
        <f t="shared" si="8"/>
        <v>0</v>
      </c>
      <c r="K74" s="56">
        <f t="shared" si="8"/>
        <v>9161.7147341262462</v>
      </c>
    </row>
    <row r="75" spans="1:11" ht="42.75" customHeight="1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>
      <c r="A76" s="6" t="s">
        <v>105</v>
      </c>
      <c r="B76" s="2" t="s">
        <v>106</v>
      </c>
    </row>
    <row r="77" spans="1:11" ht="18" customHeight="1">
      <c r="A77" s="5" t="s">
        <v>107</v>
      </c>
      <c r="B77" s="1" t="s">
        <v>54</v>
      </c>
      <c r="F77" s="54"/>
      <c r="G77" s="54"/>
      <c r="H77" s="15">
        <v>19400</v>
      </c>
      <c r="I77" s="55">
        <v>0</v>
      </c>
      <c r="J77" s="15"/>
      <c r="K77" s="16">
        <f>(H77+I77)-J77</f>
        <v>19400</v>
      </c>
    </row>
    <row r="78" spans="1:11" ht="18" customHeight="1">
      <c r="A78" s="5" t="s">
        <v>108</v>
      </c>
      <c r="B78" s="1" t="s">
        <v>55</v>
      </c>
      <c r="F78" s="54"/>
      <c r="G78" s="54"/>
      <c r="H78" s="15"/>
      <c r="I78" s="55">
        <v>0</v>
      </c>
      <c r="J78" s="15"/>
      <c r="K78" s="16">
        <f>(H78+I78)-J78</f>
        <v>0</v>
      </c>
    </row>
    <row r="79" spans="1:11" ht="18" customHeight="1">
      <c r="A79" s="5" t="s">
        <v>109</v>
      </c>
      <c r="B79" s="1" t="s">
        <v>13</v>
      </c>
      <c r="F79" s="54"/>
      <c r="G79" s="54"/>
      <c r="H79" s="15"/>
      <c r="I79" s="55">
        <v>0</v>
      </c>
      <c r="J79" s="15"/>
      <c r="K79" s="16">
        <f>(H79+I79)-J79</f>
        <v>0</v>
      </c>
    </row>
    <row r="80" spans="1:11" ht="18" customHeight="1">
      <c r="A80" s="5" t="s">
        <v>110</v>
      </c>
      <c r="B80" s="1" t="s">
        <v>56</v>
      </c>
      <c r="F80" s="54"/>
      <c r="G80" s="54"/>
      <c r="H80" s="15"/>
      <c r="I80" s="55">
        <v>0</v>
      </c>
      <c r="J80" s="15"/>
      <c r="K80" s="16">
        <f>(H80+I80)-J80</f>
        <v>0</v>
      </c>
    </row>
    <row r="81" spans="1:11" ht="18" customHeight="1">
      <c r="A81" s="5"/>
      <c r="K81" s="40"/>
    </row>
    <row r="82" spans="1:11" ht="18" customHeight="1">
      <c r="A82" s="5" t="s">
        <v>148</v>
      </c>
      <c r="B82" s="2" t="s">
        <v>149</v>
      </c>
      <c r="E82" s="2" t="s">
        <v>7</v>
      </c>
      <c r="F82" s="21">
        <f t="shared" ref="F82:K82" si="9">SUM(F77:F80)</f>
        <v>0</v>
      </c>
      <c r="G82" s="21">
        <f t="shared" si="9"/>
        <v>0</v>
      </c>
      <c r="H82" s="56">
        <f t="shared" si="9"/>
        <v>19400</v>
      </c>
      <c r="I82" s="56">
        <f t="shared" si="9"/>
        <v>0</v>
      </c>
      <c r="J82" s="56">
        <f t="shared" si="9"/>
        <v>0</v>
      </c>
      <c r="K82" s="56">
        <f t="shared" si="9"/>
        <v>19400</v>
      </c>
    </row>
    <row r="83" spans="1:11" ht="18" customHeight="1" thickBot="1">
      <c r="A83" s="5"/>
      <c r="F83" s="24"/>
      <c r="G83" s="24"/>
      <c r="H83" s="24"/>
      <c r="I83" s="24"/>
      <c r="J83" s="24"/>
      <c r="K83" s="24"/>
    </row>
    <row r="84" spans="1:11" ht="42.75" customHeight="1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>
      <c r="A85" s="6" t="s">
        <v>111</v>
      </c>
      <c r="B85" s="2" t="s">
        <v>57</v>
      </c>
    </row>
    <row r="86" spans="1:11" ht="18" customHeight="1">
      <c r="A86" s="5" t="s">
        <v>112</v>
      </c>
      <c r="B86" s="1" t="s">
        <v>113</v>
      </c>
      <c r="F86" s="54"/>
      <c r="G86" s="54"/>
      <c r="H86" s="15"/>
      <c r="I86" s="55">
        <f t="shared" ref="I86:I96" si="10">H86*F$114</f>
        <v>0</v>
      </c>
      <c r="J86" s="15"/>
      <c r="K86" s="16">
        <f t="shared" ref="K86:K96" si="11">(H86+I86)-J86</f>
        <v>0</v>
      </c>
    </row>
    <row r="87" spans="1:11" ht="18" customHeight="1">
      <c r="A87" s="5" t="s">
        <v>114</v>
      </c>
      <c r="B87" s="1" t="s">
        <v>14</v>
      </c>
      <c r="F87" s="54">
        <v>60</v>
      </c>
      <c r="G87" s="54"/>
      <c r="H87" s="15">
        <v>4500</v>
      </c>
      <c r="I87" s="55">
        <f t="shared" si="10"/>
        <v>3745.5432607136222</v>
      </c>
      <c r="J87" s="15"/>
      <c r="K87" s="16">
        <f t="shared" si="11"/>
        <v>8245.5432607136227</v>
      </c>
    </row>
    <row r="88" spans="1:11" ht="18" customHeight="1">
      <c r="A88" s="5" t="s">
        <v>115</v>
      </c>
      <c r="B88" s="1" t="s">
        <v>116</v>
      </c>
      <c r="F88" s="54">
        <v>40</v>
      </c>
      <c r="G88" s="54"/>
      <c r="H88" s="15">
        <v>3000</v>
      </c>
      <c r="I88" s="55">
        <f t="shared" si="10"/>
        <v>2497.028840475748</v>
      </c>
      <c r="J88" s="15"/>
      <c r="K88" s="16">
        <f t="shared" si="11"/>
        <v>5497.0288404757484</v>
      </c>
    </row>
    <row r="89" spans="1:11" ht="18" customHeight="1">
      <c r="A89" s="5" t="s">
        <v>117</v>
      </c>
      <c r="B89" s="1" t="s">
        <v>58</v>
      </c>
      <c r="F89" s="54"/>
      <c r="G89" s="54"/>
      <c r="H89" s="15"/>
      <c r="I89" s="55">
        <f t="shared" si="10"/>
        <v>0</v>
      </c>
      <c r="J89" s="15"/>
      <c r="K89" s="16">
        <f t="shared" si="11"/>
        <v>0</v>
      </c>
    </row>
    <row r="90" spans="1:11" ht="18" customHeight="1">
      <c r="A90" s="5" t="s">
        <v>118</v>
      </c>
      <c r="B90" s="550" t="s">
        <v>59</v>
      </c>
      <c r="C90" s="551"/>
      <c r="F90" s="54">
        <v>60</v>
      </c>
      <c r="G90" s="54"/>
      <c r="H90" s="15">
        <v>4500</v>
      </c>
      <c r="I90" s="55">
        <f t="shared" si="10"/>
        <v>3745.5432607136222</v>
      </c>
      <c r="J90" s="15"/>
      <c r="K90" s="16">
        <f t="shared" si="11"/>
        <v>8245.5432607136227</v>
      </c>
    </row>
    <row r="91" spans="1:11" ht="18" customHeight="1">
      <c r="A91" s="5" t="s">
        <v>119</v>
      </c>
      <c r="B91" s="1" t="s">
        <v>60</v>
      </c>
      <c r="F91" s="54">
        <v>80</v>
      </c>
      <c r="G91" s="54"/>
      <c r="H91" s="15">
        <v>6000</v>
      </c>
      <c r="I91" s="55">
        <f t="shared" si="10"/>
        <v>4994.057680951496</v>
      </c>
      <c r="J91" s="15"/>
      <c r="K91" s="16">
        <f t="shared" si="11"/>
        <v>10994.057680951497</v>
      </c>
    </row>
    <row r="92" spans="1:11" ht="18" customHeight="1">
      <c r="A92" s="5" t="s">
        <v>120</v>
      </c>
      <c r="B92" s="1" t="s">
        <v>121</v>
      </c>
      <c r="F92" s="38">
        <v>106</v>
      </c>
      <c r="G92" s="38"/>
      <c r="H92" s="39">
        <v>7950</v>
      </c>
      <c r="I92" s="55">
        <f t="shared" si="10"/>
        <v>6617.1264272607323</v>
      </c>
      <c r="J92" s="39"/>
      <c r="K92" s="16">
        <f t="shared" si="11"/>
        <v>14567.126427260733</v>
      </c>
    </row>
    <row r="93" spans="1:11" ht="18" customHeight="1">
      <c r="A93" s="5" t="s">
        <v>122</v>
      </c>
      <c r="B93" s="1" t="s">
        <v>123</v>
      </c>
      <c r="F93" s="54"/>
      <c r="G93" s="54"/>
      <c r="H93" s="15"/>
      <c r="I93" s="55">
        <f t="shared" si="10"/>
        <v>0</v>
      </c>
      <c r="J93" s="15"/>
      <c r="K93" s="16">
        <f t="shared" si="11"/>
        <v>0</v>
      </c>
    </row>
    <row r="94" spans="1:11" ht="18" customHeight="1">
      <c r="A94" s="5" t="s">
        <v>124</v>
      </c>
      <c r="B94" s="530"/>
      <c r="C94" s="531"/>
      <c r="D94" s="532"/>
      <c r="F94" s="54"/>
      <c r="G94" s="54"/>
      <c r="H94" s="15"/>
      <c r="I94" s="55">
        <f t="shared" si="10"/>
        <v>0</v>
      </c>
      <c r="J94" s="15"/>
      <c r="K94" s="16">
        <f t="shared" si="11"/>
        <v>0</v>
      </c>
    </row>
    <row r="95" spans="1:11" ht="18" customHeight="1">
      <c r="A95" s="5" t="s">
        <v>125</v>
      </c>
      <c r="B95" s="530"/>
      <c r="C95" s="531"/>
      <c r="D95" s="532"/>
      <c r="F95" s="54"/>
      <c r="G95" s="54"/>
      <c r="H95" s="15"/>
      <c r="I95" s="55">
        <f t="shared" si="10"/>
        <v>0</v>
      </c>
      <c r="J95" s="15"/>
      <c r="K95" s="16">
        <f t="shared" si="11"/>
        <v>0</v>
      </c>
    </row>
    <row r="96" spans="1:11" ht="18" customHeight="1">
      <c r="A96" s="5" t="s">
        <v>126</v>
      </c>
      <c r="B96" s="530"/>
      <c r="C96" s="531"/>
      <c r="D96" s="532"/>
      <c r="F96" s="54"/>
      <c r="G96" s="54"/>
      <c r="H96" s="15"/>
      <c r="I96" s="55">
        <f t="shared" si="10"/>
        <v>0</v>
      </c>
      <c r="J96" s="15"/>
      <c r="K96" s="16">
        <f t="shared" si="11"/>
        <v>0</v>
      </c>
    </row>
    <row r="97" spans="1:11" ht="18" customHeight="1">
      <c r="A97" s="5"/>
      <c r="B97" s="1"/>
    </row>
    <row r="98" spans="1:11" ht="18" customHeight="1">
      <c r="A98" s="6" t="s">
        <v>150</v>
      </c>
      <c r="B98" s="2" t="s">
        <v>151</v>
      </c>
      <c r="E98" s="2" t="s">
        <v>7</v>
      </c>
      <c r="F98" s="18">
        <f t="shared" ref="F98:K98" si="12">SUM(F86:F96)</f>
        <v>346</v>
      </c>
      <c r="G98" s="18">
        <f t="shared" si="12"/>
        <v>0</v>
      </c>
      <c r="H98" s="18">
        <f t="shared" si="12"/>
        <v>25950</v>
      </c>
      <c r="I98" s="18">
        <f t="shared" si="12"/>
        <v>21599.29947011522</v>
      </c>
      <c r="J98" s="18">
        <f t="shared" si="12"/>
        <v>0</v>
      </c>
      <c r="K98" s="18">
        <f t="shared" si="12"/>
        <v>47549.29947011522</v>
      </c>
    </row>
    <row r="99" spans="1:11" ht="18" customHeight="1" thickBot="1">
      <c r="B99" s="2"/>
      <c r="F99" s="24"/>
      <c r="G99" s="24"/>
      <c r="H99" s="24"/>
      <c r="I99" s="24"/>
      <c r="J99" s="24"/>
      <c r="K99" s="24"/>
    </row>
    <row r="100" spans="1:11" ht="42.75" customHeight="1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>
      <c r="A101" s="6" t="s">
        <v>130</v>
      </c>
      <c r="B101" s="2" t="s">
        <v>63</v>
      </c>
    </row>
    <row r="102" spans="1:11" ht="18" customHeight="1">
      <c r="A102" s="5" t="s">
        <v>131</v>
      </c>
      <c r="B102" s="1" t="s">
        <v>152</v>
      </c>
      <c r="F102" s="54"/>
      <c r="G102" s="54"/>
      <c r="H102" s="15"/>
      <c r="I102" s="55">
        <f>H102*F$114</f>
        <v>0</v>
      </c>
      <c r="J102" s="15"/>
      <c r="K102" s="16">
        <f>(H102+I102)-J102</f>
        <v>0</v>
      </c>
    </row>
    <row r="103" spans="1:11" ht="18" customHeight="1">
      <c r="A103" s="5" t="s">
        <v>132</v>
      </c>
      <c r="B103" s="550" t="s">
        <v>62</v>
      </c>
      <c r="C103" s="550"/>
      <c r="F103" s="54"/>
      <c r="G103" s="54"/>
      <c r="H103" s="15"/>
      <c r="I103" s="55">
        <f>H103*F$114</f>
        <v>0</v>
      </c>
      <c r="J103" s="15"/>
      <c r="K103" s="16">
        <f>(H103+I103)-J103</f>
        <v>0</v>
      </c>
    </row>
    <row r="104" spans="1:11" ht="18" customHeight="1">
      <c r="A104" s="5" t="s">
        <v>128</v>
      </c>
      <c r="B104" s="530"/>
      <c r="C104" s="531"/>
      <c r="D104" s="532"/>
      <c r="F104" s="54"/>
      <c r="G104" s="54"/>
      <c r="H104" s="15"/>
      <c r="I104" s="55">
        <f>H104*F$114</f>
        <v>0</v>
      </c>
      <c r="J104" s="15"/>
      <c r="K104" s="16">
        <f>(H104+I104)-J104</f>
        <v>0</v>
      </c>
    </row>
    <row r="105" spans="1:11" ht="18" customHeight="1">
      <c r="A105" s="5" t="s">
        <v>127</v>
      </c>
      <c r="B105" s="530"/>
      <c r="C105" s="531"/>
      <c r="D105" s="532"/>
      <c r="F105" s="54"/>
      <c r="G105" s="54"/>
      <c r="H105" s="15"/>
      <c r="I105" s="55">
        <f>H105*F$114</f>
        <v>0</v>
      </c>
      <c r="J105" s="15"/>
      <c r="K105" s="16">
        <f>(H105+I105)-J105</f>
        <v>0</v>
      </c>
    </row>
    <row r="106" spans="1:11" ht="18" customHeight="1">
      <c r="A106" s="5" t="s">
        <v>129</v>
      </c>
      <c r="B106" s="530"/>
      <c r="C106" s="531"/>
      <c r="D106" s="532"/>
      <c r="F106" s="54"/>
      <c r="G106" s="54"/>
      <c r="H106" s="15"/>
      <c r="I106" s="55">
        <f>H106*F$114</f>
        <v>0</v>
      </c>
      <c r="J106" s="15"/>
      <c r="K106" s="16">
        <f>(H106+I106)-J106</f>
        <v>0</v>
      </c>
    </row>
    <row r="107" spans="1:11" ht="18" customHeight="1">
      <c r="B107" s="2"/>
    </row>
    <row r="108" spans="1:11" s="10" customFormat="1" ht="18" customHeight="1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3">SUM(F102:F106)</f>
        <v>0</v>
      </c>
      <c r="G108" s="18">
        <f t="shared" si="13"/>
        <v>0</v>
      </c>
      <c r="H108" s="16">
        <f t="shared" si="13"/>
        <v>0</v>
      </c>
      <c r="I108" s="16">
        <f t="shared" si="13"/>
        <v>0</v>
      </c>
      <c r="J108" s="16">
        <f t="shared" si="13"/>
        <v>0</v>
      </c>
      <c r="K108" s="16">
        <f t="shared" si="13"/>
        <v>0</v>
      </c>
    </row>
    <row r="109" spans="1:11" s="10" customFormat="1" ht="18" customHeight="1" thickBot="1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>
      <c r="A111" s="6" t="s">
        <v>155</v>
      </c>
      <c r="B111" s="2" t="s">
        <v>164</v>
      </c>
      <c r="E111" s="2" t="s">
        <v>7</v>
      </c>
      <c r="F111" s="15">
        <v>5457747</v>
      </c>
    </row>
    <row r="112" spans="1:11" ht="18" customHeight="1">
      <c r="B112" s="2"/>
      <c r="E112" s="2"/>
      <c r="F112" s="22"/>
    </row>
    <row r="113" spans="1:6" ht="18" customHeight="1">
      <c r="A113" s="6"/>
      <c r="B113" s="2" t="s">
        <v>15</v>
      </c>
    </row>
    <row r="114" spans="1:6" ht="18" customHeight="1">
      <c r="A114" s="5" t="s">
        <v>171</v>
      </c>
      <c r="B114" s="1" t="s">
        <v>35</v>
      </c>
      <c r="F114" s="25">
        <v>0.83234294682524934</v>
      </c>
    </row>
    <row r="115" spans="1:6" ht="18" customHeight="1">
      <c r="A115" s="5"/>
      <c r="B115" s="2"/>
    </row>
    <row r="116" spans="1:6" ht="18" customHeight="1">
      <c r="A116" s="5" t="s">
        <v>170</v>
      </c>
      <c r="B116" s="2" t="s">
        <v>16</v>
      </c>
    </row>
    <row r="117" spans="1:6" ht="18" customHeight="1">
      <c r="A117" s="5" t="s">
        <v>172</v>
      </c>
      <c r="B117" s="1" t="s">
        <v>17</v>
      </c>
      <c r="F117" s="15">
        <v>52642000</v>
      </c>
    </row>
    <row r="118" spans="1:6" ht="18" customHeight="1">
      <c r="A118" s="5" t="s">
        <v>173</v>
      </c>
      <c r="B118" t="s">
        <v>18</v>
      </c>
      <c r="F118" s="15">
        <v>457000</v>
      </c>
    </row>
    <row r="119" spans="1:6" ht="18" customHeight="1">
      <c r="A119" s="5" t="s">
        <v>174</v>
      </c>
      <c r="B119" s="2" t="s">
        <v>19</v>
      </c>
      <c r="F119" s="56">
        <f>SUM(F117:F118)</f>
        <v>53099000</v>
      </c>
    </row>
    <row r="120" spans="1:6" ht="18" customHeight="1">
      <c r="A120" s="5"/>
      <c r="B120" s="2"/>
    </row>
    <row r="121" spans="1:6" ht="18" customHeight="1">
      <c r="A121" s="5" t="s">
        <v>167</v>
      </c>
      <c r="B121" s="2" t="s">
        <v>36</v>
      </c>
      <c r="F121" s="15">
        <v>55250000</v>
      </c>
    </row>
    <row r="122" spans="1:6" ht="18" customHeight="1">
      <c r="A122" s="5"/>
    </row>
    <row r="123" spans="1:6" ht="18" customHeight="1">
      <c r="A123" s="5" t="s">
        <v>175</v>
      </c>
      <c r="B123" s="2" t="s">
        <v>20</v>
      </c>
      <c r="F123" s="15">
        <f>+F119-F121</f>
        <v>-2151000</v>
      </c>
    </row>
    <row r="124" spans="1:6" ht="18" customHeight="1">
      <c r="A124" s="5"/>
    </row>
    <row r="125" spans="1:6" ht="18" customHeight="1">
      <c r="A125" s="5" t="s">
        <v>176</v>
      </c>
      <c r="B125" s="2" t="s">
        <v>21</v>
      </c>
      <c r="F125" s="15">
        <v>203000</v>
      </c>
    </row>
    <row r="126" spans="1:6" ht="18" customHeight="1">
      <c r="A126" s="5"/>
    </row>
    <row r="127" spans="1:6" ht="18" customHeight="1">
      <c r="A127" s="5" t="s">
        <v>177</v>
      </c>
      <c r="B127" s="2" t="s">
        <v>22</v>
      </c>
      <c r="F127" s="15">
        <f>+F123+F125</f>
        <v>-1948000</v>
      </c>
    </row>
    <row r="128" spans="1:6" ht="18" customHeight="1">
      <c r="A128" s="5"/>
    </row>
    <row r="129" spans="1:11" ht="42.75" customHeight="1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>
      <c r="A130" s="6" t="s">
        <v>157</v>
      </c>
      <c r="B130" s="2" t="s">
        <v>23</v>
      </c>
    </row>
    <row r="131" spans="1:11" ht="18" customHeight="1">
      <c r="A131" s="5" t="s">
        <v>158</v>
      </c>
      <c r="B131" t="s">
        <v>24</v>
      </c>
      <c r="F131" s="54"/>
      <c r="G131" s="54"/>
      <c r="H131" s="15"/>
      <c r="I131" s="55">
        <v>0</v>
      </c>
      <c r="J131" s="15"/>
      <c r="K131" s="16">
        <f>(H131+I131)-J131</f>
        <v>0</v>
      </c>
    </row>
    <row r="132" spans="1:11" ht="18" customHeight="1">
      <c r="A132" s="5" t="s">
        <v>159</v>
      </c>
      <c r="B132" t="s">
        <v>25</v>
      </c>
      <c r="F132" s="54"/>
      <c r="G132" s="54"/>
      <c r="H132" s="15"/>
      <c r="I132" s="55">
        <v>0</v>
      </c>
      <c r="J132" s="15"/>
      <c r="K132" s="16">
        <f>(H132+I132)-J132</f>
        <v>0</v>
      </c>
    </row>
    <row r="133" spans="1:11" ht="18" customHeight="1">
      <c r="A133" s="5" t="s">
        <v>160</v>
      </c>
      <c r="B133" s="547"/>
      <c r="C133" s="548"/>
      <c r="D133" s="549"/>
      <c r="F133" s="54"/>
      <c r="G133" s="54"/>
      <c r="H133" s="15"/>
      <c r="I133" s="55">
        <v>0</v>
      </c>
      <c r="J133" s="15"/>
      <c r="K133" s="16">
        <f>(H133+I133)-J133</f>
        <v>0</v>
      </c>
    </row>
    <row r="134" spans="1:11" ht="18" customHeight="1">
      <c r="A134" s="5" t="s">
        <v>161</v>
      </c>
      <c r="B134" s="547"/>
      <c r="C134" s="548"/>
      <c r="D134" s="549"/>
      <c r="F134" s="54"/>
      <c r="G134" s="54"/>
      <c r="H134" s="15"/>
      <c r="I134" s="55">
        <v>0</v>
      </c>
      <c r="J134" s="15"/>
      <c r="K134" s="16">
        <f>(H134+I134)-J134</f>
        <v>0</v>
      </c>
    </row>
    <row r="135" spans="1:11" ht="18" customHeight="1">
      <c r="A135" s="5" t="s">
        <v>162</v>
      </c>
      <c r="B135" s="547"/>
      <c r="C135" s="548"/>
      <c r="D135" s="549"/>
      <c r="F135" s="54"/>
      <c r="G135" s="54"/>
      <c r="H135" s="15"/>
      <c r="I135" s="55">
        <v>0</v>
      </c>
      <c r="J135" s="15"/>
      <c r="K135" s="16">
        <f>(H135+I135)-J135</f>
        <v>0</v>
      </c>
    </row>
    <row r="136" spans="1:11" ht="18" customHeight="1">
      <c r="A136" s="6"/>
    </row>
    <row r="137" spans="1:11" ht="18" customHeight="1">
      <c r="A137" s="6" t="s">
        <v>163</v>
      </c>
      <c r="B137" s="2" t="s">
        <v>27</v>
      </c>
      <c r="F137" s="18">
        <f t="shared" ref="F137:K137" si="14">SUM(F131:F135)</f>
        <v>0</v>
      </c>
      <c r="G137" s="18">
        <f t="shared" si="14"/>
        <v>0</v>
      </c>
      <c r="H137" s="16">
        <f t="shared" si="14"/>
        <v>0</v>
      </c>
      <c r="I137" s="16">
        <f t="shared" si="14"/>
        <v>0</v>
      </c>
      <c r="J137" s="16">
        <f t="shared" si="14"/>
        <v>0</v>
      </c>
      <c r="K137" s="16">
        <f t="shared" si="14"/>
        <v>0</v>
      </c>
    </row>
    <row r="138" spans="1:11" ht="18" customHeight="1">
      <c r="A138"/>
    </row>
    <row r="139" spans="1:11" ht="42.75" customHeight="1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>
      <c r="A140" s="6" t="s">
        <v>166</v>
      </c>
      <c r="B140" s="2" t="s">
        <v>26</v>
      </c>
    </row>
    <row r="141" spans="1:11" ht="18" customHeight="1">
      <c r="A141" s="5" t="s">
        <v>137</v>
      </c>
      <c r="B141" s="2" t="s">
        <v>64</v>
      </c>
      <c r="F141" s="41">
        <f t="shared" ref="F141:K141" si="15">F36</f>
        <v>802</v>
      </c>
      <c r="G141" s="41">
        <f t="shared" si="15"/>
        <v>5607</v>
      </c>
      <c r="H141" s="41">
        <f t="shared" si="15"/>
        <v>260110</v>
      </c>
      <c r="I141" s="41">
        <f t="shared" si="15"/>
        <v>216500.7238987156</v>
      </c>
      <c r="J141" s="41">
        <f t="shared" si="15"/>
        <v>0</v>
      </c>
      <c r="K141" s="41">
        <f t="shared" si="15"/>
        <v>476610.72389871557</v>
      </c>
    </row>
    <row r="142" spans="1:11" ht="18" customHeight="1">
      <c r="A142" s="5" t="s">
        <v>142</v>
      </c>
      <c r="B142" s="2" t="s">
        <v>65</v>
      </c>
      <c r="F142" s="41">
        <f t="shared" ref="F142:K142" si="16">F49</f>
        <v>678</v>
      </c>
      <c r="G142" s="41">
        <f t="shared" si="16"/>
        <v>93</v>
      </c>
      <c r="H142" s="41">
        <f t="shared" si="16"/>
        <v>42119</v>
      </c>
      <c r="I142" s="41">
        <f t="shared" si="16"/>
        <v>35057.452577332675</v>
      </c>
      <c r="J142" s="41">
        <f t="shared" si="16"/>
        <v>0</v>
      </c>
      <c r="K142" s="41">
        <f t="shared" si="16"/>
        <v>77176.45257733269</v>
      </c>
    </row>
    <row r="143" spans="1:11" ht="18" customHeight="1">
      <c r="A143" s="5" t="s">
        <v>144</v>
      </c>
      <c r="B143" s="2" t="s">
        <v>66</v>
      </c>
      <c r="F143" s="41">
        <f t="shared" ref="F143:K143" si="17">F64</f>
        <v>0</v>
      </c>
      <c r="G143" s="41">
        <f t="shared" si="17"/>
        <v>0</v>
      </c>
      <c r="H143" s="41">
        <f t="shared" si="17"/>
        <v>3066570</v>
      </c>
      <c r="I143" s="41">
        <f t="shared" si="17"/>
        <v>2552437.9104459048</v>
      </c>
      <c r="J143" s="41">
        <f t="shared" si="17"/>
        <v>523000</v>
      </c>
      <c r="K143" s="41">
        <f t="shared" si="17"/>
        <v>5096007.9104459044</v>
      </c>
    </row>
    <row r="144" spans="1:11" ht="18" customHeight="1">
      <c r="A144" s="5" t="s">
        <v>146</v>
      </c>
      <c r="B144" s="2" t="s">
        <v>67</v>
      </c>
      <c r="F144" s="41">
        <f t="shared" ref="F144:K144" si="18">F74</f>
        <v>0</v>
      </c>
      <c r="G144" s="41">
        <f t="shared" si="18"/>
        <v>0</v>
      </c>
      <c r="H144" s="41">
        <f t="shared" si="18"/>
        <v>5000</v>
      </c>
      <c r="I144" s="41">
        <f t="shared" si="18"/>
        <v>4161.7147341262471</v>
      </c>
      <c r="J144" s="41">
        <f t="shared" si="18"/>
        <v>0</v>
      </c>
      <c r="K144" s="41">
        <f t="shared" si="18"/>
        <v>9161.7147341262462</v>
      </c>
    </row>
    <row r="145" spans="1:11" ht="18" customHeight="1">
      <c r="A145" s="5" t="s">
        <v>148</v>
      </c>
      <c r="B145" s="2" t="s">
        <v>68</v>
      </c>
      <c r="F145" s="41">
        <f t="shared" ref="F145:K145" si="19">F82</f>
        <v>0</v>
      </c>
      <c r="G145" s="41">
        <f t="shared" si="19"/>
        <v>0</v>
      </c>
      <c r="H145" s="41">
        <f t="shared" si="19"/>
        <v>19400</v>
      </c>
      <c r="I145" s="41">
        <f t="shared" si="19"/>
        <v>0</v>
      </c>
      <c r="J145" s="41">
        <f t="shared" si="19"/>
        <v>0</v>
      </c>
      <c r="K145" s="41">
        <f t="shared" si="19"/>
        <v>19400</v>
      </c>
    </row>
    <row r="146" spans="1:11" ht="18" customHeight="1">
      <c r="A146" s="5" t="s">
        <v>150</v>
      </c>
      <c r="B146" s="2" t="s">
        <v>69</v>
      </c>
      <c r="F146" s="41">
        <f t="shared" ref="F146:K146" si="20">F98</f>
        <v>346</v>
      </c>
      <c r="G146" s="41">
        <f t="shared" si="20"/>
        <v>0</v>
      </c>
      <c r="H146" s="41">
        <f t="shared" si="20"/>
        <v>25950</v>
      </c>
      <c r="I146" s="41">
        <f t="shared" si="20"/>
        <v>21599.29947011522</v>
      </c>
      <c r="J146" s="41">
        <f t="shared" si="20"/>
        <v>0</v>
      </c>
      <c r="K146" s="41">
        <f t="shared" si="20"/>
        <v>47549.29947011522</v>
      </c>
    </row>
    <row r="147" spans="1:11" ht="18" customHeight="1">
      <c r="A147" s="5" t="s">
        <v>153</v>
      </c>
      <c r="B147" s="2" t="s">
        <v>61</v>
      </c>
      <c r="F147" s="18">
        <f t="shared" ref="F147:K147" si="21">F108</f>
        <v>0</v>
      </c>
      <c r="G147" s="18">
        <f t="shared" si="21"/>
        <v>0</v>
      </c>
      <c r="H147" s="18">
        <f t="shared" si="21"/>
        <v>0</v>
      </c>
      <c r="I147" s="18">
        <f t="shared" si="21"/>
        <v>0</v>
      </c>
      <c r="J147" s="18">
        <f t="shared" si="21"/>
        <v>0</v>
      </c>
      <c r="K147" s="18">
        <f t="shared" si="21"/>
        <v>0</v>
      </c>
    </row>
    <row r="148" spans="1:11" ht="18" customHeight="1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5457747</v>
      </c>
    </row>
    <row r="149" spans="1:11" ht="18" customHeight="1">
      <c r="A149" s="5" t="s">
        <v>163</v>
      </c>
      <c r="B149" s="2" t="s">
        <v>71</v>
      </c>
      <c r="F149" s="18">
        <f t="shared" ref="F149:K149" si="22">F137</f>
        <v>0</v>
      </c>
      <c r="G149" s="18">
        <f t="shared" si="22"/>
        <v>0</v>
      </c>
      <c r="H149" s="18">
        <f t="shared" si="22"/>
        <v>0</v>
      </c>
      <c r="I149" s="18">
        <f t="shared" si="22"/>
        <v>0</v>
      </c>
      <c r="J149" s="18">
        <f t="shared" si="22"/>
        <v>0</v>
      </c>
      <c r="K149" s="18">
        <f t="shared" si="22"/>
        <v>0</v>
      </c>
    </row>
    <row r="150" spans="1:11" ht="18" customHeight="1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1709052</v>
      </c>
      <c r="I150" s="18">
        <f>I18</f>
        <v>0</v>
      </c>
      <c r="J150" s="18">
        <f>J18</f>
        <v>1461453</v>
      </c>
      <c r="K150" s="18">
        <f>K18</f>
        <v>247599</v>
      </c>
    </row>
    <row r="151" spans="1:11" ht="18" customHeight="1">
      <c r="B151" s="2"/>
      <c r="F151" s="48"/>
      <c r="G151" s="48"/>
      <c r="H151" s="48"/>
      <c r="I151" s="48"/>
      <c r="J151" s="48"/>
      <c r="K151" s="48"/>
    </row>
    <row r="152" spans="1:11" ht="18" customHeight="1">
      <c r="A152" s="6" t="s">
        <v>165</v>
      </c>
      <c r="B152" s="2" t="s">
        <v>26</v>
      </c>
      <c r="F152" s="49">
        <f t="shared" ref="F152:K152" si="23">SUM(F141:F150)</f>
        <v>1826</v>
      </c>
      <c r="G152" s="49">
        <f t="shared" si="23"/>
        <v>5700</v>
      </c>
      <c r="H152" s="49">
        <f t="shared" si="23"/>
        <v>5128201</v>
      </c>
      <c r="I152" s="49">
        <f t="shared" si="23"/>
        <v>2829757.1011261949</v>
      </c>
      <c r="J152" s="49">
        <f t="shared" si="23"/>
        <v>1984453</v>
      </c>
      <c r="K152" s="49">
        <f t="shared" si="23"/>
        <v>11431252.101126194</v>
      </c>
    </row>
    <row r="154" spans="1:11" ht="18" customHeight="1">
      <c r="A154" s="6" t="s">
        <v>168</v>
      </c>
      <c r="B154" s="2" t="s">
        <v>28</v>
      </c>
      <c r="F154" s="64">
        <f>K152/F121</f>
        <v>0.20690049051812115</v>
      </c>
    </row>
    <row r="155" spans="1:11" ht="18" customHeight="1">
      <c r="A155" s="6" t="s">
        <v>169</v>
      </c>
      <c r="B155" s="2" t="s">
        <v>72</v>
      </c>
      <c r="F155" s="64">
        <f>K152/F127</f>
        <v>-5.8681992305575941</v>
      </c>
      <c r="G155" s="2"/>
    </row>
    <row r="156" spans="1:11" ht="18" customHeight="1">
      <c r="G156" s="2"/>
    </row>
  </sheetData>
  <sheetProtection password="EF72" sheet="1" objects="1" scenarios="1"/>
  <mergeCells count="33">
    <mergeCell ref="B62:D62"/>
    <mergeCell ref="B103:C103"/>
    <mergeCell ref="B95:D95"/>
    <mergeCell ref="C6:G6"/>
    <mergeCell ref="C7:G7"/>
    <mergeCell ref="C9:G9"/>
    <mergeCell ref="C10:G10"/>
    <mergeCell ref="B30:D30"/>
    <mergeCell ref="C11:G11"/>
    <mergeCell ref="D2:H2"/>
    <mergeCell ref="B45:D45"/>
    <mergeCell ref="B46:D46"/>
    <mergeCell ref="B47:D47"/>
    <mergeCell ref="B34:D34"/>
    <mergeCell ref="B41:C41"/>
    <mergeCell ref="B44:D44"/>
    <mergeCell ref="C5:G5"/>
    <mergeCell ref="B134:D134"/>
    <mergeCell ref="B135:D135"/>
    <mergeCell ref="B133:D133"/>
    <mergeCell ref="B104:D104"/>
    <mergeCell ref="B13:H13"/>
    <mergeCell ref="B52:C52"/>
    <mergeCell ref="B90:C90"/>
    <mergeCell ref="B55:D55"/>
    <mergeCell ref="B56:D56"/>
    <mergeCell ref="B31:D31"/>
    <mergeCell ref="B57:D57"/>
    <mergeCell ref="B105:D105"/>
    <mergeCell ref="B106:D106"/>
    <mergeCell ref="B94:D94"/>
    <mergeCell ref="B96:D96"/>
    <mergeCell ref="B59:D59"/>
  </mergeCells>
  <printOptions headings="1" gridLines="1"/>
  <pageMargins left="0.17" right="0.16" top="0.35" bottom="0.32" header="0.17" footer="0.17"/>
  <pageSetup scale="59" fitToHeight="3" orientation="landscape" horizontalDpi="200" verticalDpi="200" r:id="rId1"/>
  <headerFooter alignWithMargins="0">
    <oddFooter>&amp;C&amp;P of &amp;N&amp;R&amp;D</oddFooter>
  </headerFooter>
  <rowBreaks count="3" manualBreakCount="3">
    <brk id="37" max="16383" man="1"/>
    <brk id="74" max="16383" man="1"/>
    <brk id="10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D9DCED-6FBC-4763-A7AB-BF7473BE1EDF}"/>
</file>

<file path=customXml/itemProps2.xml><?xml version="1.0" encoding="utf-8"?>
<ds:datastoreItem xmlns:ds="http://schemas.openxmlformats.org/officeDocument/2006/customXml" ds:itemID="{8063B3E3-E746-4A30-A2E7-AA9DA5373AC1}"/>
</file>

<file path=customXml/itemProps3.xml><?xml version="1.0" encoding="utf-8"?>
<ds:datastoreItem xmlns:ds="http://schemas.openxmlformats.org/officeDocument/2006/customXml" ds:itemID="{965513E1-6AB6-4CB4-BCA6-E382788D59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43</vt:i4>
      </vt:variant>
    </vt:vector>
  </HeadingPairs>
  <TitlesOfParts>
    <vt:vector size="91" baseType="lpstr">
      <vt:lpstr>2012 Totals</vt:lpstr>
      <vt:lpstr>FY2012-2011 Comparison</vt:lpstr>
      <vt:lpstr>Anne Arundel-12</vt:lpstr>
      <vt:lpstr>Atlantic General-12</vt:lpstr>
      <vt:lpstr>Baltimore Washington-12</vt:lpstr>
      <vt:lpstr>Bon Secours-12</vt:lpstr>
      <vt:lpstr>Calvert-12</vt:lpstr>
      <vt:lpstr>Carroll Hospital Center-12</vt:lpstr>
      <vt:lpstr>Chester River-12</vt:lpstr>
      <vt:lpstr>Civista-12</vt:lpstr>
      <vt:lpstr>Doctors Community-12</vt:lpstr>
      <vt:lpstr>Dorchester Hospital-12</vt:lpstr>
      <vt:lpstr>Fort Washington-12</vt:lpstr>
      <vt:lpstr>Frederick Memorial-12</vt:lpstr>
      <vt:lpstr>Garrett County-12</vt:lpstr>
      <vt:lpstr>GBMC-12</vt:lpstr>
      <vt:lpstr>Harford-12</vt:lpstr>
      <vt:lpstr>Holy Cross-12</vt:lpstr>
      <vt:lpstr>Howard County-12</vt:lpstr>
      <vt:lpstr>Johns Hopkins-12</vt:lpstr>
      <vt:lpstr>JH Bayview-12</vt:lpstr>
      <vt:lpstr>Kernan-12</vt:lpstr>
      <vt:lpstr>Laurel Regional-12</vt:lpstr>
      <vt:lpstr>Maryland General-12</vt:lpstr>
      <vt:lpstr>McCready-12</vt:lpstr>
      <vt:lpstr>Memorial Hospital of Easton-12</vt:lpstr>
      <vt:lpstr>Mercy-12</vt:lpstr>
      <vt:lpstr>Meritus-12</vt:lpstr>
      <vt:lpstr>MS Franklin Square-12</vt:lpstr>
      <vt:lpstr>MS Good Samaritan-12</vt:lpstr>
      <vt:lpstr>MS Harbor-12</vt:lpstr>
      <vt:lpstr>MS Montgomery-12</vt:lpstr>
      <vt:lpstr>MS St Mary's-12</vt:lpstr>
      <vt:lpstr>MS Union Memorial-12</vt:lpstr>
      <vt:lpstr>Northwest-12</vt:lpstr>
      <vt:lpstr>Peninsula Regional-12</vt:lpstr>
      <vt:lpstr>Prince George's-12</vt:lpstr>
      <vt:lpstr>Shady Grove-12</vt:lpstr>
      <vt:lpstr>Sinai-12</vt:lpstr>
      <vt:lpstr>Southern Maryland-12</vt:lpstr>
      <vt:lpstr>St Agnes-12</vt:lpstr>
      <vt:lpstr>St. Joseph-12</vt:lpstr>
      <vt:lpstr>Suburban-12</vt:lpstr>
      <vt:lpstr>Union Hospital-12</vt:lpstr>
      <vt:lpstr>University of Maryland-12</vt:lpstr>
      <vt:lpstr>Upper Chesapeake-12</vt:lpstr>
      <vt:lpstr>Washington Adventist-12</vt:lpstr>
      <vt:lpstr>Western Maryland-12</vt:lpstr>
      <vt:lpstr>'2012 Totals'!Print_Area</vt:lpstr>
      <vt:lpstr>'Anne Arundel-12'!Print_Area</vt:lpstr>
      <vt:lpstr>'Atlantic General-12'!Print_Area</vt:lpstr>
      <vt:lpstr>'Baltimore Washington-12'!Print_Area</vt:lpstr>
      <vt:lpstr>'Bon Secours-12'!Print_Area</vt:lpstr>
      <vt:lpstr>'Calvert-12'!Print_Area</vt:lpstr>
      <vt:lpstr>'Carroll Hospital Center-12'!Print_Area</vt:lpstr>
      <vt:lpstr>'Chester River-12'!Print_Area</vt:lpstr>
      <vt:lpstr>'Civista-12'!Print_Area</vt:lpstr>
      <vt:lpstr>'Doctors Community-12'!Print_Area</vt:lpstr>
      <vt:lpstr>'Fort Washington-12'!Print_Area</vt:lpstr>
      <vt:lpstr>'Frederick Memorial-12'!Print_Area</vt:lpstr>
      <vt:lpstr>'FY2012-2011 Comparison'!Print_Area</vt:lpstr>
      <vt:lpstr>'Garrett County-12'!Print_Area</vt:lpstr>
      <vt:lpstr>'GBMC-12'!Print_Area</vt:lpstr>
      <vt:lpstr>'Harford-12'!Print_Area</vt:lpstr>
      <vt:lpstr>'Holy Cross-12'!Print_Area</vt:lpstr>
      <vt:lpstr>'Howard County-12'!Print_Area</vt:lpstr>
      <vt:lpstr>'Johns Hopkins-12'!Print_Area</vt:lpstr>
      <vt:lpstr>'Laurel Regional-12'!Print_Area</vt:lpstr>
      <vt:lpstr>'Maryland General-12'!Print_Area</vt:lpstr>
      <vt:lpstr>'McCready-12'!Print_Area</vt:lpstr>
      <vt:lpstr>'Mercy-12'!Print_Area</vt:lpstr>
      <vt:lpstr>'Meritus-12'!Print_Area</vt:lpstr>
      <vt:lpstr>'MS Franklin Square-12'!Print_Area</vt:lpstr>
      <vt:lpstr>'MS Good Samaritan-12'!Print_Area</vt:lpstr>
      <vt:lpstr>'MS Harbor-12'!Print_Area</vt:lpstr>
      <vt:lpstr>'MS Montgomery-12'!Print_Area</vt:lpstr>
      <vt:lpstr>'MS St Mary''s-12'!Print_Area</vt:lpstr>
      <vt:lpstr>'MS Union Memorial-12'!Print_Area</vt:lpstr>
      <vt:lpstr>'Northwest-12'!Print_Area</vt:lpstr>
      <vt:lpstr>'Peninsula Regional-12'!Print_Area</vt:lpstr>
      <vt:lpstr>'Prince George''s-12'!Print_Area</vt:lpstr>
      <vt:lpstr>'Shady Grove-12'!Print_Area</vt:lpstr>
      <vt:lpstr>'Sinai-12'!Print_Area</vt:lpstr>
      <vt:lpstr>'Southern Maryland-12'!Print_Area</vt:lpstr>
      <vt:lpstr>'St Agnes-12'!Print_Area</vt:lpstr>
      <vt:lpstr>'St. Joseph-12'!Print_Area</vt:lpstr>
      <vt:lpstr>'Suburban-12'!Print_Area</vt:lpstr>
      <vt:lpstr>'Union Hospital-12'!Print_Area</vt:lpstr>
      <vt:lpstr>'Upper Chesapeake-12'!Print_Area</vt:lpstr>
      <vt:lpstr>'Washington Adventist-12'!Print_Area</vt:lpstr>
      <vt:lpstr>'Western Maryland-12'!Print_Area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Preferred Customer</dc:creator>
  <cp:lastModifiedBy>Amanda Greene</cp:lastModifiedBy>
  <cp:lastPrinted>2013-04-17T21:05:59Z</cp:lastPrinted>
  <dcterms:created xsi:type="dcterms:W3CDTF">2003-01-20T15:08:29Z</dcterms:created>
  <dcterms:modified xsi:type="dcterms:W3CDTF">2013-07-09T19:42:37Z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