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drawings/drawing2.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worksheets/sheet4.xml" ContentType="application/vnd.openxmlformats-officedocument.spreadsheetml.worksheet+xml"/>
  <Override PartName="/xl/charts/colors4.xml" ContentType="application/vnd.ms-office.chartcolorstyle+xml"/>
  <Override PartName="/xl/charts/style4.xml" ContentType="application/vnd.ms-office.chartstyle+xml"/>
  <Override PartName="/xl/charts/chart4.xml" ContentType="application/vnd.openxmlformats-officedocument.drawingml.chart+xml"/>
  <Override PartName="/xl/charts/colors3.xml" ContentType="application/vnd.ms-office.chartcolorstyle+xml"/>
  <Override PartName="/xl/worksheets/sheet3.xml" ContentType="application/vnd.openxmlformats-officedocument.spreadsheetml.worksheet+xml"/>
  <Override PartName="/xl/worksheets/sheet2.xml" ContentType="application/vnd.openxmlformats-officedocument.spreadsheetml.worksheet+xml"/>
  <Override PartName="/xl/charts/style3.xml" ContentType="application/vnd.ms-office.chartstyle+xml"/>
  <Override PartName="/xl/worksheets/sheet1.xml" ContentType="application/vnd.openxmlformats-officedocument.spreadsheetml.worksheet+xml"/>
  <Override PartName="/xl/charts/colors2.xml" ContentType="application/vnd.ms-office.chartcolorstyle+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55.xml" ContentType="application/vnd.openxmlformats-officedocument.spreadsheetml.worksheet+xml"/>
  <Override PartName="/xl/worksheets/sheet54.xml" ContentType="application/vnd.openxmlformats-officedocument.spreadsheetml.worksheet+xml"/>
  <Override PartName="/xl/worksheets/sheet53.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charts/chart3.xml" ContentType="application/vnd.openxmlformats-officedocument.drawingml.chart+xml"/>
  <Override PartName="/xl/sharedStrings.xml" ContentType="application/vnd.openxmlformats-officedocument.spreadsheetml.sharedStrings+xml"/>
  <Override PartName="/xl/charts/chart1.xml" ContentType="application/vnd.openxmlformats-officedocument.drawingml.chart+xml"/>
  <Override PartName="/xl/charts/style1.xml" ContentType="application/vnd.ms-office.chartstyle+xml"/>
  <Override PartName="/xl/drawings/drawing1.xml" ContentType="application/vnd.openxmlformats-officedocument.drawing+xml"/>
  <Override PartName="/xl/charts/colors1.xml" ContentType="application/vnd.ms-office.chartcolorstyle+xml"/>
  <Override PartName="/xl/charts/style2.xml" ContentType="application/vnd.ms-office.chartstyle+xml"/>
  <Override PartName="/xl/charts/chart2.xml" ContentType="application/vnd.openxmlformats-officedocument.drawingml.chart+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projects\HSCRC-Community Benefit Reporting\FY 2019 Financials\"/>
    </mc:Choice>
  </mc:AlternateContent>
  <bookViews>
    <workbookView xWindow="600" yWindow="540" windowWidth="18345" windowHeight="10545" tabRatio="874" activeTab="2"/>
  </bookViews>
  <sheets>
    <sheet name="DME_NSPI-all" sheetId="3" r:id="rId1"/>
    <sheet name="Charity in Rates" sheetId="127" r:id="rId2"/>
    <sheet name="Figures" sheetId="6" r:id="rId3"/>
    <sheet name="CB Table 1" sheetId="5" r:id="rId4"/>
    <sheet name="Rate Support-Attachment I" sheetId="4" r:id="rId5"/>
    <sheet name="Attachment II-All Hospitals" sheetId="126" r:id="rId6"/>
    <sheet name="Attachment III-All" sheetId="60" r:id="rId7"/>
    <sheet name="#1-Meritus" sheetId="67" r:id="rId8"/>
    <sheet name="#2-UMMC" sheetId="68" r:id="rId9"/>
    <sheet name="#3-Prince Georges Hospital" sheetId="110" r:id="rId10"/>
    <sheet name="#4-Holy Cross Hospital" sheetId="76" r:id="rId11"/>
    <sheet name="#5-Frederick Memorial Hospital" sheetId="77" r:id="rId12"/>
    <sheet name="#6-UM Harford Memorial" sheetId="73" r:id="rId13"/>
    <sheet name="#8-Mercy" sheetId="78" r:id="rId14"/>
    <sheet name="#9-Johns Hopkins" sheetId="79" r:id="rId15"/>
    <sheet name="#10-UM Shore Health Dorchester" sheetId="108" r:id="rId16"/>
    <sheet name="#11-St. Agnes Hospital" sheetId="80" r:id="rId17"/>
    <sheet name="#12-Sinai" sheetId="81" r:id="rId18"/>
    <sheet name="#13-Bon Secours" sheetId="82" r:id="rId19"/>
    <sheet name="#15-MedStar Franklin Square" sheetId="83" r:id="rId20"/>
    <sheet name="#16-Washington Adventist" sheetId="113" r:id="rId21"/>
    <sheet name="#17-Garrett County Memorial" sheetId="84" r:id="rId22"/>
    <sheet name="#18-MedStar Montgomery General" sheetId="85" r:id="rId23"/>
    <sheet name="#19-Peninsula Regional" sheetId="86" r:id="rId24"/>
    <sheet name="#22-Suburban" sheetId="122" r:id="rId25"/>
    <sheet name="#23-AAMC" sheetId="123" r:id="rId26"/>
    <sheet name="#24-MedStar Union Memorial" sheetId="88" r:id="rId27"/>
    <sheet name="#27-Western Maryland Regional" sheetId="89" r:id="rId28"/>
    <sheet name="#28-MedStar St. Marys" sheetId="90" r:id="rId29"/>
    <sheet name="#29-JH Bayview" sheetId="124" r:id="rId30"/>
    <sheet name="#30-UM Shore Health Chestertown" sheetId="107" r:id="rId31"/>
    <sheet name="#32-Union Hospital Cecil Co" sheetId="92" r:id="rId32"/>
    <sheet name="#33-Carroll Hospital Center" sheetId="93" r:id="rId33"/>
    <sheet name="#34-MedStar Harbor Hospital" sheetId="94" r:id="rId34"/>
    <sheet name="#35-UM Charles Regional" sheetId="95" r:id="rId35"/>
    <sheet name="#37-UM Shore Health Easton" sheetId="109" r:id="rId36"/>
    <sheet name="#38-UM Midtown" sheetId="70" r:id="rId37"/>
    <sheet name="#39-Calvert Memorial" sheetId="96" r:id="rId38"/>
    <sheet name="#40-Lifebridge Northwest" sheetId="97" r:id="rId39"/>
    <sheet name="#43-UM BWMC" sheetId="71" r:id="rId40"/>
    <sheet name="#44-GBMC" sheetId="118" r:id="rId41"/>
    <sheet name="#45-McCready" sheetId="117" r:id="rId42"/>
    <sheet name="#48-Howard County" sheetId="98" r:id="rId43"/>
    <sheet name="#49-UM Upper Chesapeake Medical" sheetId="74" r:id="rId44"/>
    <sheet name="#51-Doctors Community Hospital" sheetId="99" r:id="rId45"/>
    <sheet name="#60-Fort Washington" sheetId="101" r:id="rId46"/>
    <sheet name="#61-Atlantic General" sheetId="102" r:id="rId47"/>
    <sheet name="#62-MedStar Southern Maryland" sheetId="103" r:id="rId48"/>
    <sheet name="#63-UM St Joseph" sheetId="125" r:id="rId49"/>
    <sheet name="#64-Levindale" sheetId="104" r:id="rId50"/>
    <sheet name="#65-Holy Cross Germantown" sheetId="106" r:id="rId51"/>
    <sheet name="#2001-UM ROI" sheetId="72" r:id="rId52"/>
    <sheet name="#2004-MedStar Good Samaritan" sheetId="100" r:id="rId53"/>
    <sheet name="#5050-Shady Grove Adventist" sheetId="114" r:id="rId54"/>
    <sheet name="#3029-Adventist Rehab" sheetId="119" r:id="rId55"/>
    <sheet name="#4000-Sheppard Pratt" sheetId="105" r:id="rId56"/>
    <sheet name="#5034-Mt Washington Pediatric" sheetId="75" r:id="rId57"/>
  </sheets>
  <externalReferences>
    <externalReference r:id="rId58"/>
    <externalReference r:id="rId59"/>
    <externalReference r:id="rId60"/>
    <externalReference r:id="rId61"/>
    <externalReference r:id="rId62"/>
    <externalReference r:id="rId63"/>
    <externalReference r:id="rId64"/>
  </externalReferences>
  <definedNames>
    <definedName name="_xlnm._FilterDatabase" localSheetId="5" hidden="1">'Attachment II-All Hospitals'!$A$2:$K$2</definedName>
    <definedName name="_xlnm._FilterDatabase" localSheetId="2" hidden="1">Figures!$A$2:$C$11</definedName>
    <definedName name="acct" localSheetId="24">#REF!</definedName>
    <definedName name="acct" localSheetId="25">#REF!</definedName>
    <definedName name="acct" localSheetId="29">#REF!</definedName>
    <definedName name="acct" localSheetId="48">#REF!</definedName>
    <definedName name="acct" localSheetId="5">#REF!</definedName>
    <definedName name="acct" localSheetId="6">#REF!</definedName>
    <definedName name="acct">#REF!</definedName>
    <definedName name="acct1" localSheetId="24">#REF!</definedName>
    <definedName name="acct1" localSheetId="25">#REF!</definedName>
    <definedName name="acct1" localSheetId="29">#REF!</definedName>
    <definedName name="acct1" localSheetId="48">#REF!</definedName>
    <definedName name="acct1" localSheetId="5">#REF!</definedName>
    <definedName name="acct1" localSheetId="6">#REF!</definedName>
    <definedName name="acct1">#REF!</definedName>
    <definedName name="bal_umc" localSheetId="24">'[1]p8 CONS BS'!#REF!</definedName>
    <definedName name="bal_umc" localSheetId="25">'[1]p8 CONS BS'!#REF!</definedName>
    <definedName name="bal_umc" localSheetId="29">'[1]p8 CONS BS'!#REF!</definedName>
    <definedName name="bal_umc" localSheetId="48">'[1]p8 CONS BS'!#REF!</definedName>
    <definedName name="bal_umc" localSheetId="5">'[1]p8 CONS BS'!#REF!</definedName>
    <definedName name="bal_umc" localSheetId="6">'[1]p8 CONS BS'!#REF!</definedName>
    <definedName name="bal_umc">'[1]p8 CONS BS'!#REF!</definedName>
    <definedName name="BALANCE_UMMC" localSheetId="24">'[1]p8 CONS BS'!#REF!</definedName>
    <definedName name="BALANCE_UMMC" localSheetId="25">'[1]p8 CONS BS'!#REF!</definedName>
    <definedName name="BALANCE_UMMC" localSheetId="29">'[1]p8 CONS BS'!#REF!</definedName>
    <definedName name="BALANCE_UMMC" localSheetId="48">'[1]p8 CONS BS'!#REF!</definedName>
    <definedName name="BALANCE_UMMC" localSheetId="5">'[1]p8 CONS BS'!#REF!</definedName>
    <definedName name="BALANCE_UMMC" localSheetId="6">'[1]p8 CONS BS'!#REF!</definedName>
    <definedName name="BALANCE_UMMC">'[1]p8 CONS BS'!#REF!</definedName>
    <definedName name="C_Code" localSheetId="24">[2]D!#REF!</definedName>
    <definedName name="C_Code" localSheetId="25">[2]D!#REF!</definedName>
    <definedName name="C_Code" localSheetId="29">[2]D!#REF!</definedName>
    <definedName name="C_Code" localSheetId="48">[2]D!#REF!</definedName>
    <definedName name="C_Code" localSheetId="5">[2]D!#REF!</definedName>
    <definedName name="C_Code">[2]D!#REF!</definedName>
    <definedName name="C_Num" localSheetId="24">[2]D!#REF!</definedName>
    <definedName name="C_Num" localSheetId="25">[2]D!#REF!</definedName>
    <definedName name="C_Num" localSheetId="29">[2]D!#REF!</definedName>
    <definedName name="C_Num" localSheetId="48">[2]D!#REF!</definedName>
    <definedName name="C_Num" localSheetId="5">[2]D!#REF!</definedName>
    <definedName name="C_Num">[2]D!#REF!</definedName>
    <definedName name="CASH_UMMC" localSheetId="24">'[1]p10 CF'!#REF!</definedName>
    <definedName name="CASH_UMMC" localSheetId="25">'[1]p10 CF'!#REF!</definedName>
    <definedName name="CASH_UMMC" localSheetId="29">'[1]p10 CF'!#REF!</definedName>
    <definedName name="CASH_UMMC" localSheetId="48">'[1]p10 CF'!#REF!</definedName>
    <definedName name="CASH_UMMC" localSheetId="5">'[1]p10 CF'!#REF!</definedName>
    <definedName name="CASH_UMMC">'[1]p10 CF'!#REF!</definedName>
    <definedName name="CFA_I" localSheetId="24">#REF!</definedName>
    <definedName name="CFA_I" localSheetId="25">#REF!</definedName>
    <definedName name="CFA_I" localSheetId="29">#REF!</definedName>
    <definedName name="CFA_I" localSheetId="48">#REF!</definedName>
    <definedName name="CFA_I" localSheetId="5">#REF!</definedName>
    <definedName name="CFA_I" localSheetId="6">#REF!</definedName>
    <definedName name="CFA_I">#REF!</definedName>
    <definedName name="consol" localSheetId="24">#REF!</definedName>
    <definedName name="consol" localSheetId="25">#REF!</definedName>
    <definedName name="consol" localSheetId="29">#REF!</definedName>
    <definedName name="consol" localSheetId="48">#REF!</definedName>
    <definedName name="consol" localSheetId="5">#REF!</definedName>
    <definedName name="consol" localSheetId="6">#REF!</definedName>
    <definedName name="consol">#REF!</definedName>
    <definedName name="CPV" localSheetId="24">#REF!</definedName>
    <definedName name="CPV" localSheetId="25">#REF!</definedName>
    <definedName name="CPV" localSheetId="29">#REF!</definedName>
    <definedName name="CPV" localSheetId="48">#REF!</definedName>
    <definedName name="CPV" localSheetId="5">#REF!</definedName>
    <definedName name="CPV">#REF!</definedName>
    <definedName name="csh_ummc" localSheetId="24">'[1]p10 CF'!#REF!</definedName>
    <definedName name="csh_ummc" localSheetId="25">'[1]p10 CF'!#REF!</definedName>
    <definedName name="csh_ummc" localSheetId="29">'[1]p10 CF'!#REF!</definedName>
    <definedName name="csh_ummc" localSheetId="48">'[1]p10 CF'!#REF!</definedName>
    <definedName name="csh_ummc" localSheetId="5">'[1]p10 CF'!#REF!</definedName>
    <definedName name="csh_ummc" localSheetId="6">'[1]p10 CF'!#REF!</definedName>
    <definedName name="csh_ummc">'[1]p10 CF'!#REF!</definedName>
    <definedName name="CurrRO">'[3]PY RO'!$A$13:$K$86</definedName>
    <definedName name="DataRange" localSheetId="24">#REF!</definedName>
    <definedName name="DataRange" localSheetId="25">#REF!</definedName>
    <definedName name="DataRange" localSheetId="29">#REF!</definedName>
    <definedName name="DataRange" localSheetId="48">#REF!</definedName>
    <definedName name="DataRange" localSheetId="5">#REF!</definedName>
    <definedName name="DataRange" localSheetId="6">#REF!</definedName>
    <definedName name="DataRange">#REF!</definedName>
    <definedName name="dept" localSheetId="24">#REF!</definedName>
    <definedName name="dept" localSheetId="25">#REF!</definedName>
    <definedName name="dept" localSheetId="29">#REF!</definedName>
    <definedName name="dept" localSheetId="48">#REF!</definedName>
    <definedName name="dept" localSheetId="5">#REF!</definedName>
    <definedName name="dept" localSheetId="6">#REF!</definedName>
    <definedName name="dept">#REF!</definedName>
    <definedName name="DP_Schedule" localSheetId="24">#REF!</definedName>
    <definedName name="DP_Schedule" localSheetId="25">#REF!</definedName>
    <definedName name="DP_Schedule" localSheetId="29">#REF!</definedName>
    <definedName name="DP_Schedule" localSheetId="48">#REF!</definedName>
    <definedName name="DP_Schedule" localSheetId="5">#REF!</definedName>
    <definedName name="DP_Schedule">#REF!</definedName>
    <definedName name="Exh_II" localSheetId="24">#REF!</definedName>
    <definedName name="Exh_II" localSheetId="25">#REF!</definedName>
    <definedName name="Exh_II" localSheetId="29">#REF!</definedName>
    <definedName name="Exh_II" localSheetId="48">#REF!</definedName>
    <definedName name="Exh_II" localSheetId="5">#REF!</definedName>
    <definedName name="Exh_II">#REF!</definedName>
    <definedName name="Exh_V" localSheetId="24">#REF!</definedName>
    <definedName name="Exh_V" localSheetId="25">#REF!</definedName>
    <definedName name="Exh_V" localSheetId="29">#REF!</definedName>
    <definedName name="Exh_V" localSheetId="48">#REF!</definedName>
    <definedName name="Exh_V" localSheetId="5">#REF!</definedName>
    <definedName name="Exh_V">#REF!</definedName>
    <definedName name="Factors_I" localSheetId="24">#REF!</definedName>
    <definedName name="Factors_I" localSheetId="25">#REF!</definedName>
    <definedName name="Factors_I" localSheetId="29">#REF!</definedName>
    <definedName name="Factors_I" localSheetId="48">#REF!</definedName>
    <definedName name="Factors_I" localSheetId="5">#REF!</definedName>
    <definedName name="Factors_I" localSheetId="6">#REF!</definedName>
    <definedName name="Factors_I">#REF!</definedName>
    <definedName name="flex" localSheetId="24">#REF!</definedName>
    <definedName name="flex" localSheetId="25">#REF!</definedName>
    <definedName name="flex" localSheetId="29">#REF!</definedName>
    <definedName name="flex" localSheetId="48">#REF!</definedName>
    <definedName name="flex" localSheetId="5">#REF!</definedName>
    <definedName name="flex" localSheetId="6">#REF!</definedName>
    <definedName name="flex">#REF!</definedName>
    <definedName name="FUND_CONS" localSheetId="24">#REF!</definedName>
    <definedName name="FUND_CONS" localSheetId="25">#REF!</definedName>
    <definedName name="FUND_CONS" localSheetId="29">#REF!</definedName>
    <definedName name="FUND_CONS" localSheetId="48">#REF!</definedName>
    <definedName name="FUND_CONS" localSheetId="5">#REF!</definedName>
    <definedName name="FUND_CONS" localSheetId="6">#REF!</definedName>
    <definedName name="FUND_CONS">#REF!</definedName>
    <definedName name="HeaderRange" localSheetId="24">#REF!</definedName>
    <definedName name="HeaderRange" localSheetId="25">#REF!</definedName>
    <definedName name="HeaderRange" localSheetId="29">#REF!</definedName>
    <definedName name="HeaderRange" localSheetId="48">#REF!</definedName>
    <definedName name="HeaderRange" localSheetId="5">#REF!</definedName>
    <definedName name="HeaderRange" localSheetId="6">#REF!</definedName>
    <definedName name="HeaderRange">#REF!</definedName>
    <definedName name="Hosp_Num">'[3]Gen Info'!$B$4</definedName>
    <definedName name="Hospital_Phys" localSheetId="24">#REF!</definedName>
    <definedName name="Hospital_Phys" localSheetId="25">#REF!</definedName>
    <definedName name="Hospital_Phys" localSheetId="29">#REF!</definedName>
    <definedName name="Hospital_Phys" localSheetId="48">#REF!</definedName>
    <definedName name="Hospital_Phys" localSheetId="5">#REF!</definedName>
    <definedName name="Hospital_Phys">#REF!</definedName>
    <definedName name="inac1">[4]UMH!$A$976:$W$1022</definedName>
    <definedName name="inac4">[4]CC!$A$136:$W$140</definedName>
    <definedName name="inac7">[4]STC!$A$208:$W$212</definedName>
    <definedName name="ker" localSheetId="24">#REF!</definedName>
    <definedName name="ker" localSheetId="25">#REF!</definedName>
    <definedName name="ker" localSheetId="29">#REF!</definedName>
    <definedName name="ker" localSheetId="48">#REF!</definedName>
    <definedName name="ker" localSheetId="5">#REF!</definedName>
    <definedName name="ker" localSheetId="6">#REF!</definedName>
    <definedName name="ker">#REF!</definedName>
    <definedName name="kernan" localSheetId="24">#REF!</definedName>
    <definedName name="kernan" localSheetId="25">#REF!</definedName>
    <definedName name="kernan" localSheetId="29">#REF!</definedName>
    <definedName name="kernan" localSheetId="48">#REF!</definedName>
    <definedName name="kernan" localSheetId="5">#REF!</definedName>
    <definedName name="kernan" localSheetId="6">#REF!</definedName>
    <definedName name="kernan">#REF!</definedName>
    <definedName name="LookDate">'[3]Cvr (DON''T HIDE)'!$P$1:$Q$12</definedName>
    <definedName name="Med_Ed" localSheetId="24">#REF!</definedName>
    <definedName name="Med_Ed" localSheetId="25">#REF!</definedName>
    <definedName name="Med_Ed" localSheetId="29">#REF!</definedName>
    <definedName name="Med_Ed" localSheetId="48">#REF!</definedName>
    <definedName name="Med_Ed" localSheetId="5">#REF!</definedName>
    <definedName name="Med_Ed">#REF!</definedName>
    <definedName name="mrh" localSheetId="24">#REF!</definedName>
    <definedName name="mrh" localSheetId="25">#REF!</definedName>
    <definedName name="mrh" localSheetId="29">#REF!</definedName>
    <definedName name="mrh" localSheetId="48">#REF!</definedName>
    <definedName name="mrh" localSheetId="5">#REF!</definedName>
    <definedName name="mrh" localSheetId="6">#REF!</definedName>
    <definedName name="mrh">#REF!</definedName>
    <definedName name="MTC_Test">[3]MTC!$C$17</definedName>
    <definedName name="P1_Test">[3]P1!$J$102</definedName>
    <definedName name="P2_Test">[3]P2!$J$245</definedName>
    <definedName name="P3_Test">[3]P3!$F$83</definedName>
    <definedName name="P4_Test">[3]P4!$J$283</definedName>
    <definedName name="P5_Test">[3]P5!$J$284</definedName>
    <definedName name="pan" localSheetId="24">'[1]p7 CONS IS'!#REF!</definedName>
    <definedName name="pan" localSheetId="25">'[1]p7 CONS IS'!#REF!</definedName>
    <definedName name="pan" localSheetId="29">'[1]p7 CONS IS'!#REF!</definedName>
    <definedName name="pan" localSheetId="48">'[1]p7 CONS IS'!#REF!</definedName>
    <definedName name="pan" localSheetId="5">'[1]p7 CONS IS'!#REF!</definedName>
    <definedName name="pan" localSheetId="6">'[1]p7 CONS IS'!#REF!</definedName>
    <definedName name="pan">'[1]p7 CONS IS'!#REF!</definedName>
    <definedName name="PANDL" localSheetId="24">'[1]p7 CONS IS'!#REF!</definedName>
    <definedName name="PANDL" localSheetId="25">'[1]p7 CONS IS'!#REF!</definedName>
    <definedName name="PANDL" localSheetId="29">'[1]p7 CONS IS'!#REF!</definedName>
    <definedName name="PANDL" localSheetId="48">'[1]p7 CONS IS'!#REF!</definedName>
    <definedName name="PANDL" localSheetId="5">'[1]p7 CONS IS'!#REF!</definedName>
    <definedName name="PANDL" localSheetId="6">'[1]p7 CONS IS'!#REF!</definedName>
    <definedName name="PANDL">'[1]p7 CONS IS'!#REF!</definedName>
    <definedName name="PLROWS" localSheetId="24">#REF!</definedName>
    <definedName name="PLROWS" localSheetId="25">#REF!</definedName>
    <definedName name="PLROWS" localSheetId="29">#REF!</definedName>
    <definedName name="PLROWS" localSheetId="48">#REF!</definedName>
    <definedName name="PLROWS" localSheetId="5">#REF!</definedName>
    <definedName name="PLROWS" localSheetId="6">#REF!</definedName>
    <definedName name="PLROWS">#REF!</definedName>
    <definedName name="_xlnm.Print_Area" localSheetId="16">'#11-St. Agnes Hospital'!$A$1:$L$156</definedName>
    <definedName name="_xlnm.Print_Area" localSheetId="17">'#12-Sinai'!$A$1:$L$156</definedName>
    <definedName name="_xlnm.Print_Area" localSheetId="18">'#13-Bon Secours'!$A$1:$L$156</definedName>
    <definedName name="_xlnm.Print_Area" localSheetId="19">'#15-MedStar Franklin Square'!$A$1:$K$157</definedName>
    <definedName name="_xlnm.Print_Area" localSheetId="20">'#16-Washington Adventist'!$A$1:$L$156</definedName>
    <definedName name="_xlnm.Print_Area" localSheetId="21">'#17-Garrett County Memorial'!$A$1:$L$156</definedName>
    <definedName name="_xlnm.Print_Area" localSheetId="23">'#19-Peninsula Regional'!$A$1:$L$146</definedName>
    <definedName name="_xlnm.Print_Area" localSheetId="7">'#1-Meritus'!$A$1:$L$156</definedName>
    <definedName name="_xlnm.Print_Area" localSheetId="51">'#2001-UM ROI'!$A$1:$L$156</definedName>
    <definedName name="_xlnm.Print_Area" localSheetId="52">'#2004-MedStar Good Samaritan'!$A$1:$L$156</definedName>
    <definedName name="_xlnm.Print_Area" localSheetId="24">'#22-Suburban'!$A$1:$K$145</definedName>
    <definedName name="_xlnm.Print_Area" localSheetId="25">'#23-AAMC'!#REF!</definedName>
    <definedName name="_xlnm.Print_Area" localSheetId="27">'#27-Western Maryland Regional'!$A$1:$L$156</definedName>
    <definedName name="_xlnm.Print_Area" localSheetId="29">'[1]p7 CONS IS'!#REF!</definedName>
    <definedName name="_xlnm.Print_Area" localSheetId="8">'#2-UMMC'!$A$1:$L$156</definedName>
    <definedName name="_xlnm.Print_Area" localSheetId="54">'#3029-Adventist Rehab'!$A$1:$L$156</definedName>
    <definedName name="_xlnm.Print_Area" localSheetId="31">'#32-Union Hospital Cecil Co'!$A$1:$L$156</definedName>
    <definedName name="_xlnm.Print_Area" localSheetId="32">'#33-Carroll Hospital Center'!$A$1:$L$156</definedName>
    <definedName name="_xlnm.Print_Area" localSheetId="34">'#35-UM Charles Regional'!$A$1:$L$156</definedName>
    <definedName name="_xlnm.Print_Area" localSheetId="36">'#38-UM Midtown'!$A$1:$L$156</definedName>
    <definedName name="_xlnm.Print_Area" localSheetId="37">'#39-Calvert Memorial'!$A$1:$K$156</definedName>
    <definedName name="_xlnm.Print_Area" localSheetId="9">'#3-Prince Georges Hospital'!$A$1:$L$156</definedName>
    <definedName name="_xlnm.Print_Area" localSheetId="55">'#4000-Sheppard Pratt'!$A$1:$L$156</definedName>
    <definedName name="_xlnm.Print_Area" localSheetId="38">'#40-Lifebridge Northwest'!$A$1:$L$156</definedName>
    <definedName name="_xlnm.Print_Area" localSheetId="39">'#43-UM BWMC'!$A$1:$L$156</definedName>
    <definedName name="_xlnm.Print_Area" localSheetId="40">'#44-GBMC'!$A$1:$L$156</definedName>
    <definedName name="_xlnm.Print_Area" localSheetId="41">'#45-McCready'!$A$1:$L$156</definedName>
    <definedName name="_xlnm.Print_Area" localSheetId="42">'#48-Howard County'!$A$1:$L$156</definedName>
    <definedName name="_xlnm.Print_Area" localSheetId="43">'#49-UM Upper Chesapeake Medical'!$A$1:$L$156</definedName>
    <definedName name="_xlnm.Print_Area" localSheetId="10">'#4-Holy Cross Hospital'!$A$1:$L$156</definedName>
    <definedName name="_xlnm.Print_Area" localSheetId="53">'#5050-Shady Grove Adventist'!$A$1:$L$156</definedName>
    <definedName name="_xlnm.Print_Area" localSheetId="44">'#51-Doctors Community Hospital'!$A$1:$L$156</definedName>
    <definedName name="_xlnm.Print_Area" localSheetId="11">'#5-Frederick Memorial Hospital'!$A$1:$L$156</definedName>
    <definedName name="_xlnm.Print_Area" localSheetId="45">'#60-Fort Washington'!$A$1:$L$156</definedName>
    <definedName name="_xlnm.Print_Area" localSheetId="46">'#61-Atlantic General'!$A$1:$L$156</definedName>
    <definedName name="_xlnm.Print_Area" localSheetId="47">'#62-MedStar Southern Maryland'!$A$1:$L$156</definedName>
    <definedName name="_xlnm.Print_Area" localSheetId="48">'[1]p7 CONS IS'!#REF!</definedName>
    <definedName name="_xlnm.Print_Area" localSheetId="49">'#64-Levindale'!$A$1:$L$156</definedName>
    <definedName name="_xlnm.Print_Area" localSheetId="50">'#65-Holy Cross Germantown'!$A$1:$L$156</definedName>
    <definedName name="_xlnm.Print_Area" localSheetId="12">'#6-UM Harford Memorial'!$A$1:$L$156</definedName>
    <definedName name="_xlnm.Print_Area" localSheetId="13">'#8-Mercy'!$A$1:$L$156</definedName>
    <definedName name="_xlnm.Print_Area" localSheetId="14">'#9-Johns Hopkins'!$A$1:$L$156</definedName>
    <definedName name="_xlnm.Print_Area" localSheetId="5">'Attachment II-All Hospitals'!$A$1:$K$55</definedName>
    <definedName name="_xlnm.Print_Area" localSheetId="3">'CB Table 1'!$A$1:$G$13</definedName>
    <definedName name="_xlnm.Print_Area" localSheetId="0">'DME_NSPI-all'!$B$2:$E$53</definedName>
    <definedName name="_xlnm.Print_Area" localSheetId="2">Figures!$A$1:$O$88</definedName>
    <definedName name="_xlnm.Print_Area" localSheetId="4">'Rate Support-Attachment I'!$A$1:$F$53</definedName>
    <definedName name="_xlnm.Print_Area">'[1]p7 CONS IS'!#REF!</definedName>
    <definedName name="_xlnm.Print_Titles" localSheetId="15">'#10-UM Shore Health Dorchester'!$1:$12</definedName>
    <definedName name="_xlnm.Print_Titles" localSheetId="30">'#30-UM Shore Health Chestertown'!$1:$12</definedName>
    <definedName name="_xlnm.Print_Titles" localSheetId="35">'#37-UM Shore Health Easton'!$1:$12</definedName>
    <definedName name="_xlnm.Print_Titles" localSheetId="6">'Attachment III-All'!$1:$1</definedName>
    <definedName name="Prior_M">'[3]Input M'!$A$4:$I$85</definedName>
    <definedName name="Prior_TB">'[3]Input TB'!$B$4:$CV$133</definedName>
    <definedName name="Psych?">'[5]Gen Info'!$B$17</definedName>
    <definedName name="PY_M">[3]PY_M!$A$4:$AP$106</definedName>
    <definedName name="Rate_Realignment" localSheetId="24">#REF!</definedName>
    <definedName name="Rate_Realignment" localSheetId="25">#REF!</definedName>
    <definedName name="Rate_Realignment" localSheetId="29">#REF!</definedName>
    <definedName name="Rate_Realignment" localSheetId="48">#REF!</definedName>
    <definedName name="Rate_Realignment" localSheetId="5">#REF!</definedName>
    <definedName name="Rate_Realignment">#REF!</definedName>
    <definedName name="RNAdj" localSheetId="24">[6]RR!#REF!</definedName>
    <definedName name="RNAdj" localSheetId="25">[6]RR!#REF!</definedName>
    <definedName name="RNAdj" localSheetId="29">[6]RR!#REF!</definedName>
    <definedName name="RNAdj" localSheetId="48">[6]RR!#REF!</definedName>
    <definedName name="RNAdj" localSheetId="5">[6]RR!#REF!</definedName>
    <definedName name="RNAdj">[6]RR!#REF!</definedName>
    <definedName name="RoutineSpread" localSheetId="24">[6]RR!#REF!</definedName>
    <definedName name="RoutineSpread" localSheetId="25">[6]RR!#REF!</definedName>
    <definedName name="RoutineSpread" localSheetId="29">[6]RR!#REF!</definedName>
    <definedName name="RoutineSpread" localSheetId="48">[6]RR!#REF!</definedName>
    <definedName name="RoutineSpread" localSheetId="5">[6]RR!#REF!</definedName>
    <definedName name="RoutineSpread">[6]RR!#REF!</definedName>
    <definedName name="RR_1" localSheetId="24">#REF!</definedName>
    <definedName name="RR_1" localSheetId="25">#REF!</definedName>
    <definedName name="RR_1" localSheetId="29">#REF!</definedName>
    <definedName name="RR_1" localSheetId="48">#REF!</definedName>
    <definedName name="RR_1" localSheetId="5">#REF!</definedName>
    <definedName name="RR_1">#REF!</definedName>
    <definedName name="RR_2" localSheetId="24">#REF!</definedName>
    <definedName name="RR_2" localSheetId="25">#REF!</definedName>
    <definedName name="RR_2" localSheetId="29">#REF!</definedName>
    <definedName name="RR_2" localSheetId="48">#REF!</definedName>
    <definedName name="RR_2" localSheetId="5">#REF!</definedName>
    <definedName name="RR_2" localSheetId="6">#REF!</definedName>
    <definedName name="RR_2">#REF!</definedName>
    <definedName name="RRAdjustor" localSheetId="24">#REF!</definedName>
    <definedName name="RRAdjustor" localSheetId="25">#REF!</definedName>
    <definedName name="RRAdjustor" localSheetId="29">#REF!</definedName>
    <definedName name="RRAdjustor" localSheetId="48">#REF!</definedName>
    <definedName name="RRAdjustor" localSheetId="5">#REF!</definedName>
    <definedName name="RRAdjustor" localSheetId="6">#REF!</definedName>
    <definedName name="RRAdjustor">#REF!</definedName>
    <definedName name="SAP_Account">'[7]SAP Summary'!$C$4:$C$59</definedName>
    <definedName name="SAP_Apr">'[7]SAP Summary'!$N$4:$N$60</definedName>
    <definedName name="SAP_Aug">'[7]SAP Summary'!$F$4:$F$60</definedName>
    <definedName name="SAP_Dec">'[7]SAP Summary'!$J$4:$J$60</definedName>
    <definedName name="SAP_Feb">'[7]SAP Summary'!$L$4:$L$60</definedName>
    <definedName name="SAP_Jan">'[7]SAP Summary'!$K$4:$K$60</definedName>
    <definedName name="SAP_Jul">'[7]SAP Summary'!$E$4:$E$60</definedName>
    <definedName name="SAP_Jun">'[7]SAP Summary'!$P$4:$P$59</definedName>
    <definedName name="SAP_Mar">'[7]SAP Summary'!$M$4:$M$60</definedName>
    <definedName name="SAP_May">'[7]SAP Summary'!$O$4:$O$60</definedName>
    <definedName name="SAP_Nov">'[7]SAP Summary'!$I$4:$I$60</definedName>
    <definedName name="SAP_Oct">'[7]SAP Summary'!$H$4:$H$60</definedName>
    <definedName name="SAP_Sep">'[7]SAP Summary'!$G$4:$G$60</definedName>
    <definedName name="SAPBEXdnldView" hidden="1">"45B0DMIFL4DG42VFK6L1FXXXP"</definedName>
    <definedName name="SAPBEXsysID" hidden="1">"BWP"</definedName>
    <definedName name="SortRange" localSheetId="24">#REF!</definedName>
    <definedName name="SortRange" localSheetId="25">#REF!</definedName>
    <definedName name="SortRange" localSheetId="29">#REF!</definedName>
    <definedName name="SortRange" localSheetId="48">#REF!</definedName>
    <definedName name="SortRange" localSheetId="5">#REF!</definedName>
    <definedName name="SortRange" localSheetId="6">#REF!</definedName>
    <definedName name="SortRange">#REF!</definedName>
    <definedName name="Supp_Birth_I">'[3]SB Input'!$A$1</definedName>
    <definedName name="Supp2" localSheetId="24">#REF!</definedName>
    <definedName name="Supp2" localSheetId="25">#REF!</definedName>
    <definedName name="Supp2" localSheetId="29">#REF!</definedName>
    <definedName name="Supp2" localSheetId="48">#REF!</definedName>
    <definedName name="Supp2" localSheetId="5">#REF!</definedName>
    <definedName name="Supp2">#REF!</definedName>
    <definedName name="Supp4" localSheetId="24">#REF!</definedName>
    <definedName name="Supp4" localSheetId="25">#REF!</definedName>
    <definedName name="Supp4" localSheetId="29">#REF!</definedName>
    <definedName name="Supp4" localSheetId="48">#REF!</definedName>
    <definedName name="Supp4" localSheetId="5">#REF!</definedName>
    <definedName name="Supp4">#REF!</definedName>
    <definedName name="SUPPLEMENTAL_SCHEDULE_6" localSheetId="24">#REF!</definedName>
    <definedName name="SUPPLEMENTAL_SCHEDULE_6" localSheetId="25">#REF!</definedName>
    <definedName name="SUPPLEMENTAL_SCHEDULE_6" localSheetId="29">#REF!</definedName>
    <definedName name="SUPPLEMENTAL_SCHEDULE_6" localSheetId="48">#REF!</definedName>
    <definedName name="SUPPLEMENTAL_SCHEDULE_6" localSheetId="5">#REF!</definedName>
    <definedName name="SUPPLEMENTAL_SCHEDULE_6">#REF!</definedName>
    <definedName name="T_Bal">'[3]Expense TB'!$B$15:$DL$146</definedName>
    <definedName name="Titles" localSheetId="24">#REF!</definedName>
    <definedName name="Titles" localSheetId="25">#REF!</definedName>
    <definedName name="Titles" localSheetId="29">#REF!</definedName>
    <definedName name="Titles" localSheetId="48">#REF!</definedName>
    <definedName name="Titles" localSheetId="5">#REF!</definedName>
    <definedName name="Titles" localSheetId="6">#REF!</definedName>
    <definedName name="Titles">#REF!</definedName>
    <definedName name="TopSection" localSheetId="24">#REF!</definedName>
    <definedName name="TopSection" localSheetId="25">#REF!</definedName>
    <definedName name="TopSection" localSheetId="29">#REF!</definedName>
    <definedName name="TopSection" localSheetId="48">#REF!</definedName>
    <definedName name="TopSection" localSheetId="5">#REF!</definedName>
    <definedName name="TopSection" localSheetId="6">#REF!</definedName>
    <definedName name="TopSection">#REF!</definedName>
    <definedName name="ttl.salaries" localSheetId="24">#REF!</definedName>
    <definedName name="ttl.salaries" localSheetId="25">#REF!</definedName>
    <definedName name="ttl.salaries" localSheetId="29">#REF!</definedName>
    <definedName name="ttl.salaries" localSheetId="48">#REF!</definedName>
    <definedName name="ttl.salaries" localSheetId="5">#REF!</definedName>
    <definedName name="ttl.salaries" localSheetId="6">#REF!</definedName>
    <definedName name="ttl.salaries">#REF!</definedName>
    <definedName name="UMMC_DEAT" localSheetId="24">'[1]p8 CONS BS'!#REF!</definedName>
    <definedName name="UMMC_DEAT" localSheetId="25">'[1]p8 CONS BS'!#REF!</definedName>
    <definedName name="UMMC_DEAT" localSheetId="29">'[1]p8 CONS BS'!#REF!</definedName>
    <definedName name="UMMC_DEAT" localSheetId="48">'[1]p8 CONS BS'!#REF!</definedName>
    <definedName name="UMMC_DEAT" localSheetId="5">'[1]p8 CONS BS'!#REF!</definedName>
    <definedName name="UMMC_DEAT" localSheetId="6">'[1]p8 CONS BS'!#REF!</definedName>
    <definedName name="UMMC_DEAT">'[1]p8 CONS BS'!#REF!</definedName>
    <definedName name="UR_Rev_I" localSheetId="24">#REF!</definedName>
    <definedName name="UR_Rev_I" localSheetId="25">#REF!</definedName>
    <definedName name="UR_Rev_I" localSheetId="29">#REF!</definedName>
    <definedName name="UR_Rev_I" localSheetId="48">#REF!</definedName>
    <definedName name="UR_Rev_I" localSheetId="5">#REF!</definedName>
    <definedName name="UR_Rev_I" localSheetId="6">#REF!</definedName>
    <definedName name="UR_Rev_I">#REF!</definedName>
    <definedName name="URS_Schedule" localSheetId="24">#REF!</definedName>
    <definedName name="URS_Schedule" localSheetId="25">#REF!</definedName>
    <definedName name="URS_Schedule" localSheetId="29">#REF!</definedName>
    <definedName name="URS_Schedule" localSheetId="48">#REF!</definedName>
    <definedName name="URS_Schedule" localSheetId="5">#REF!</definedName>
    <definedName name="URS_Schedule" localSheetId="6">#REF!</definedName>
    <definedName name="URS_Schedule">#REF!</definedName>
  </definedNames>
  <calcPr calcId="162913"/>
</workbook>
</file>

<file path=xl/calcChain.xml><?xml version="1.0" encoding="utf-8"?>
<calcChain xmlns="http://schemas.openxmlformats.org/spreadsheetml/2006/main">
  <c r="K150" i="103" l="1"/>
  <c r="J150" i="103"/>
  <c r="H150" i="103"/>
  <c r="J150" i="122" l="1"/>
  <c r="H150" i="122"/>
  <c r="K150" i="124"/>
  <c r="J150" i="124"/>
  <c r="H150" i="124"/>
  <c r="J150" i="96" l="1"/>
  <c r="I150" i="96"/>
  <c r="H150" i="96"/>
  <c r="J149" i="96"/>
  <c r="F149" i="96"/>
  <c r="K148" i="96"/>
  <c r="J145" i="96"/>
  <c r="I145" i="96"/>
  <c r="F145" i="96"/>
  <c r="H144" i="96"/>
  <c r="G144" i="96"/>
  <c r="I143" i="96"/>
  <c r="H143" i="96"/>
  <c r="F143" i="96"/>
  <c r="H142" i="96"/>
  <c r="G142" i="96"/>
  <c r="J141" i="96"/>
  <c r="I141" i="96"/>
  <c r="F141" i="96"/>
  <c r="J137" i="96"/>
  <c r="I137" i="96"/>
  <c r="I149" i="96" s="1"/>
  <c r="H137" i="96"/>
  <c r="H149" i="96" s="1"/>
  <c r="G137" i="96"/>
  <c r="G149" i="96" s="1"/>
  <c r="F137" i="96"/>
  <c r="K135" i="96"/>
  <c r="K134" i="96"/>
  <c r="K133" i="96"/>
  <c r="K137" i="96" s="1"/>
  <c r="K149" i="96" s="1"/>
  <c r="K132" i="96"/>
  <c r="K131" i="96"/>
  <c r="F123" i="96"/>
  <c r="F127" i="96" s="1"/>
  <c r="F119" i="96"/>
  <c r="J108" i="96"/>
  <c r="J147" i="96" s="1"/>
  <c r="I108" i="96"/>
  <c r="I147" i="96" s="1"/>
  <c r="H108" i="96"/>
  <c r="H147" i="96" s="1"/>
  <c r="G108" i="96"/>
  <c r="G147" i="96" s="1"/>
  <c r="F108" i="96"/>
  <c r="F147" i="96" s="1"/>
  <c r="K106" i="96"/>
  <c r="I106" i="96"/>
  <c r="I105" i="96"/>
  <c r="K105" i="96" s="1"/>
  <c r="K104" i="96"/>
  <c r="I104" i="96"/>
  <c r="K103" i="96"/>
  <c r="K102" i="96"/>
  <c r="K108" i="96" s="1"/>
  <c r="K147" i="96" s="1"/>
  <c r="J98" i="96"/>
  <c r="J146" i="96" s="1"/>
  <c r="H98" i="96"/>
  <c r="H146" i="96" s="1"/>
  <c r="G98" i="96"/>
  <c r="G146" i="96" s="1"/>
  <c r="F98" i="96"/>
  <c r="F146" i="96" s="1"/>
  <c r="I96" i="96"/>
  <c r="K96" i="96" s="1"/>
  <c r="K95" i="96"/>
  <c r="I95" i="96"/>
  <c r="I94" i="96"/>
  <c r="K94" i="96" s="1"/>
  <c r="K93" i="96"/>
  <c r="I93" i="96"/>
  <c r="K92" i="96"/>
  <c r="K91" i="96"/>
  <c r="K90" i="96"/>
  <c r="I89" i="96"/>
  <c r="K89" i="96" s="1"/>
  <c r="K88" i="96"/>
  <c r="K87" i="96"/>
  <c r="I87" i="96"/>
  <c r="I86" i="96"/>
  <c r="I98" i="96" s="1"/>
  <c r="I146" i="96" s="1"/>
  <c r="J82" i="96"/>
  <c r="I82" i="96"/>
  <c r="H82" i="96"/>
  <c r="H145" i="96" s="1"/>
  <c r="G82" i="96"/>
  <c r="G145" i="96" s="1"/>
  <c r="F82" i="96"/>
  <c r="K80" i="96"/>
  <c r="K79" i="96"/>
  <c r="K78" i="96"/>
  <c r="K82" i="96" s="1"/>
  <c r="K145" i="96" s="1"/>
  <c r="K77" i="96"/>
  <c r="J74" i="96"/>
  <c r="J144" i="96" s="1"/>
  <c r="I74" i="96"/>
  <c r="I144" i="96" s="1"/>
  <c r="H74" i="96"/>
  <c r="G74" i="96"/>
  <c r="F74" i="96"/>
  <c r="F144" i="96" s="1"/>
  <c r="K72" i="96"/>
  <c r="K71" i="96"/>
  <c r="K70" i="96"/>
  <c r="K69" i="96"/>
  <c r="K68" i="96"/>
  <c r="K74" i="96" s="1"/>
  <c r="K144" i="96" s="1"/>
  <c r="J64" i="96"/>
  <c r="J143" i="96" s="1"/>
  <c r="I64" i="96"/>
  <c r="K64" i="96" s="1"/>
  <c r="K143" i="96" s="1"/>
  <c r="G64" i="96"/>
  <c r="G143" i="96" s="1"/>
  <c r="F64" i="96"/>
  <c r="K60" i="96"/>
  <c r="K59" i="96"/>
  <c r="K58" i="96"/>
  <c r="K57" i="96"/>
  <c r="K56" i="96"/>
  <c r="K55" i="96"/>
  <c r="K54" i="96"/>
  <c r="K53" i="96"/>
  <c r="J49" i="96"/>
  <c r="J142" i="96" s="1"/>
  <c r="I49" i="96"/>
  <c r="I142" i="96" s="1"/>
  <c r="H49" i="96"/>
  <c r="G49" i="96"/>
  <c r="F49" i="96"/>
  <c r="F142" i="96" s="1"/>
  <c r="K47" i="96"/>
  <c r="K46" i="96"/>
  <c r="K45" i="96"/>
  <c r="K44" i="96"/>
  <c r="K43" i="96"/>
  <c r="K42" i="96"/>
  <c r="K41" i="96"/>
  <c r="K40" i="96"/>
  <c r="K49" i="96" s="1"/>
  <c r="K142" i="96" s="1"/>
  <c r="J36" i="96"/>
  <c r="I36" i="96"/>
  <c r="H36" i="96"/>
  <c r="H141" i="96" s="1"/>
  <c r="G36" i="96"/>
  <c r="G141" i="96" s="1"/>
  <c r="F36" i="96"/>
  <c r="K34" i="96"/>
  <c r="K33" i="96"/>
  <c r="K32" i="96"/>
  <c r="K31" i="96"/>
  <c r="K30" i="96"/>
  <c r="K29" i="96"/>
  <c r="K28" i="96"/>
  <c r="K27" i="96"/>
  <c r="K26" i="96"/>
  <c r="K25" i="96"/>
  <c r="K24" i="96"/>
  <c r="K36" i="96" s="1"/>
  <c r="K141" i="96" s="1"/>
  <c r="K23" i="96"/>
  <c r="K22" i="96"/>
  <c r="K21" i="96"/>
  <c r="K18" i="96"/>
  <c r="K150" i="96" s="1"/>
  <c r="I152" i="96" l="1"/>
  <c r="K152" i="96"/>
  <c r="G152" i="96"/>
  <c r="J152" i="96"/>
  <c r="H152" i="96"/>
  <c r="F152" i="96"/>
  <c r="K86" i="96"/>
  <c r="K98" i="96" s="1"/>
  <c r="K146" i="96" s="1"/>
  <c r="E53" i="4"/>
  <c r="C5" i="127"/>
  <c r="C4" i="127"/>
  <c r="D53" i="4"/>
  <c r="C53" i="4"/>
  <c r="D5" i="3"/>
  <c r="C4" i="3"/>
  <c r="D4" i="3"/>
  <c r="E29" i="3"/>
  <c r="E21" i="3"/>
  <c r="E13" i="3"/>
  <c r="C5" i="3"/>
  <c r="E31" i="3"/>
  <c r="E27" i="3"/>
  <c r="E23" i="3"/>
  <c r="E19" i="3"/>
  <c r="E15" i="3"/>
  <c r="E11" i="3"/>
  <c r="E4" i="3"/>
  <c r="E6" i="3"/>
  <c r="E7" i="3"/>
  <c r="E8" i="3"/>
  <c r="E9" i="3"/>
  <c r="E10" i="3"/>
  <c r="E12" i="3"/>
  <c r="E14" i="3"/>
  <c r="E16" i="3"/>
  <c r="E17" i="3"/>
  <c r="E18" i="3"/>
  <c r="E20" i="3"/>
  <c r="E22" i="3"/>
  <c r="E24" i="3"/>
  <c r="E25" i="3"/>
  <c r="E26" i="3"/>
  <c r="E28" i="3"/>
  <c r="E30" i="3"/>
  <c r="E32" i="3"/>
  <c r="E33" i="3"/>
  <c r="E34" i="3"/>
  <c r="E35" i="3"/>
  <c r="E36" i="3"/>
  <c r="E37" i="3"/>
  <c r="E38" i="3"/>
  <c r="E39" i="3"/>
  <c r="E40" i="3"/>
  <c r="E41" i="3"/>
  <c r="E42" i="3"/>
  <c r="E43" i="3"/>
  <c r="E44" i="3"/>
  <c r="E45" i="3"/>
  <c r="E46" i="3"/>
  <c r="E47" i="3"/>
  <c r="E48" i="3"/>
  <c r="E49" i="3"/>
  <c r="E50" i="3"/>
  <c r="E51" i="3"/>
  <c r="E52" i="3"/>
  <c r="E3" i="3"/>
  <c r="F155" i="96" l="1"/>
  <c r="F154" i="96"/>
  <c r="E5" i="3"/>
  <c r="K18" i="106" l="1"/>
  <c r="K18" i="103"/>
  <c r="K18" i="124"/>
  <c r="K18" i="76"/>
  <c r="J150" i="125" l="1"/>
  <c r="I150" i="125"/>
  <c r="H150" i="125"/>
  <c r="K149" i="125"/>
  <c r="J149" i="125"/>
  <c r="I149" i="125"/>
  <c r="H149" i="125"/>
  <c r="G149" i="125"/>
  <c r="F149" i="125"/>
  <c r="K148" i="125"/>
  <c r="I147" i="125"/>
  <c r="G147" i="125"/>
  <c r="H146" i="125"/>
  <c r="G146" i="125"/>
  <c r="I145" i="125"/>
  <c r="G145" i="125"/>
  <c r="F145" i="125"/>
  <c r="I143" i="125"/>
  <c r="G143" i="125"/>
  <c r="G142" i="125"/>
  <c r="I141" i="125"/>
  <c r="F119" i="125"/>
  <c r="F123" i="125" s="1"/>
  <c r="F127" i="125" s="1"/>
  <c r="J108" i="125"/>
  <c r="J147" i="125" s="1"/>
  <c r="I108" i="125"/>
  <c r="H108" i="125"/>
  <c r="H147" i="125" s="1"/>
  <c r="G108" i="125"/>
  <c r="F108" i="125"/>
  <c r="F147" i="125" s="1"/>
  <c r="K106" i="125"/>
  <c r="K105" i="125"/>
  <c r="K104" i="125"/>
  <c r="K103" i="125"/>
  <c r="K108" i="125" s="1"/>
  <c r="K147" i="125" s="1"/>
  <c r="K102" i="125"/>
  <c r="J98" i="125"/>
  <c r="J146" i="125" s="1"/>
  <c r="I98" i="125"/>
  <c r="I146" i="125" s="1"/>
  <c r="H98" i="125"/>
  <c r="G98" i="125"/>
  <c r="F98" i="125"/>
  <c r="F146" i="125" s="1"/>
  <c r="K94" i="125"/>
  <c r="K93" i="125"/>
  <c r="K92" i="125"/>
  <c r="K91" i="125"/>
  <c r="K90" i="125"/>
  <c r="K89" i="125"/>
  <c r="K88" i="125"/>
  <c r="K87" i="125"/>
  <c r="K86" i="125"/>
  <c r="K98" i="125" s="1"/>
  <c r="K146" i="125" s="1"/>
  <c r="J82" i="125"/>
  <c r="J145" i="125" s="1"/>
  <c r="I82" i="125"/>
  <c r="H82" i="125"/>
  <c r="H145" i="125" s="1"/>
  <c r="K79" i="125"/>
  <c r="K78" i="125"/>
  <c r="K77" i="125"/>
  <c r="K82" i="125" s="1"/>
  <c r="K145" i="125" s="1"/>
  <c r="J74" i="125"/>
  <c r="J144" i="125" s="1"/>
  <c r="I74" i="125"/>
  <c r="I144" i="125" s="1"/>
  <c r="H74" i="125"/>
  <c r="H144" i="125" s="1"/>
  <c r="G74" i="125"/>
  <c r="G144" i="125" s="1"/>
  <c r="F74" i="125"/>
  <c r="F144" i="125" s="1"/>
  <c r="K72" i="125"/>
  <c r="K71" i="125"/>
  <c r="K70" i="125"/>
  <c r="K74" i="125" s="1"/>
  <c r="K144" i="125" s="1"/>
  <c r="K69" i="125"/>
  <c r="K68" i="125"/>
  <c r="J64" i="125"/>
  <c r="J143" i="125" s="1"/>
  <c r="I64" i="125"/>
  <c r="H64" i="125"/>
  <c r="H143" i="125" s="1"/>
  <c r="F64" i="125"/>
  <c r="F143" i="125" s="1"/>
  <c r="K62" i="125"/>
  <c r="K61" i="125"/>
  <c r="K60" i="125"/>
  <c r="K59" i="125"/>
  <c r="K57" i="125"/>
  <c r="K56" i="125"/>
  <c r="K55" i="125"/>
  <c r="K54" i="125"/>
  <c r="K53" i="125"/>
  <c r="K64" i="125" s="1"/>
  <c r="K143" i="125" s="1"/>
  <c r="J49" i="125"/>
  <c r="J142" i="125" s="1"/>
  <c r="I49" i="125"/>
  <c r="I142" i="125" s="1"/>
  <c r="H49" i="125"/>
  <c r="H142" i="125" s="1"/>
  <c r="G49" i="125"/>
  <c r="F49" i="125"/>
  <c r="F142" i="125" s="1"/>
  <c r="K47" i="125"/>
  <c r="K46" i="125"/>
  <c r="K45" i="125"/>
  <c r="K44" i="125"/>
  <c r="K43" i="125"/>
  <c r="K42" i="125"/>
  <c r="K41" i="125"/>
  <c r="K40" i="125"/>
  <c r="K49" i="125" s="1"/>
  <c r="K142" i="125" s="1"/>
  <c r="J36" i="125"/>
  <c r="J141" i="125" s="1"/>
  <c r="I36" i="125"/>
  <c r="G36" i="125"/>
  <c r="G141" i="125" s="1"/>
  <c r="F36" i="125"/>
  <c r="F141" i="125" s="1"/>
  <c r="H29" i="125"/>
  <c r="K27" i="125"/>
  <c r="K36" i="125" s="1"/>
  <c r="K141" i="125" s="1"/>
  <c r="K152" i="125" s="1"/>
  <c r="H26" i="125"/>
  <c r="H25" i="125"/>
  <c r="H24" i="125"/>
  <c r="H22" i="125"/>
  <c r="H21" i="125"/>
  <c r="H36" i="125" s="1"/>
  <c r="H141" i="125" s="1"/>
  <c r="K18" i="125"/>
  <c r="K150" i="125" s="1"/>
  <c r="F155" i="125" l="1"/>
  <c r="F154" i="125"/>
  <c r="I152" i="125"/>
  <c r="F152" i="125"/>
  <c r="J152" i="125"/>
  <c r="G152" i="125"/>
  <c r="H152" i="125"/>
  <c r="B65" i="6" l="1"/>
  <c r="C65" i="6"/>
  <c r="D30" i="6"/>
  <c r="C30" i="6"/>
  <c r="B30" i="6"/>
  <c r="J150" i="105" l="1"/>
  <c r="I150" i="105"/>
  <c r="H150" i="105"/>
  <c r="H149" i="105"/>
  <c r="K148" i="105"/>
  <c r="H147" i="105"/>
  <c r="G147" i="105"/>
  <c r="J146" i="105"/>
  <c r="F146" i="105"/>
  <c r="G143" i="105"/>
  <c r="J142" i="105"/>
  <c r="I142" i="105"/>
  <c r="F142" i="105"/>
  <c r="H141" i="105"/>
  <c r="G141" i="105"/>
  <c r="J137" i="105"/>
  <c r="J149" i="105" s="1"/>
  <c r="I137" i="105"/>
  <c r="I149" i="105" s="1"/>
  <c r="H137" i="105"/>
  <c r="G137" i="105"/>
  <c r="G149" i="105" s="1"/>
  <c r="F137" i="105"/>
  <c r="F149" i="105" s="1"/>
  <c r="K135" i="105"/>
  <c r="K134" i="105"/>
  <c r="K133" i="105"/>
  <c r="K132" i="105"/>
  <c r="K131" i="105"/>
  <c r="K137" i="105" s="1"/>
  <c r="K149" i="105" s="1"/>
  <c r="F119" i="105"/>
  <c r="J108" i="105"/>
  <c r="J147" i="105" s="1"/>
  <c r="I108" i="105"/>
  <c r="I147" i="105" s="1"/>
  <c r="H108" i="105"/>
  <c r="G108" i="105"/>
  <c r="F108" i="105"/>
  <c r="F147" i="105" s="1"/>
  <c r="K106" i="105"/>
  <c r="I106" i="105"/>
  <c r="I105" i="105"/>
  <c r="K105" i="105" s="1"/>
  <c r="K104" i="105"/>
  <c r="I104" i="105"/>
  <c r="I103" i="105"/>
  <c r="K103" i="105" s="1"/>
  <c r="K102" i="105"/>
  <c r="J98" i="105"/>
  <c r="H98" i="105"/>
  <c r="H146" i="105" s="1"/>
  <c r="G98" i="105"/>
  <c r="G146" i="105" s="1"/>
  <c r="F98" i="105"/>
  <c r="I96" i="105"/>
  <c r="K96" i="105" s="1"/>
  <c r="K95" i="105"/>
  <c r="I95" i="105"/>
  <c r="I94" i="105"/>
  <c r="K94" i="105" s="1"/>
  <c r="K93" i="105"/>
  <c r="I93" i="105"/>
  <c r="I92" i="105"/>
  <c r="K92" i="105" s="1"/>
  <c r="K91" i="105"/>
  <c r="I90" i="105"/>
  <c r="K90" i="105" s="1"/>
  <c r="K89" i="105"/>
  <c r="I89" i="105"/>
  <c r="I88" i="105"/>
  <c r="K88" i="105" s="1"/>
  <c r="K87" i="105"/>
  <c r="I87" i="105"/>
  <c r="I86" i="105"/>
  <c r="K86" i="105" s="1"/>
  <c r="J82" i="105"/>
  <c r="J145" i="105" s="1"/>
  <c r="I82" i="105"/>
  <c r="I145" i="105" s="1"/>
  <c r="H82" i="105"/>
  <c r="H145" i="105" s="1"/>
  <c r="G82" i="105"/>
  <c r="G145" i="105" s="1"/>
  <c r="F82" i="105"/>
  <c r="F145" i="105" s="1"/>
  <c r="K80" i="105"/>
  <c r="K79" i="105"/>
  <c r="K78" i="105"/>
  <c r="K82" i="105" s="1"/>
  <c r="K145" i="105" s="1"/>
  <c r="K77" i="105"/>
  <c r="J74" i="105"/>
  <c r="J144" i="105" s="1"/>
  <c r="I74" i="105"/>
  <c r="I144" i="105" s="1"/>
  <c r="H74" i="105"/>
  <c r="H144" i="105" s="1"/>
  <c r="G74" i="105"/>
  <c r="G144" i="105" s="1"/>
  <c r="F74" i="105"/>
  <c r="F144" i="105" s="1"/>
  <c r="K72" i="105"/>
  <c r="K71" i="105"/>
  <c r="K70" i="105"/>
  <c r="K69" i="105"/>
  <c r="K68" i="105"/>
  <c r="K74" i="105" s="1"/>
  <c r="K144" i="105" s="1"/>
  <c r="J64" i="105"/>
  <c r="J143" i="105" s="1"/>
  <c r="I64" i="105"/>
  <c r="I143" i="105" s="1"/>
  <c r="H64" i="105"/>
  <c r="H143" i="105" s="1"/>
  <c r="G64" i="105"/>
  <c r="F64" i="105"/>
  <c r="F143" i="105" s="1"/>
  <c r="K62" i="105"/>
  <c r="K61" i="105"/>
  <c r="K60" i="105"/>
  <c r="K59" i="105"/>
  <c r="K58" i="105"/>
  <c r="K57" i="105"/>
  <c r="K56" i="105"/>
  <c r="K55" i="105"/>
  <c r="K54" i="105"/>
  <c r="K53" i="105"/>
  <c r="K64" i="105" s="1"/>
  <c r="K143" i="105" s="1"/>
  <c r="J49" i="105"/>
  <c r="I49" i="105"/>
  <c r="H49" i="105"/>
  <c r="H142" i="105" s="1"/>
  <c r="G49" i="105"/>
  <c r="G142" i="105" s="1"/>
  <c r="F49" i="105"/>
  <c r="K47" i="105"/>
  <c r="K46" i="105"/>
  <c r="K45" i="105"/>
  <c r="K44" i="105"/>
  <c r="K43" i="105"/>
  <c r="K42" i="105"/>
  <c r="K41" i="105"/>
  <c r="K49" i="105" s="1"/>
  <c r="K142" i="105" s="1"/>
  <c r="K40" i="105"/>
  <c r="J36" i="105"/>
  <c r="J141" i="105" s="1"/>
  <c r="H36" i="105"/>
  <c r="G36" i="105"/>
  <c r="F36" i="105"/>
  <c r="F141" i="105" s="1"/>
  <c r="K34" i="105"/>
  <c r="I34" i="105"/>
  <c r="I29" i="105"/>
  <c r="K29" i="105" s="1"/>
  <c r="K28" i="105"/>
  <c r="I28" i="105"/>
  <c r="I26" i="105"/>
  <c r="K26" i="105" s="1"/>
  <c r="K25" i="105"/>
  <c r="I25" i="105"/>
  <c r="I24" i="105"/>
  <c r="K24" i="105" s="1"/>
  <c r="K23" i="105"/>
  <c r="I23" i="105"/>
  <c r="I22" i="105"/>
  <c r="I36" i="105" s="1"/>
  <c r="I141" i="105" s="1"/>
  <c r="K18" i="105"/>
  <c r="K150" i="105" s="1"/>
  <c r="K108" i="105" l="1"/>
  <c r="K147" i="105" s="1"/>
  <c r="J152" i="105"/>
  <c r="K98" i="105"/>
  <c r="K146" i="105" s="1"/>
  <c r="I152" i="105"/>
  <c r="F152" i="105"/>
  <c r="G152" i="105"/>
  <c r="H152" i="105"/>
  <c r="K22" i="105"/>
  <c r="K36" i="105" s="1"/>
  <c r="K141" i="105" s="1"/>
  <c r="K152" i="105" s="1"/>
  <c r="I98" i="105"/>
  <c r="I146" i="105" s="1"/>
  <c r="F155" i="105" l="1"/>
  <c r="F154" i="105"/>
  <c r="F155" i="75" l="1"/>
  <c r="F154" i="75"/>
  <c r="J150" i="119" l="1"/>
  <c r="I150" i="119"/>
  <c r="H150" i="119"/>
  <c r="J149" i="119"/>
  <c r="H149" i="119"/>
  <c r="F149" i="119"/>
  <c r="K148" i="119"/>
  <c r="H146" i="119"/>
  <c r="I143" i="119"/>
  <c r="G143" i="119"/>
  <c r="I142" i="119"/>
  <c r="G142" i="119"/>
  <c r="G141" i="119"/>
  <c r="J137" i="119"/>
  <c r="I137" i="119"/>
  <c r="I149" i="119" s="1"/>
  <c r="H137" i="119"/>
  <c r="G137" i="119"/>
  <c r="G149" i="119" s="1"/>
  <c r="F137" i="119"/>
  <c r="K135" i="119"/>
  <c r="K134" i="119"/>
  <c r="K133" i="119"/>
  <c r="K137" i="119" s="1"/>
  <c r="K149" i="119" s="1"/>
  <c r="K132" i="119"/>
  <c r="K131" i="119"/>
  <c r="F123" i="119"/>
  <c r="F127" i="119" s="1"/>
  <c r="F119" i="119"/>
  <c r="J108" i="119"/>
  <c r="J147" i="119" s="1"/>
  <c r="I108" i="119"/>
  <c r="I147" i="119" s="1"/>
  <c r="H108" i="119"/>
  <c r="H147" i="119" s="1"/>
  <c r="G108" i="119"/>
  <c r="G147" i="119" s="1"/>
  <c r="F108" i="119"/>
  <c r="F147" i="119" s="1"/>
  <c r="K106" i="119"/>
  <c r="I106" i="119"/>
  <c r="K105" i="119"/>
  <c r="I105" i="119"/>
  <c r="K104" i="119"/>
  <c r="I104" i="119"/>
  <c r="K103" i="119"/>
  <c r="I103" i="119"/>
  <c r="K102" i="119"/>
  <c r="K108" i="119" s="1"/>
  <c r="K147" i="119" s="1"/>
  <c r="I102" i="119"/>
  <c r="J98" i="119"/>
  <c r="J146" i="119" s="1"/>
  <c r="I98" i="119"/>
  <c r="I146" i="119" s="1"/>
  <c r="H98" i="119"/>
  <c r="G98" i="119"/>
  <c r="G146" i="119" s="1"/>
  <c r="F98" i="119"/>
  <c r="F146" i="119" s="1"/>
  <c r="K96" i="119"/>
  <c r="I96" i="119"/>
  <c r="K95" i="119"/>
  <c r="I95" i="119"/>
  <c r="K94" i="119"/>
  <c r="I94" i="119"/>
  <c r="K93" i="119"/>
  <c r="I93" i="119"/>
  <c r="K92" i="119"/>
  <c r="I92" i="119"/>
  <c r="K91" i="119"/>
  <c r="I91" i="119"/>
  <c r="K90" i="119"/>
  <c r="I90" i="119"/>
  <c r="K89" i="119"/>
  <c r="I89" i="119"/>
  <c r="K88" i="119"/>
  <c r="I88" i="119"/>
  <c r="K87" i="119"/>
  <c r="I87" i="119"/>
  <c r="K86" i="119"/>
  <c r="K98" i="119" s="1"/>
  <c r="K146" i="119" s="1"/>
  <c r="I86" i="119"/>
  <c r="J82" i="119"/>
  <c r="J145" i="119" s="1"/>
  <c r="I82" i="119"/>
  <c r="I145" i="119" s="1"/>
  <c r="H82" i="119"/>
  <c r="H145" i="119" s="1"/>
  <c r="G82" i="119"/>
  <c r="G145" i="119" s="1"/>
  <c r="F82" i="119"/>
  <c r="F145" i="119" s="1"/>
  <c r="K80" i="119"/>
  <c r="K79" i="119"/>
  <c r="K78" i="119"/>
  <c r="K82" i="119" s="1"/>
  <c r="K145" i="119" s="1"/>
  <c r="K77" i="119"/>
  <c r="J74" i="119"/>
  <c r="J144" i="119" s="1"/>
  <c r="I74" i="119"/>
  <c r="I144" i="119" s="1"/>
  <c r="H74" i="119"/>
  <c r="H144" i="119" s="1"/>
  <c r="G74" i="119"/>
  <c r="G144" i="119" s="1"/>
  <c r="F74" i="119"/>
  <c r="F144" i="119" s="1"/>
  <c r="K72" i="119"/>
  <c r="K71" i="119"/>
  <c r="K70" i="119"/>
  <c r="K69" i="119"/>
  <c r="K68" i="119"/>
  <c r="K74" i="119" s="1"/>
  <c r="K144" i="119" s="1"/>
  <c r="J64" i="119"/>
  <c r="J143" i="119" s="1"/>
  <c r="I64" i="119"/>
  <c r="H64" i="119"/>
  <c r="H143" i="119" s="1"/>
  <c r="G64" i="119"/>
  <c r="F64" i="119"/>
  <c r="F143" i="119" s="1"/>
  <c r="K62" i="119"/>
  <c r="K61" i="119"/>
  <c r="K60" i="119"/>
  <c r="K59" i="119"/>
  <c r="K58" i="119"/>
  <c r="K57" i="119"/>
  <c r="K56" i="119"/>
  <c r="K55" i="119"/>
  <c r="K54" i="119"/>
  <c r="K53" i="119"/>
  <c r="K64" i="119" s="1"/>
  <c r="K143" i="119" s="1"/>
  <c r="J49" i="119"/>
  <c r="J142" i="119" s="1"/>
  <c r="I49" i="119"/>
  <c r="H49" i="119"/>
  <c r="H142" i="119" s="1"/>
  <c r="G49" i="119"/>
  <c r="F49" i="119"/>
  <c r="F142" i="119" s="1"/>
  <c r="K47" i="119"/>
  <c r="K46" i="119"/>
  <c r="K45" i="119"/>
  <c r="K44" i="119"/>
  <c r="K43" i="119"/>
  <c r="K42" i="119"/>
  <c r="K41" i="119"/>
  <c r="K40" i="119"/>
  <c r="K49" i="119" s="1"/>
  <c r="K142" i="119" s="1"/>
  <c r="J36" i="119"/>
  <c r="J141" i="119" s="1"/>
  <c r="H36" i="119"/>
  <c r="H141" i="119" s="1"/>
  <c r="G36" i="119"/>
  <c r="F36" i="119"/>
  <c r="F141" i="119" s="1"/>
  <c r="F152" i="119" s="1"/>
  <c r="I34" i="119"/>
  <c r="K34" i="119" s="1"/>
  <c r="I33" i="119"/>
  <c r="K33" i="119" s="1"/>
  <c r="I32" i="119"/>
  <c r="K32" i="119" s="1"/>
  <c r="I31" i="119"/>
  <c r="K31" i="119" s="1"/>
  <c r="I30" i="119"/>
  <c r="K30" i="119" s="1"/>
  <c r="I29" i="119"/>
  <c r="K29" i="119" s="1"/>
  <c r="I28" i="119"/>
  <c r="K28" i="119" s="1"/>
  <c r="I27" i="119"/>
  <c r="K27" i="119" s="1"/>
  <c r="I26" i="119"/>
  <c r="K26" i="119" s="1"/>
  <c r="I25" i="119"/>
  <c r="K25" i="119" s="1"/>
  <c r="I24" i="119"/>
  <c r="K24" i="119" s="1"/>
  <c r="I23" i="119"/>
  <c r="K23" i="119" s="1"/>
  <c r="I22" i="119"/>
  <c r="K22" i="119" s="1"/>
  <c r="I21" i="119"/>
  <c r="I36" i="119" s="1"/>
  <c r="I141" i="119" s="1"/>
  <c r="K18" i="119"/>
  <c r="K150" i="119" s="1"/>
  <c r="G152" i="119" l="1"/>
  <c r="I152" i="119"/>
  <c r="H152" i="119"/>
  <c r="J152" i="119"/>
  <c r="K21" i="119"/>
  <c r="K36" i="119" s="1"/>
  <c r="K141" i="119" s="1"/>
  <c r="K152" i="119" s="1"/>
  <c r="F155" i="119" l="1"/>
  <c r="F154" i="119"/>
  <c r="K150" i="106" l="1"/>
  <c r="J150" i="106"/>
  <c r="I150" i="106"/>
  <c r="H150" i="106"/>
  <c r="G149" i="106"/>
  <c r="K148" i="106"/>
  <c r="J147" i="106"/>
  <c r="G147" i="106"/>
  <c r="F147" i="106"/>
  <c r="H146" i="106"/>
  <c r="G145" i="106"/>
  <c r="I144" i="106"/>
  <c r="I142" i="106"/>
  <c r="H142" i="106"/>
  <c r="J141" i="106"/>
  <c r="G141" i="106"/>
  <c r="F141" i="106"/>
  <c r="J137" i="106"/>
  <c r="J149" i="106" s="1"/>
  <c r="I137" i="106"/>
  <c r="I149" i="106" s="1"/>
  <c r="H137" i="106"/>
  <c r="H149" i="106" s="1"/>
  <c r="G137" i="106"/>
  <c r="F137" i="106"/>
  <c r="F149" i="106" s="1"/>
  <c r="K135" i="106"/>
  <c r="K134" i="106"/>
  <c r="K133" i="106"/>
  <c r="K132" i="106"/>
  <c r="K131" i="106"/>
  <c r="K137" i="106" s="1"/>
  <c r="K149" i="106" s="1"/>
  <c r="F119" i="106"/>
  <c r="J108" i="106"/>
  <c r="H108" i="106"/>
  <c r="H147" i="106" s="1"/>
  <c r="G108" i="106"/>
  <c r="F108" i="106"/>
  <c r="I106" i="106"/>
  <c r="K106" i="106" s="1"/>
  <c r="I105" i="106"/>
  <c r="K105" i="106" s="1"/>
  <c r="K104" i="106"/>
  <c r="K103" i="106"/>
  <c r="K102" i="106"/>
  <c r="J98" i="106"/>
  <c r="J146" i="106" s="1"/>
  <c r="I98" i="106"/>
  <c r="I146" i="106" s="1"/>
  <c r="H98" i="106"/>
  <c r="G98" i="106"/>
  <c r="G146" i="106" s="1"/>
  <c r="F98" i="106"/>
  <c r="F146" i="106" s="1"/>
  <c r="K96" i="106"/>
  <c r="I96" i="106"/>
  <c r="I95" i="106"/>
  <c r="K95" i="106" s="1"/>
  <c r="K94" i="106"/>
  <c r="I94" i="106"/>
  <c r="I93" i="106"/>
  <c r="K93" i="106" s="1"/>
  <c r="K92" i="106"/>
  <c r="I92" i="106"/>
  <c r="I91" i="106"/>
  <c r="K91" i="106" s="1"/>
  <c r="K90" i="106"/>
  <c r="I90" i="106"/>
  <c r="I89" i="106"/>
  <c r="K89" i="106" s="1"/>
  <c r="K88" i="106"/>
  <c r="I88" i="106"/>
  <c r="I87" i="106"/>
  <c r="K87" i="106" s="1"/>
  <c r="K86" i="106"/>
  <c r="I86" i="106"/>
  <c r="J82" i="106"/>
  <c r="J145" i="106" s="1"/>
  <c r="I82" i="106"/>
  <c r="I145" i="106" s="1"/>
  <c r="H82" i="106"/>
  <c r="H145" i="106" s="1"/>
  <c r="G82" i="106"/>
  <c r="F82" i="106"/>
  <c r="F145" i="106" s="1"/>
  <c r="K80" i="106"/>
  <c r="K79" i="106"/>
  <c r="K78" i="106"/>
  <c r="K77" i="106"/>
  <c r="K82" i="106" s="1"/>
  <c r="K145" i="106" s="1"/>
  <c r="J74" i="106"/>
  <c r="J144" i="106" s="1"/>
  <c r="I74" i="106"/>
  <c r="H74" i="106"/>
  <c r="H144" i="106" s="1"/>
  <c r="G74" i="106"/>
  <c r="G144" i="106" s="1"/>
  <c r="F74" i="106"/>
  <c r="F144" i="106" s="1"/>
  <c r="K72" i="106"/>
  <c r="K71" i="106"/>
  <c r="K70" i="106"/>
  <c r="K74" i="106" s="1"/>
  <c r="K144" i="106" s="1"/>
  <c r="K69" i="106"/>
  <c r="K68" i="106"/>
  <c r="J64" i="106"/>
  <c r="J143" i="106" s="1"/>
  <c r="I64" i="106"/>
  <c r="I143" i="106" s="1"/>
  <c r="H64" i="106"/>
  <c r="H143" i="106" s="1"/>
  <c r="G64" i="106"/>
  <c r="G143" i="106" s="1"/>
  <c r="F64" i="106"/>
  <c r="F143" i="106" s="1"/>
  <c r="K62" i="106"/>
  <c r="K61" i="106"/>
  <c r="K60" i="106"/>
  <c r="K59" i="106"/>
  <c r="K58" i="106"/>
  <c r="K57" i="106"/>
  <c r="K56" i="106"/>
  <c r="K55" i="106"/>
  <c r="K64" i="106" s="1"/>
  <c r="K143" i="106" s="1"/>
  <c r="K54" i="106"/>
  <c r="K53" i="106"/>
  <c r="J49" i="106"/>
  <c r="J142" i="106" s="1"/>
  <c r="I49" i="106"/>
  <c r="H49" i="106"/>
  <c r="G49" i="106"/>
  <c r="G142" i="106" s="1"/>
  <c r="F49" i="106"/>
  <c r="F142" i="106" s="1"/>
  <c r="K47" i="106"/>
  <c r="K46" i="106"/>
  <c r="K45" i="106"/>
  <c r="K44" i="106"/>
  <c r="K43" i="106"/>
  <c r="K42" i="106"/>
  <c r="K41" i="106"/>
  <c r="K40" i="106"/>
  <c r="K49" i="106" s="1"/>
  <c r="K142" i="106" s="1"/>
  <c r="J36" i="106"/>
  <c r="H36" i="106"/>
  <c r="H141" i="106" s="1"/>
  <c r="H152" i="106" s="1"/>
  <c r="G36" i="106"/>
  <c r="F36" i="106"/>
  <c r="I34" i="106"/>
  <c r="K34" i="106" s="1"/>
  <c r="I33" i="106"/>
  <c r="K33" i="106" s="1"/>
  <c r="I32" i="106"/>
  <c r="K32" i="106" s="1"/>
  <c r="I31" i="106"/>
  <c r="K31" i="106" s="1"/>
  <c r="K30" i="106"/>
  <c r="K29" i="106"/>
  <c r="I28" i="106"/>
  <c r="K28" i="106" s="1"/>
  <c r="I27" i="106"/>
  <c r="K27" i="106" s="1"/>
  <c r="I26" i="106"/>
  <c r="K26" i="106" s="1"/>
  <c r="I25" i="106"/>
  <c r="K25" i="106" s="1"/>
  <c r="I24" i="106"/>
  <c r="K24" i="106" s="1"/>
  <c r="I23" i="106"/>
  <c r="I36" i="106" s="1"/>
  <c r="I141" i="106" s="1"/>
  <c r="I22" i="106"/>
  <c r="K22" i="106" s="1"/>
  <c r="K21" i="106"/>
  <c r="G152" i="106" l="1"/>
  <c r="J152" i="106"/>
  <c r="I152" i="106"/>
  <c r="K98" i="106"/>
  <c r="K146" i="106" s="1"/>
  <c r="K108" i="106"/>
  <c r="K147" i="106" s="1"/>
  <c r="F152" i="106"/>
  <c r="K23" i="106"/>
  <c r="K36" i="106" s="1"/>
  <c r="K141" i="106" s="1"/>
  <c r="K152" i="106" s="1"/>
  <c r="I108" i="106"/>
  <c r="I147" i="106" s="1"/>
  <c r="F155" i="106" l="1"/>
  <c r="F154" i="106"/>
  <c r="J150" i="104" l="1"/>
  <c r="I150" i="104"/>
  <c r="H150" i="104"/>
  <c r="K148" i="104"/>
  <c r="J137" i="104"/>
  <c r="J149" i="104" s="1"/>
  <c r="I137" i="104"/>
  <c r="I149" i="104" s="1"/>
  <c r="H137" i="104"/>
  <c r="H149" i="104" s="1"/>
  <c r="G137" i="104"/>
  <c r="G149" i="104" s="1"/>
  <c r="F137" i="104"/>
  <c r="F149" i="104" s="1"/>
  <c r="K135" i="104"/>
  <c r="K134" i="104"/>
  <c r="K133" i="104"/>
  <c r="K132" i="104"/>
  <c r="K131" i="104"/>
  <c r="K137" i="104" s="1"/>
  <c r="K149" i="104" s="1"/>
  <c r="F119" i="104"/>
  <c r="F123" i="104" s="1"/>
  <c r="F127" i="104" s="1"/>
  <c r="F118" i="104"/>
  <c r="J108" i="104"/>
  <c r="J147" i="104" s="1"/>
  <c r="H108" i="104"/>
  <c r="H147" i="104" s="1"/>
  <c r="G108" i="104"/>
  <c r="G147" i="104" s="1"/>
  <c r="F108" i="104"/>
  <c r="F147" i="104" s="1"/>
  <c r="I106" i="104"/>
  <c r="K106" i="104" s="1"/>
  <c r="I105" i="104"/>
  <c r="K105" i="104" s="1"/>
  <c r="I104" i="104"/>
  <c r="K104" i="104" s="1"/>
  <c r="I103" i="104"/>
  <c r="K103" i="104" s="1"/>
  <c r="I102" i="104"/>
  <c r="I108" i="104" s="1"/>
  <c r="I147" i="104" s="1"/>
  <c r="J98" i="104"/>
  <c r="J146" i="104" s="1"/>
  <c r="H98" i="104"/>
  <c r="H146" i="104" s="1"/>
  <c r="G98" i="104"/>
  <c r="G146" i="104" s="1"/>
  <c r="F98" i="104"/>
  <c r="F146" i="104" s="1"/>
  <c r="I96" i="104"/>
  <c r="K96" i="104" s="1"/>
  <c r="I95" i="104"/>
  <c r="K95" i="104" s="1"/>
  <c r="I94" i="104"/>
  <c r="K94" i="104" s="1"/>
  <c r="I93" i="104"/>
  <c r="K93" i="104" s="1"/>
  <c r="I92" i="104"/>
  <c r="K92" i="104" s="1"/>
  <c r="I91" i="104"/>
  <c r="K91" i="104" s="1"/>
  <c r="I90" i="104"/>
  <c r="K90" i="104" s="1"/>
  <c r="I89" i="104"/>
  <c r="K89" i="104" s="1"/>
  <c r="I88" i="104"/>
  <c r="K88" i="104" s="1"/>
  <c r="I87" i="104"/>
  <c r="K87" i="104" s="1"/>
  <c r="I86" i="104"/>
  <c r="I98" i="104" s="1"/>
  <c r="I146" i="104" s="1"/>
  <c r="J82" i="104"/>
  <c r="J145" i="104" s="1"/>
  <c r="I82" i="104"/>
  <c r="I145" i="104" s="1"/>
  <c r="H82" i="104"/>
  <c r="H145" i="104" s="1"/>
  <c r="G82" i="104"/>
  <c r="G145" i="104" s="1"/>
  <c r="F82" i="104"/>
  <c r="F145" i="104" s="1"/>
  <c r="K80" i="104"/>
  <c r="K79" i="104"/>
  <c r="K78" i="104"/>
  <c r="K77" i="104"/>
  <c r="K82" i="104" s="1"/>
  <c r="K145" i="104" s="1"/>
  <c r="J74" i="104"/>
  <c r="J144" i="104" s="1"/>
  <c r="I74" i="104"/>
  <c r="I144" i="104" s="1"/>
  <c r="H74" i="104"/>
  <c r="H144" i="104" s="1"/>
  <c r="G74" i="104"/>
  <c r="G144" i="104" s="1"/>
  <c r="F74" i="104"/>
  <c r="F144" i="104" s="1"/>
  <c r="K72" i="104"/>
  <c r="K71" i="104"/>
  <c r="K70" i="104"/>
  <c r="K69" i="104"/>
  <c r="K68" i="104"/>
  <c r="K74" i="104" s="1"/>
  <c r="K144" i="104" s="1"/>
  <c r="J64" i="104"/>
  <c r="J143" i="104" s="1"/>
  <c r="H64" i="104"/>
  <c r="H143" i="104" s="1"/>
  <c r="G64" i="104"/>
  <c r="G143" i="104" s="1"/>
  <c r="F64" i="104"/>
  <c r="F143" i="104" s="1"/>
  <c r="I62" i="104"/>
  <c r="K62" i="104" s="1"/>
  <c r="I61" i="104"/>
  <c r="K61" i="104" s="1"/>
  <c r="I60" i="104"/>
  <c r="K60" i="104" s="1"/>
  <c r="I59" i="104"/>
  <c r="K59" i="104" s="1"/>
  <c r="I58" i="104"/>
  <c r="K58" i="104" s="1"/>
  <c r="I57" i="104"/>
  <c r="K57" i="104" s="1"/>
  <c r="I56" i="104"/>
  <c r="K56" i="104" s="1"/>
  <c r="I55" i="104"/>
  <c r="K55" i="104" s="1"/>
  <c r="I54" i="104"/>
  <c r="K54" i="104" s="1"/>
  <c r="I53" i="104"/>
  <c r="K53" i="104" s="1"/>
  <c r="J49" i="104"/>
  <c r="J142" i="104" s="1"/>
  <c r="G49" i="104"/>
  <c r="G142" i="104" s="1"/>
  <c r="I47" i="104"/>
  <c r="K47" i="104" s="1"/>
  <c r="I46" i="104"/>
  <c r="K46" i="104" s="1"/>
  <c r="I45" i="104"/>
  <c r="K45" i="104" s="1"/>
  <c r="I44" i="104"/>
  <c r="K44" i="104" s="1"/>
  <c r="I43" i="104"/>
  <c r="K43" i="104" s="1"/>
  <c r="I42" i="104"/>
  <c r="H42" i="104"/>
  <c r="H49" i="104" s="1"/>
  <c r="H142" i="104" s="1"/>
  <c r="F42" i="104"/>
  <c r="F49" i="104" s="1"/>
  <c r="F142" i="104" s="1"/>
  <c r="I41" i="104"/>
  <c r="K41" i="104" s="1"/>
  <c r="I40" i="104"/>
  <c r="I49" i="104" s="1"/>
  <c r="I142" i="104" s="1"/>
  <c r="J36" i="104"/>
  <c r="J141" i="104" s="1"/>
  <c r="H36" i="104"/>
  <c r="H141" i="104" s="1"/>
  <c r="G36" i="104"/>
  <c r="G141" i="104" s="1"/>
  <c r="G152" i="104" s="1"/>
  <c r="F36" i="104"/>
  <c r="F141" i="104" s="1"/>
  <c r="I34" i="104"/>
  <c r="K34" i="104" s="1"/>
  <c r="I33" i="104"/>
  <c r="K33" i="104" s="1"/>
  <c r="I32" i="104"/>
  <c r="K32" i="104" s="1"/>
  <c r="I31" i="104"/>
  <c r="K31" i="104" s="1"/>
  <c r="I30" i="104"/>
  <c r="K30" i="104" s="1"/>
  <c r="I29" i="104"/>
  <c r="K29" i="104" s="1"/>
  <c r="I28" i="104"/>
  <c r="K28" i="104" s="1"/>
  <c r="I27" i="104"/>
  <c r="K27" i="104" s="1"/>
  <c r="I26" i="104"/>
  <c r="K26" i="104" s="1"/>
  <c r="I25" i="104"/>
  <c r="K25" i="104" s="1"/>
  <c r="I24" i="104"/>
  <c r="K24" i="104" s="1"/>
  <c r="I23" i="104"/>
  <c r="K23" i="104" s="1"/>
  <c r="I22" i="104"/>
  <c r="K22" i="104" s="1"/>
  <c r="I21" i="104"/>
  <c r="I36" i="104" s="1"/>
  <c r="I141" i="104" s="1"/>
  <c r="K18" i="104"/>
  <c r="K150" i="104" s="1"/>
  <c r="H152" i="104" l="1"/>
  <c r="J152" i="104"/>
  <c r="F152" i="104"/>
  <c r="K64" i="104"/>
  <c r="K143" i="104" s="1"/>
  <c r="K21" i="104"/>
  <c r="K36" i="104" s="1"/>
  <c r="K141" i="104" s="1"/>
  <c r="K42" i="104"/>
  <c r="I64" i="104"/>
  <c r="I143" i="104" s="1"/>
  <c r="I152" i="104" s="1"/>
  <c r="K86" i="104"/>
  <c r="K98" i="104" s="1"/>
  <c r="K146" i="104" s="1"/>
  <c r="K102" i="104"/>
  <c r="K108" i="104" s="1"/>
  <c r="K147" i="104" s="1"/>
  <c r="K40" i="104"/>
  <c r="K49" i="104" s="1"/>
  <c r="K142" i="104" s="1"/>
  <c r="K152" i="104" l="1"/>
  <c r="F155" i="104" l="1"/>
  <c r="F154" i="104"/>
  <c r="J150" i="102" l="1"/>
  <c r="I150" i="102"/>
  <c r="H150" i="102"/>
  <c r="H149" i="102"/>
  <c r="K148" i="102"/>
  <c r="G147" i="102"/>
  <c r="G145" i="102"/>
  <c r="I144" i="102"/>
  <c r="G143" i="102"/>
  <c r="I142" i="102"/>
  <c r="G141" i="102"/>
  <c r="J137" i="102"/>
  <c r="J149" i="102" s="1"/>
  <c r="I137" i="102"/>
  <c r="I149" i="102" s="1"/>
  <c r="H137" i="102"/>
  <c r="G137" i="102"/>
  <c r="G149" i="102" s="1"/>
  <c r="F137" i="102"/>
  <c r="F149" i="102" s="1"/>
  <c r="K135" i="102"/>
  <c r="K134" i="102"/>
  <c r="K133" i="102"/>
  <c r="K132" i="102"/>
  <c r="K131" i="102"/>
  <c r="K137" i="102" s="1"/>
  <c r="K149" i="102" s="1"/>
  <c r="F123" i="102"/>
  <c r="F127" i="102" s="1"/>
  <c r="F119" i="102"/>
  <c r="F114" i="102"/>
  <c r="I96" i="102" s="1"/>
  <c r="K96" i="102" s="1"/>
  <c r="J108" i="102"/>
  <c r="J147" i="102" s="1"/>
  <c r="H108" i="102"/>
  <c r="H147" i="102" s="1"/>
  <c r="G108" i="102"/>
  <c r="F108" i="102"/>
  <c r="F147" i="102" s="1"/>
  <c r="I106" i="102"/>
  <c r="K106" i="102" s="1"/>
  <c r="I104" i="102"/>
  <c r="K104" i="102" s="1"/>
  <c r="I102" i="102"/>
  <c r="H102" i="102"/>
  <c r="K102" i="102" s="1"/>
  <c r="J98" i="102"/>
  <c r="J146" i="102" s="1"/>
  <c r="H98" i="102"/>
  <c r="H146" i="102" s="1"/>
  <c r="G98" i="102"/>
  <c r="G146" i="102" s="1"/>
  <c r="F98" i="102"/>
  <c r="F146" i="102" s="1"/>
  <c r="J82" i="102"/>
  <c r="J145" i="102" s="1"/>
  <c r="I82" i="102"/>
  <c r="I145" i="102" s="1"/>
  <c r="H82" i="102"/>
  <c r="H145" i="102" s="1"/>
  <c r="G82" i="102"/>
  <c r="F82" i="102"/>
  <c r="F145" i="102" s="1"/>
  <c r="K80" i="102"/>
  <c r="K79" i="102"/>
  <c r="K78" i="102"/>
  <c r="K77" i="102"/>
  <c r="K82" i="102" s="1"/>
  <c r="K145" i="102" s="1"/>
  <c r="J74" i="102"/>
  <c r="J144" i="102" s="1"/>
  <c r="I74" i="102"/>
  <c r="H74" i="102"/>
  <c r="H144" i="102" s="1"/>
  <c r="G74" i="102"/>
  <c r="G144" i="102" s="1"/>
  <c r="F74" i="102"/>
  <c r="F144" i="102" s="1"/>
  <c r="K72" i="102"/>
  <c r="K71" i="102"/>
  <c r="K70" i="102"/>
  <c r="K74" i="102" s="1"/>
  <c r="K144" i="102" s="1"/>
  <c r="K69" i="102"/>
  <c r="K68" i="102"/>
  <c r="J64" i="102"/>
  <c r="J143" i="102" s="1"/>
  <c r="I64" i="102"/>
  <c r="I143" i="102" s="1"/>
  <c r="H64" i="102"/>
  <c r="H143" i="102" s="1"/>
  <c r="G64" i="102"/>
  <c r="F64" i="102"/>
  <c r="F143" i="102" s="1"/>
  <c r="K62" i="102"/>
  <c r="K61" i="102"/>
  <c r="K60" i="102"/>
  <c r="K59" i="102"/>
  <c r="K58" i="102"/>
  <c r="K57" i="102"/>
  <c r="K56" i="102"/>
  <c r="K55" i="102"/>
  <c r="K54" i="102"/>
  <c r="K53" i="102"/>
  <c r="K64" i="102" s="1"/>
  <c r="K143" i="102" s="1"/>
  <c r="J49" i="102"/>
  <c r="J142" i="102" s="1"/>
  <c r="I49" i="102"/>
  <c r="G49" i="102"/>
  <c r="G142" i="102" s="1"/>
  <c r="F49" i="102"/>
  <c r="F142" i="102" s="1"/>
  <c r="K47" i="102"/>
  <c r="K46" i="102"/>
  <c r="K45" i="102"/>
  <c r="K44" i="102"/>
  <c r="H43" i="102"/>
  <c r="K43" i="102" s="1"/>
  <c r="K42" i="102"/>
  <c r="K41" i="102"/>
  <c r="K40" i="102"/>
  <c r="J36" i="102"/>
  <c r="J141" i="102" s="1"/>
  <c r="H36" i="102"/>
  <c r="H141" i="102" s="1"/>
  <c r="G36" i="102"/>
  <c r="F36" i="102"/>
  <c r="F141" i="102" s="1"/>
  <c r="K18" i="102"/>
  <c r="K150" i="102" s="1"/>
  <c r="J152" i="102" l="1"/>
  <c r="G152" i="102"/>
  <c r="F152" i="102"/>
  <c r="K49" i="102"/>
  <c r="K142" i="102" s="1"/>
  <c r="I21" i="102"/>
  <c r="I23" i="102"/>
  <c r="K23" i="102" s="1"/>
  <c r="I25" i="102"/>
  <c r="K25" i="102" s="1"/>
  <c r="I27" i="102"/>
  <c r="K27" i="102" s="1"/>
  <c r="I29" i="102"/>
  <c r="K29" i="102" s="1"/>
  <c r="I31" i="102"/>
  <c r="K31" i="102" s="1"/>
  <c r="I33" i="102"/>
  <c r="K33" i="102" s="1"/>
  <c r="I87" i="102"/>
  <c r="K87" i="102" s="1"/>
  <c r="I89" i="102"/>
  <c r="K89" i="102" s="1"/>
  <c r="I91" i="102"/>
  <c r="K91" i="102" s="1"/>
  <c r="I93" i="102"/>
  <c r="K93" i="102" s="1"/>
  <c r="I95" i="102"/>
  <c r="K95" i="102" s="1"/>
  <c r="H49" i="102"/>
  <c r="H142" i="102" s="1"/>
  <c r="H152" i="102" s="1"/>
  <c r="I103" i="102"/>
  <c r="K103" i="102" s="1"/>
  <c r="K108" i="102" s="1"/>
  <c r="K147" i="102" s="1"/>
  <c r="I105" i="102"/>
  <c r="K105" i="102" s="1"/>
  <c r="I22" i="102"/>
  <c r="K22" i="102" s="1"/>
  <c r="I24" i="102"/>
  <c r="K24" i="102" s="1"/>
  <c r="I26" i="102"/>
  <c r="K26" i="102" s="1"/>
  <c r="I28" i="102"/>
  <c r="K28" i="102" s="1"/>
  <c r="I30" i="102"/>
  <c r="K30" i="102" s="1"/>
  <c r="I32" i="102"/>
  <c r="K32" i="102" s="1"/>
  <c r="I34" i="102"/>
  <c r="K34" i="102" s="1"/>
  <c r="I86" i="102"/>
  <c r="I88" i="102"/>
  <c r="K88" i="102" s="1"/>
  <c r="I90" i="102"/>
  <c r="K90" i="102" s="1"/>
  <c r="I92" i="102"/>
  <c r="K92" i="102" s="1"/>
  <c r="I94" i="102"/>
  <c r="K94" i="102" s="1"/>
  <c r="I36" i="102" l="1"/>
  <c r="I141" i="102" s="1"/>
  <c r="K21" i="102"/>
  <c r="K36" i="102" s="1"/>
  <c r="K141" i="102" s="1"/>
  <c r="I108" i="102"/>
  <c r="I147" i="102" s="1"/>
  <c r="K86" i="102"/>
  <c r="K98" i="102" s="1"/>
  <c r="K146" i="102" s="1"/>
  <c r="I98" i="102"/>
  <c r="I146" i="102" s="1"/>
  <c r="K152" i="102" l="1"/>
  <c r="I152" i="102"/>
  <c r="F155" i="102" l="1"/>
  <c r="F154" i="102"/>
  <c r="J150" i="114" l="1"/>
  <c r="I150" i="114"/>
  <c r="H150" i="114"/>
  <c r="H149" i="114"/>
  <c r="K148" i="114"/>
  <c r="G143" i="114"/>
  <c r="I142" i="114"/>
  <c r="G141" i="114"/>
  <c r="J137" i="114"/>
  <c r="J149" i="114" s="1"/>
  <c r="I137" i="114"/>
  <c r="I149" i="114" s="1"/>
  <c r="H137" i="114"/>
  <c r="G137" i="114"/>
  <c r="G149" i="114" s="1"/>
  <c r="F137" i="114"/>
  <c r="F149" i="114" s="1"/>
  <c r="K135" i="114"/>
  <c r="K134" i="114"/>
  <c r="K133" i="114"/>
  <c r="K132" i="114"/>
  <c r="K131" i="114"/>
  <c r="K137" i="114" s="1"/>
  <c r="K149" i="114" s="1"/>
  <c r="F119" i="114"/>
  <c r="F123" i="114" s="1"/>
  <c r="F127" i="114" s="1"/>
  <c r="J108" i="114"/>
  <c r="J147" i="114" s="1"/>
  <c r="H108" i="114"/>
  <c r="H147" i="114" s="1"/>
  <c r="G108" i="114"/>
  <c r="G147" i="114" s="1"/>
  <c r="F108" i="114"/>
  <c r="F147" i="114" s="1"/>
  <c r="I106" i="114"/>
  <c r="K106" i="114" s="1"/>
  <c r="K105" i="114"/>
  <c r="I105" i="114"/>
  <c r="I104" i="114"/>
  <c r="K104" i="114" s="1"/>
  <c r="K103" i="114"/>
  <c r="I103" i="114"/>
  <c r="I102" i="114"/>
  <c r="I108" i="114" s="1"/>
  <c r="I147" i="114" s="1"/>
  <c r="J98" i="114"/>
  <c r="J146" i="114" s="1"/>
  <c r="H98" i="114"/>
  <c r="H146" i="114" s="1"/>
  <c r="G98" i="114"/>
  <c r="G146" i="114" s="1"/>
  <c r="F98" i="114"/>
  <c r="F146" i="114" s="1"/>
  <c r="I96" i="114"/>
  <c r="K96" i="114" s="1"/>
  <c r="K95" i="114"/>
  <c r="I95" i="114"/>
  <c r="I94" i="114"/>
  <c r="K94" i="114" s="1"/>
  <c r="K93" i="114"/>
  <c r="I93" i="114"/>
  <c r="I92" i="114"/>
  <c r="K92" i="114" s="1"/>
  <c r="K91" i="114"/>
  <c r="I91" i="114"/>
  <c r="I90" i="114"/>
  <c r="K90" i="114" s="1"/>
  <c r="K89" i="114"/>
  <c r="I89" i="114"/>
  <c r="I88" i="114"/>
  <c r="K88" i="114" s="1"/>
  <c r="K87" i="114"/>
  <c r="I87" i="114"/>
  <c r="I86" i="114"/>
  <c r="I98" i="114" s="1"/>
  <c r="I146" i="114" s="1"/>
  <c r="J82" i="114"/>
  <c r="J145" i="114" s="1"/>
  <c r="I82" i="114"/>
  <c r="I145" i="114" s="1"/>
  <c r="H82" i="114"/>
  <c r="H145" i="114" s="1"/>
  <c r="G82" i="114"/>
  <c r="G145" i="114" s="1"/>
  <c r="F82" i="114"/>
  <c r="F145" i="114" s="1"/>
  <c r="K80" i="114"/>
  <c r="K79" i="114"/>
  <c r="K78" i="114"/>
  <c r="K82" i="114" s="1"/>
  <c r="K145" i="114" s="1"/>
  <c r="K77" i="114"/>
  <c r="J74" i="114"/>
  <c r="J144" i="114" s="1"/>
  <c r="I74" i="114"/>
  <c r="I144" i="114" s="1"/>
  <c r="H74" i="114"/>
  <c r="H144" i="114" s="1"/>
  <c r="G74" i="114"/>
  <c r="G144" i="114" s="1"/>
  <c r="F74" i="114"/>
  <c r="F144" i="114" s="1"/>
  <c r="K72" i="114"/>
  <c r="K71" i="114"/>
  <c r="K70" i="114"/>
  <c r="K69" i="114"/>
  <c r="K68" i="114"/>
  <c r="K74" i="114" s="1"/>
  <c r="K144" i="114" s="1"/>
  <c r="J64" i="114"/>
  <c r="J143" i="114" s="1"/>
  <c r="I64" i="114"/>
  <c r="I143" i="114" s="1"/>
  <c r="H64" i="114"/>
  <c r="H143" i="114" s="1"/>
  <c r="G64" i="114"/>
  <c r="F64" i="114"/>
  <c r="F143" i="114" s="1"/>
  <c r="K62" i="114"/>
  <c r="K61" i="114"/>
  <c r="K60" i="114"/>
  <c r="K59" i="114"/>
  <c r="K58" i="114"/>
  <c r="K57" i="114"/>
  <c r="K56" i="114"/>
  <c r="K55" i="114"/>
  <c r="K54" i="114"/>
  <c r="K53" i="114"/>
  <c r="K64" i="114" s="1"/>
  <c r="K143" i="114" s="1"/>
  <c r="J49" i="114"/>
  <c r="J142" i="114" s="1"/>
  <c r="I49" i="114"/>
  <c r="H49" i="114"/>
  <c r="H142" i="114" s="1"/>
  <c r="G49" i="114"/>
  <c r="G142" i="114" s="1"/>
  <c r="F49" i="114"/>
  <c r="F142" i="114" s="1"/>
  <c r="K47" i="114"/>
  <c r="K46" i="114"/>
  <c r="K45" i="114"/>
  <c r="K44" i="114"/>
  <c r="K43" i="114"/>
  <c r="K42" i="114"/>
  <c r="K41" i="114"/>
  <c r="K40" i="114"/>
  <c r="K49" i="114" s="1"/>
  <c r="K142" i="114" s="1"/>
  <c r="J36" i="114"/>
  <c r="J141" i="114" s="1"/>
  <c r="H36" i="114"/>
  <c r="H141" i="114" s="1"/>
  <c r="G36" i="114"/>
  <c r="F36" i="114"/>
  <c r="F141" i="114" s="1"/>
  <c r="I34" i="114"/>
  <c r="K34" i="114" s="1"/>
  <c r="I33" i="114"/>
  <c r="K33" i="114" s="1"/>
  <c r="I32" i="114"/>
  <c r="K32" i="114" s="1"/>
  <c r="I31" i="114"/>
  <c r="K31" i="114" s="1"/>
  <c r="I30" i="114"/>
  <c r="K30" i="114" s="1"/>
  <c r="K29" i="114"/>
  <c r="K28" i="114"/>
  <c r="I28" i="114"/>
  <c r="K27" i="114"/>
  <c r="I27" i="114"/>
  <c r="K26" i="114"/>
  <c r="I26" i="114"/>
  <c r="K25" i="114"/>
  <c r="I25" i="114"/>
  <c r="K24" i="114"/>
  <c r="I24" i="114"/>
  <c r="K23" i="114"/>
  <c r="I23" i="114"/>
  <c r="K22" i="114"/>
  <c r="I22" i="114"/>
  <c r="K21" i="114"/>
  <c r="K36" i="114" s="1"/>
  <c r="K141" i="114" s="1"/>
  <c r="I21" i="114"/>
  <c r="I36" i="114" s="1"/>
  <c r="I141" i="114" s="1"/>
  <c r="K18" i="114"/>
  <c r="K150" i="114" s="1"/>
  <c r="J152" i="114" l="1"/>
  <c r="F152" i="114"/>
  <c r="G152" i="114"/>
  <c r="I152" i="114"/>
  <c r="H152" i="114"/>
  <c r="K86" i="114"/>
  <c r="K98" i="114" s="1"/>
  <c r="K146" i="114" s="1"/>
  <c r="K152" i="114" s="1"/>
  <c r="K102" i="114"/>
  <c r="K108" i="114" s="1"/>
  <c r="K147" i="114" s="1"/>
  <c r="F155" i="114" l="1"/>
  <c r="F154" i="114"/>
  <c r="J150" i="99" l="1"/>
  <c r="I150" i="99"/>
  <c r="H150" i="99"/>
  <c r="H149" i="99"/>
  <c r="K148" i="99"/>
  <c r="G147" i="99"/>
  <c r="G145" i="99"/>
  <c r="I144" i="99"/>
  <c r="G143" i="99"/>
  <c r="I142" i="99"/>
  <c r="G141" i="99"/>
  <c r="J137" i="99"/>
  <c r="J149" i="99" s="1"/>
  <c r="I137" i="99"/>
  <c r="I149" i="99" s="1"/>
  <c r="H137" i="99"/>
  <c r="G137" i="99"/>
  <c r="G149" i="99" s="1"/>
  <c r="F137" i="99"/>
  <c r="F149" i="99" s="1"/>
  <c r="K135" i="99"/>
  <c r="K134" i="99"/>
  <c r="K133" i="99"/>
  <c r="K132" i="99"/>
  <c r="K131" i="99"/>
  <c r="K137" i="99" s="1"/>
  <c r="K149" i="99" s="1"/>
  <c r="F119" i="99"/>
  <c r="J108" i="99"/>
  <c r="J147" i="99" s="1"/>
  <c r="I108" i="99"/>
  <c r="I147" i="99" s="1"/>
  <c r="H108" i="99"/>
  <c r="H147" i="99" s="1"/>
  <c r="G108" i="99"/>
  <c r="F108" i="99"/>
  <c r="F147" i="99" s="1"/>
  <c r="K106" i="99"/>
  <c r="I106" i="99"/>
  <c r="I105" i="99"/>
  <c r="K105" i="99" s="1"/>
  <c r="K104" i="99"/>
  <c r="I104" i="99"/>
  <c r="I103" i="99"/>
  <c r="K103" i="99" s="1"/>
  <c r="K102" i="99"/>
  <c r="K108" i="99" s="1"/>
  <c r="K147" i="99" s="1"/>
  <c r="I102" i="99"/>
  <c r="J98" i="99"/>
  <c r="J146" i="99" s="1"/>
  <c r="I98" i="99"/>
  <c r="I146" i="99" s="1"/>
  <c r="H98" i="99"/>
  <c r="H146" i="99" s="1"/>
  <c r="G98" i="99"/>
  <c r="G146" i="99" s="1"/>
  <c r="F98" i="99"/>
  <c r="F146" i="99" s="1"/>
  <c r="K96" i="99"/>
  <c r="I96" i="99"/>
  <c r="I95" i="99"/>
  <c r="K95" i="99" s="1"/>
  <c r="K94" i="99"/>
  <c r="I94" i="99"/>
  <c r="I93" i="99"/>
  <c r="K93" i="99" s="1"/>
  <c r="K92" i="99"/>
  <c r="I92" i="99"/>
  <c r="I91" i="99"/>
  <c r="K91" i="99" s="1"/>
  <c r="K90" i="99"/>
  <c r="I90" i="99"/>
  <c r="I89" i="99"/>
  <c r="K89" i="99" s="1"/>
  <c r="K88" i="99"/>
  <c r="I88" i="99"/>
  <c r="I87" i="99"/>
  <c r="K87" i="99" s="1"/>
  <c r="K86" i="99"/>
  <c r="K98" i="99" s="1"/>
  <c r="K146" i="99" s="1"/>
  <c r="I86" i="99"/>
  <c r="J82" i="99"/>
  <c r="J145" i="99" s="1"/>
  <c r="I82" i="99"/>
  <c r="I145" i="99" s="1"/>
  <c r="H82" i="99"/>
  <c r="H145" i="99" s="1"/>
  <c r="G82" i="99"/>
  <c r="F82" i="99"/>
  <c r="F145" i="99" s="1"/>
  <c r="K80" i="99"/>
  <c r="K79" i="99"/>
  <c r="K78" i="99"/>
  <c r="K77" i="99"/>
  <c r="K82" i="99" s="1"/>
  <c r="K145" i="99" s="1"/>
  <c r="J74" i="99"/>
  <c r="J144" i="99" s="1"/>
  <c r="I74" i="99"/>
  <c r="H74" i="99"/>
  <c r="H144" i="99" s="1"/>
  <c r="G74" i="99"/>
  <c r="G144" i="99" s="1"/>
  <c r="F74" i="99"/>
  <c r="F144" i="99" s="1"/>
  <c r="K72" i="99"/>
  <c r="K71" i="99"/>
  <c r="K70" i="99"/>
  <c r="K74" i="99" s="1"/>
  <c r="K144" i="99" s="1"/>
  <c r="K69" i="99"/>
  <c r="K68" i="99"/>
  <c r="J64" i="99"/>
  <c r="J143" i="99" s="1"/>
  <c r="I64" i="99"/>
  <c r="I143" i="99" s="1"/>
  <c r="H64" i="99"/>
  <c r="H143" i="99" s="1"/>
  <c r="G64" i="99"/>
  <c r="F64" i="99"/>
  <c r="F143" i="99" s="1"/>
  <c r="K62" i="99"/>
  <c r="K61" i="99"/>
  <c r="K60" i="99"/>
  <c r="K59" i="99"/>
  <c r="K58" i="99"/>
  <c r="K57" i="99"/>
  <c r="K56" i="99"/>
  <c r="K55" i="99"/>
  <c r="K54" i="99"/>
  <c r="K53" i="99"/>
  <c r="K64" i="99" s="1"/>
  <c r="K143" i="99" s="1"/>
  <c r="J49" i="99"/>
  <c r="J142" i="99" s="1"/>
  <c r="I49" i="99"/>
  <c r="H49" i="99"/>
  <c r="H142" i="99" s="1"/>
  <c r="G49" i="99"/>
  <c r="G142" i="99" s="1"/>
  <c r="F49" i="99"/>
  <c r="F142" i="99" s="1"/>
  <c r="K47" i="99"/>
  <c r="K46" i="99"/>
  <c r="K45" i="99"/>
  <c r="K44" i="99"/>
  <c r="K43" i="99"/>
  <c r="K42" i="99"/>
  <c r="K41" i="99"/>
  <c r="K40" i="99"/>
  <c r="K49" i="99" s="1"/>
  <c r="K142" i="99" s="1"/>
  <c r="J36" i="99"/>
  <c r="J141" i="99" s="1"/>
  <c r="H36" i="99"/>
  <c r="H141" i="99" s="1"/>
  <c r="G36" i="99"/>
  <c r="F36" i="99"/>
  <c r="F141" i="99" s="1"/>
  <c r="F152" i="99" s="1"/>
  <c r="I34" i="99"/>
  <c r="K34" i="99" s="1"/>
  <c r="I33" i="99"/>
  <c r="K33" i="99" s="1"/>
  <c r="I32" i="99"/>
  <c r="K32" i="99" s="1"/>
  <c r="I31" i="99"/>
  <c r="K31" i="99" s="1"/>
  <c r="I30" i="99"/>
  <c r="K30" i="99" s="1"/>
  <c r="I29" i="99"/>
  <c r="K29" i="99" s="1"/>
  <c r="I28" i="99"/>
  <c r="K28" i="99" s="1"/>
  <c r="I27" i="99"/>
  <c r="K27" i="99" s="1"/>
  <c r="I26" i="99"/>
  <c r="K26" i="99" s="1"/>
  <c r="I25" i="99"/>
  <c r="K25" i="99" s="1"/>
  <c r="I24" i="99"/>
  <c r="K24" i="99" s="1"/>
  <c r="I23" i="99"/>
  <c r="K23" i="99" s="1"/>
  <c r="I22" i="99"/>
  <c r="K22" i="99" s="1"/>
  <c r="I21" i="99"/>
  <c r="K21" i="99" s="1"/>
  <c r="K18" i="99"/>
  <c r="K150" i="99" s="1"/>
  <c r="G152" i="99" l="1"/>
  <c r="K36" i="99"/>
  <c r="K141" i="99" s="1"/>
  <c r="K152" i="99" s="1"/>
  <c r="H152" i="99"/>
  <c r="J152" i="99"/>
  <c r="I36" i="99"/>
  <c r="I141" i="99" s="1"/>
  <c r="I152" i="99" s="1"/>
  <c r="F155" i="99" l="1"/>
  <c r="F154" i="99"/>
  <c r="J150" i="74" l="1"/>
  <c r="I150" i="74"/>
  <c r="H150" i="74"/>
  <c r="J149" i="74"/>
  <c r="H149" i="74"/>
  <c r="F149" i="74"/>
  <c r="K148" i="74"/>
  <c r="G147" i="74"/>
  <c r="G146" i="74"/>
  <c r="G145" i="74"/>
  <c r="I143" i="74"/>
  <c r="G143" i="74"/>
  <c r="J137" i="74"/>
  <c r="I137" i="74"/>
  <c r="I149" i="74" s="1"/>
  <c r="H137" i="74"/>
  <c r="G137" i="74"/>
  <c r="G149" i="74" s="1"/>
  <c r="F137" i="74"/>
  <c r="K135" i="74"/>
  <c r="K134" i="74"/>
  <c r="K133" i="74"/>
  <c r="I133" i="74"/>
  <c r="K132" i="74"/>
  <c r="I132" i="74"/>
  <c r="K131" i="74"/>
  <c r="K137" i="74" s="1"/>
  <c r="K149" i="74" s="1"/>
  <c r="I131" i="74"/>
  <c r="F127" i="74"/>
  <c r="F125" i="74"/>
  <c r="F119" i="74"/>
  <c r="J108" i="74"/>
  <c r="J147" i="74" s="1"/>
  <c r="H108" i="74"/>
  <c r="H147" i="74" s="1"/>
  <c r="G108" i="74"/>
  <c r="F108" i="74"/>
  <c r="F147" i="74" s="1"/>
  <c r="I106" i="74"/>
  <c r="K106" i="74" s="1"/>
  <c r="I105" i="74"/>
  <c r="K105" i="74" s="1"/>
  <c r="I104" i="74"/>
  <c r="K104" i="74" s="1"/>
  <c r="I103" i="74"/>
  <c r="K103" i="74" s="1"/>
  <c r="I102" i="74"/>
  <c r="I108" i="74" s="1"/>
  <c r="I147" i="74" s="1"/>
  <c r="J98" i="74"/>
  <c r="J146" i="74" s="1"/>
  <c r="H98" i="74"/>
  <c r="H146" i="74" s="1"/>
  <c r="G98" i="74"/>
  <c r="F98" i="74"/>
  <c r="F146" i="74" s="1"/>
  <c r="I96" i="74"/>
  <c r="K96" i="74" s="1"/>
  <c r="I95" i="74"/>
  <c r="K95" i="74" s="1"/>
  <c r="I94" i="74"/>
  <c r="K94" i="74" s="1"/>
  <c r="I93" i="74"/>
  <c r="K93" i="74" s="1"/>
  <c r="I92" i="74"/>
  <c r="K92" i="74" s="1"/>
  <c r="I91" i="74"/>
  <c r="K91" i="74" s="1"/>
  <c r="I90" i="74"/>
  <c r="K90" i="74" s="1"/>
  <c r="I89" i="74"/>
  <c r="K89" i="74" s="1"/>
  <c r="I88" i="74"/>
  <c r="K88" i="74" s="1"/>
  <c r="I87" i="74"/>
  <c r="K87" i="74" s="1"/>
  <c r="I86" i="74"/>
  <c r="I98" i="74" s="1"/>
  <c r="I146" i="74" s="1"/>
  <c r="J82" i="74"/>
  <c r="J145" i="74" s="1"/>
  <c r="I82" i="74"/>
  <c r="I145" i="74" s="1"/>
  <c r="H82" i="74"/>
  <c r="H145" i="74" s="1"/>
  <c r="G82" i="74"/>
  <c r="F82" i="74"/>
  <c r="F145" i="74" s="1"/>
  <c r="K80" i="74"/>
  <c r="K79" i="74"/>
  <c r="K78" i="74"/>
  <c r="K77" i="74"/>
  <c r="K82" i="74" s="1"/>
  <c r="K145" i="74" s="1"/>
  <c r="J74" i="74"/>
  <c r="J144" i="74" s="1"/>
  <c r="H74" i="74"/>
  <c r="H144" i="74" s="1"/>
  <c r="G74" i="74"/>
  <c r="G144" i="74" s="1"/>
  <c r="F74" i="74"/>
  <c r="F144" i="74" s="1"/>
  <c r="I72" i="74"/>
  <c r="K72" i="74" s="1"/>
  <c r="I71" i="74"/>
  <c r="K71" i="74" s="1"/>
  <c r="I70" i="74"/>
  <c r="K70" i="74" s="1"/>
  <c r="I69" i="74"/>
  <c r="K69" i="74" s="1"/>
  <c r="I68" i="74"/>
  <c r="I74" i="74" s="1"/>
  <c r="I144" i="74" s="1"/>
  <c r="J64" i="74"/>
  <c r="J143" i="74" s="1"/>
  <c r="I64" i="74"/>
  <c r="G64" i="74"/>
  <c r="F64" i="74"/>
  <c r="F143" i="74" s="1"/>
  <c r="K62" i="74"/>
  <c r="K61" i="74"/>
  <c r="K60" i="74"/>
  <c r="K59" i="74"/>
  <c r="K58" i="74"/>
  <c r="K57" i="74"/>
  <c r="P56" i="74"/>
  <c r="K56" i="74"/>
  <c r="O55" i="74"/>
  <c r="P55" i="74" s="1"/>
  <c r="K55" i="74"/>
  <c r="K54" i="74"/>
  <c r="H53" i="74"/>
  <c r="K53" i="74" s="1"/>
  <c r="K64" i="74" s="1"/>
  <c r="K143" i="74" s="1"/>
  <c r="J49" i="74"/>
  <c r="J142" i="74" s="1"/>
  <c r="H49" i="74"/>
  <c r="H142" i="74" s="1"/>
  <c r="G49" i="74"/>
  <c r="G142" i="74" s="1"/>
  <c r="F49" i="74"/>
  <c r="F142" i="74" s="1"/>
  <c r="I47" i="74"/>
  <c r="K47" i="74" s="1"/>
  <c r="I46" i="74"/>
  <c r="K46" i="74" s="1"/>
  <c r="I45" i="74"/>
  <c r="K45" i="74" s="1"/>
  <c r="I44" i="74"/>
  <c r="K44" i="74" s="1"/>
  <c r="I43" i="74"/>
  <c r="K43" i="74" s="1"/>
  <c r="Q42" i="74"/>
  <c r="P42" i="74"/>
  <c r="I42" i="74"/>
  <c r="K42" i="74" s="1"/>
  <c r="Q41" i="74"/>
  <c r="P41" i="74"/>
  <c r="I41" i="74"/>
  <c r="K41" i="74" s="1"/>
  <c r="Q40" i="74"/>
  <c r="P40" i="74"/>
  <c r="I40" i="74"/>
  <c r="I49" i="74" s="1"/>
  <c r="I142" i="74" s="1"/>
  <c r="J36" i="74"/>
  <c r="J141" i="74" s="1"/>
  <c r="H36" i="74"/>
  <c r="H141" i="74" s="1"/>
  <c r="G36" i="74"/>
  <c r="G141" i="74" s="1"/>
  <c r="F36" i="74"/>
  <c r="F141" i="74" s="1"/>
  <c r="I34" i="74"/>
  <c r="K34" i="74" s="1"/>
  <c r="I33" i="74"/>
  <c r="K33" i="74" s="1"/>
  <c r="I32" i="74"/>
  <c r="K32" i="74" s="1"/>
  <c r="I31" i="74"/>
  <c r="K31" i="74" s="1"/>
  <c r="I30" i="74"/>
  <c r="K30" i="74" s="1"/>
  <c r="I29" i="74"/>
  <c r="K29" i="74" s="1"/>
  <c r="I28" i="74"/>
  <c r="K28" i="74" s="1"/>
  <c r="I27" i="74"/>
  <c r="K27" i="74" s="1"/>
  <c r="I26" i="74"/>
  <c r="K26" i="74" s="1"/>
  <c r="I25" i="74"/>
  <c r="K25" i="74" s="1"/>
  <c r="I24" i="74"/>
  <c r="K24" i="74" s="1"/>
  <c r="I23" i="74"/>
  <c r="K23" i="74" s="1"/>
  <c r="I22" i="74"/>
  <c r="K22" i="74" s="1"/>
  <c r="I21" i="74"/>
  <c r="K21" i="74" s="1"/>
  <c r="K36" i="74" s="1"/>
  <c r="K141" i="74" s="1"/>
  <c r="K18" i="74"/>
  <c r="K150" i="74" s="1"/>
  <c r="J152" i="74" l="1"/>
  <c r="F152" i="74"/>
  <c r="G152" i="74"/>
  <c r="H64" i="74"/>
  <c r="H143" i="74" s="1"/>
  <c r="H152" i="74" s="1"/>
  <c r="I36" i="74"/>
  <c r="I141" i="74" s="1"/>
  <c r="I152" i="74" s="1"/>
  <c r="K40" i="74"/>
  <c r="K49" i="74" s="1"/>
  <c r="K142" i="74" s="1"/>
  <c r="K152" i="74" s="1"/>
  <c r="K68" i="74"/>
  <c r="K74" i="74" s="1"/>
  <c r="K144" i="74" s="1"/>
  <c r="K86" i="74"/>
  <c r="K98" i="74" s="1"/>
  <c r="K146" i="74" s="1"/>
  <c r="K102" i="74"/>
  <c r="K108" i="74" s="1"/>
  <c r="K147" i="74" s="1"/>
  <c r="J150" i="98"/>
  <c r="I150" i="98"/>
  <c r="H150" i="98"/>
  <c r="J149" i="98"/>
  <c r="F149" i="98"/>
  <c r="K148" i="98"/>
  <c r="G146" i="98"/>
  <c r="I145" i="98"/>
  <c r="G145" i="98"/>
  <c r="I144" i="98"/>
  <c r="G144" i="98"/>
  <c r="G142" i="98"/>
  <c r="J141" i="98"/>
  <c r="F141" i="98"/>
  <c r="J137" i="98"/>
  <c r="I137" i="98"/>
  <c r="I149" i="98" s="1"/>
  <c r="H137" i="98"/>
  <c r="H149" i="98" s="1"/>
  <c r="G137" i="98"/>
  <c r="G149" i="98" s="1"/>
  <c r="F137" i="98"/>
  <c r="K135" i="98"/>
  <c r="K134" i="98"/>
  <c r="K133" i="98"/>
  <c r="K137" i="98" s="1"/>
  <c r="K149" i="98" s="1"/>
  <c r="K132" i="98"/>
  <c r="K131" i="98"/>
  <c r="F123" i="98"/>
  <c r="F127" i="98" s="1"/>
  <c r="F119" i="98"/>
  <c r="J108" i="98"/>
  <c r="J147" i="98" s="1"/>
  <c r="I108" i="98"/>
  <c r="I147" i="98" s="1"/>
  <c r="H108" i="98"/>
  <c r="H147" i="98" s="1"/>
  <c r="G108" i="98"/>
  <c r="G147" i="98" s="1"/>
  <c r="F108" i="98"/>
  <c r="F147" i="98" s="1"/>
  <c r="K106" i="98"/>
  <c r="I106" i="98"/>
  <c r="I105" i="98"/>
  <c r="K105" i="98" s="1"/>
  <c r="K104" i="98"/>
  <c r="I104" i="98"/>
  <c r="I103" i="98"/>
  <c r="K103" i="98" s="1"/>
  <c r="K102" i="98"/>
  <c r="K108" i="98" s="1"/>
  <c r="K147" i="98" s="1"/>
  <c r="J98" i="98"/>
  <c r="J146" i="98" s="1"/>
  <c r="H98" i="98"/>
  <c r="H146" i="98" s="1"/>
  <c r="G98" i="98"/>
  <c r="F98" i="98"/>
  <c r="F146" i="98" s="1"/>
  <c r="I96" i="98"/>
  <c r="K96" i="98" s="1"/>
  <c r="I95" i="98"/>
  <c r="K95" i="98" s="1"/>
  <c r="I94" i="98"/>
  <c r="I98" i="98" s="1"/>
  <c r="I146" i="98" s="1"/>
  <c r="K93" i="98"/>
  <c r="K92" i="98"/>
  <c r="K91" i="98"/>
  <c r="K90" i="98"/>
  <c r="K89" i="98"/>
  <c r="K88" i="98"/>
  <c r="K87" i="98"/>
  <c r="K86" i="98"/>
  <c r="J82" i="98"/>
  <c r="J145" i="98" s="1"/>
  <c r="I82" i="98"/>
  <c r="H82" i="98"/>
  <c r="H145" i="98" s="1"/>
  <c r="G82" i="98"/>
  <c r="F82" i="98"/>
  <c r="F145" i="98" s="1"/>
  <c r="K80" i="98"/>
  <c r="K79" i="98"/>
  <c r="K78" i="98"/>
  <c r="K77" i="98"/>
  <c r="K82" i="98" s="1"/>
  <c r="K145" i="98" s="1"/>
  <c r="J74" i="98"/>
  <c r="J144" i="98" s="1"/>
  <c r="I74" i="98"/>
  <c r="H74" i="98"/>
  <c r="H144" i="98" s="1"/>
  <c r="G74" i="98"/>
  <c r="F74" i="98"/>
  <c r="F144" i="98" s="1"/>
  <c r="K72" i="98"/>
  <c r="K71" i="98"/>
  <c r="K70" i="98"/>
  <c r="K69" i="98"/>
  <c r="K74" i="98" s="1"/>
  <c r="K144" i="98" s="1"/>
  <c r="K68" i="98"/>
  <c r="J64" i="98"/>
  <c r="J143" i="98" s="1"/>
  <c r="I64" i="98"/>
  <c r="I143" i="98" s="1"/>
  <c r="H64" i="98"/>
  <c r="H143" i="98" s="1"/>
  <c r="G64" i="98"/>
  <c r="G143" i="98" s="1"/>
  <c r="F64" i="98"/>
  <c r="F143" i="98" s="1"/>
  <c r="K61" i="98"/>
  <c r="K60" i="98"/>
  <c r="K59" i="98"/>
  <c r="K58" i="98"/>
  <c r="K57" i="98"/>
  <c r="K56" i="98"/>
  <c r="K55" i="98"/>
  <c r="K54" i="98"/>
  <c r="K53" i="98"/>
  <c r="K64" i="98" s="1"/>
  <c r="K143" i="98" s="1"/>
  <c r="J49" i="98"/>
  <c r="J142" i="98" s="1"/>
  <c r="H49" i="98"/>
  <c r="H142" i="98" s="1"/>
  <c r="G49" i="98"/>
  <c r="F49" i="98"/>
  <c r="F142" i="98" s="1"/>
  <c r="K47" i="98"/>
  <c r="K46" i="98"/>
  <c r="K45" i="98"/>
  <c r="K44" i="98"/>
  <c r="K43" i="98"/>
  <c r="K42" i="98"/>
  <c r="K41" i="98"/>
  <c r="I40" i="98"/>
  <c r="I49" i="98" s="1"/>
  <c r="I142" i="98" s="1"/>
  <c r="J36" i="98"/>
  <c r="H36" i="98"/>
  <c r="H141" i="98" s="1"/>
  <c r="G36" i="98"/>
  <c r="G141" i="98" s="1"/>
  <c r="F36" i="98"/>
  <c r="I34" i="98"/>
  <c r="K34" i="98" s="1"/>
  <c r="K33" i="98"/>
  <c r="I33" i="98"/>
  <c r="I32" i="98"/>
  <c r="K32" i="98" s="1"/>
  <c r="K31" i="98"/>
  <c r="I31" i="98"/>
  <c r="I30" i="98"/>
  <c r="I36" i="98" s="1"/>
  <c r="I141" i="98" s="1"/>
  <c r="K29" i="98"/>
  <c r="K28" i="98"/>
  <c r="K27" i="98"/>
  <c r="K26" i="98"/>
  <c r="K25" i="98"/>
  <c r="K24" i="98"/>
  <c r="K23" i="98"/>
  <c r="K22" i="98"/>
  <c r="K21" i="98"/>
  <c r="K18" i="98"/>
  <c r="K150" i="98" s="1"/>
  <c r="F155" i="74" l="1"/>
  <c r="F154" i="74"/>
  <c r="K36" i="98"/>
  <c r="K141" i="98" s="1"/>
  <c r="F152" i="98"/>
  <c r="I152" i="98"/>
  <c r="G152" i="98"/>
  <c r="J152" i="98"/>
  <c r="H152" i="98"/>
  <c r="K30" i="98"/>
  <c r="K40" i="98"/>
  <c r="K49" i="98" s="1"/>
  <c r="K142" i="98" s="1"/>
  <c r="K94" i="98"/>
  <c r="K98" i="98" s="1"/>
  <c r="K146" i="98" s="1"/>
  <c r="K152" i="98" l="1"/>
  <c r="F155" i="98" l="1"/>
  <c r="F154" i="98"/>
  <c r="J150" i="117" l="1"/>
  <c r="I150" i="117"/>
  <c r="H150" i="117"/>
  <c r="J149" i="117"/>
  <c r="F149" i="117"/>
  <c r="J145" i="117"/>
  <c r="I145" i="117"/>
  <c r="F145" i="117"/>
  <c r="H144" i="117"/>
  <c r="G144" i="117"/>
  <c r="I143" i="117"/>
  <c r="J137" i="117"/>
  <c r="I137" i="117"/>
  <c r="I149" i="117" s="1"/>
  <c r="H137" i="117"/>
  <c r="H149" i="117" s="1"/>
  <c r="G137" i="117"/>
  <c r="G149" i="117" s="1"/>
  <c r="F137" i="117"/>
  <c r="K135" i="117"/>
  <c r="K134" i="117"/>
  <c r="K133" i="117"/>
  <c r="K137" i="117" s="1"/>
  <c r="K149" i="117" s="1"/>
  <c r="K132" i="117"/>
  <c r="K131" i="117"/>
  <c r="F127" i="117"/>
  <c r="F119" i="117"/>
  <c r="F111" i="117"/>
  <c r="K148" i="117" s="1"/>
  <c r="J108" i="117"/>
  <c r="J147" i="117" s="1"/>
  <c r="I108" i="117"/>
  <c r="I147" i="117" s="1"/>
  <c r="H108" i="117"/>
  <c r="H147" i="117" s="1"/>
  <c r="G108" i="117"/>
  <c r="G147" i="117" s="1"/>
  <c r="F108" i="117"/>
  <c r="F147" i="117" s="1"/>
  <c r="K106" i="117"/>
  <c r="I106" i="117"/>
  <c r="I105" i="117"/>
  <c r="K105" i="117" s="1"/>
  <c r="K104" i="117"/>
  <c r="I104" i="117"/>
  <c r="I103" i="117"/>
  <c r="K103" i="117" s="1"/>
  <c r="K102" i="117"/>
  <c r="K108" i="117" s="1"/>
  <c r="K147" i="117" s="1"/>
  <c r="I102" i="117"/>
  <c r="J98" i="117"/>
  <c r="J146" i="117" s="1"/>
  <c r="K96" i="117"/>
  <c r="I96" i="117"/>
  <c r="I95" i="117"/>
  <c r="K95" i="117" s="1"/>
  <c r="K94" i="117"/>
  <c r="I94" i="117"/>
  <c r="H93" i="117"/>
  <c r="I93" i="117" s="1"/>
  <c r="G93" i="117"/>
  <c r="F93" i="117"/>
  <c r="I92" i="117"/>
  <c r="K92" i="117" s="1"/>
  <c r="I91" i="117"/>
  <c r="K91" i="117" s="1"/>
  <c r="I90" i="117"/>
  <c r="K90" i="117" s="1"/>
  <c r="I89" i="117"/>
  <c r="K89" i="117" s="1"/>
  <c r="I88" i="117"/>
  <c r="K88" i="117" s="1"/>
  <c r="H88" i="117"/>
  <c r="H98" i="117" s="1"/>
  <c r="H146" i="117" s="1"/>
  <c r="G88" i="117"/>
  <c r="G98" i="117" s="1"/>
  <c r="G146" i="117" s="1"/>
  <c r="F88" i="117"/>
  <c r="F98" i="117" s="1"/>
  <c r="F146" i="117" s="1"/>
  <c r="K87" i="117"/>
  <c r="I87" i="117"/>
  <c r="I86" i="117"/>
  <c r="K86" i="117" s="1"/>
  <c r="J82" i="117"/>
  <c r="I82" i="117"/>
  <c r="H82" i="117"/>
  <c r="H145" i="117" s="1"/>
  <c r="G82" i="117"/>
  <c r="G145" i="117" s="1"/>
  <c r="F82" i="117"/>
  <c r="K80" i="117"/>
  <c r="K79" i="117"/>
  <c r="K78" i="117"/>
  <c r="K82" i="117" s="1"/>
  <c r="K145" i="117" s="1"/>
  <c r="K77" i="117"/>
  <c r="J74" i="117"/>
  <c r="J144" i="117" s="1"/>
  <c r="I74" i="117"/>
  <c r="I144" i="117" s="1"/>
  <c r="H74" i="117"/>
  <c r="G74" i="117"/>
  <c r="F74" i="117"/>
  <c r="F144" i="117" s="1"/>
  <c r="K72" i="117"/>
  <c r="K71" i="117"/>
  <c r="K70" i="117"/>
  <c r="K69" i="117"/>
  <c r="K68" i="117"/>
  <c r="K74" i="117" s="1"/>
  <c r="K144" i="117" s="1"/>
  <c r="J64" i="117"/>
  <c r="J143" i="117" s="1"/>
  <c r="I64" i="117"/>
  <c r="F64" i="117"/>
  <c r="F143" i="117" s="1"/>
  <c r="K62" i="117"/>
  <c r="K61" i="117"/>
  <c r="K60" i="117"/>
  <c r="K59" i="117"/>
  <c r="K58" i="117"/>
  <c r="K57" i="117"/>
  <c r="K56" i="117"/>
  <c r="H55" i="117"/>
  <c r="K55" i="117" s="1"/>
  <c r="G55" i="117"/>
  <c r="F55" i="117"/>
  <c r="K54" i="117"/>
  <c r="H53" i="117"/>
  <c r="K53" i="117" s="1"/>
  <c r="K64" i="117" s="1"/>
  <c r="K143" i="117" s="1"/>
  <c r="G53" i="117"/>
  <c r="G64" i="117" s="1"/>
  <c r="G143" i="117" s="1"/>
  <c r="J49" i="117"/>
  <c r="J142" i="117" s="1"/>
  <c r="I49" i="117"/>
  <c r="I142" i="117" s="1"/>
  <c r="K47" i="117"/>
  <c r="K46" i="117"/>
  <c r="K45" i="117"/>
  <c r="K44" i="117"/>
  <c r="K43" i="117"/>
  <c r="H42" i="117"/>
  <c r="H49" i="117" s="1"/>
  <c r="H142" i="117" s="1"/>
  <c r="G42" i="117"/>
  <c r="G49" i="117" s="1"/>
  <c r="G142" i="117" s="1"/>
  <c r="F42" i="117"/>
  <c r="F49" i="117" s="1"/>
  <c r="F142" i="117" s="1"/>
  <c r="K41" i="117"/>
  <c r="K40" i="117"/>
  <c r="J36" i="117"/>
  <c r="J141" i="117" s="1"/>
  <c r="G36" i="117"/>
  <c r="G141" i="117" s="1"/>
  <c r="G152" i="117" s="1"/>
  <c r="F36" i="117"/>
  <c r="F141" i="117" s="1"/>
  <c r="I34" i="117"/>
  <c r="K34" i="117" s="1"/>
  <c r="I33" i="117"/>
  <c r="K33" i="117" s="1"/>
  <c r="I32" i="117"/>
  <c r="K32" i="117" s="1"/>
  <c r="I31" i="117"/>
  <c r="K31" i="117" s="1"/>
  <c r="I30" i="117"/>
  <c r="K30" i="117" s="1"/>
  <c r="I29" i="117"/>
  <c r="K29" i="117" s="1"/>
  <c r="I28" i="117"/>
  <c r="K28" i="117" s="1"/>
  <c r="I27" i="117"/>
  <c r="K27" i="117" s="1"/>
  <c r="I26" i="117"/>
  <c r="K26" i="117" s="1"/>
  <c r="I25" i="117"/>
  <c r="K25" i="117" s="1"/>
  <c r="H25" i="117"/>
  <c r="G25" i="117"/>
  <c r="F25" i="117"/>
  <c r="K24" i="117"/>
  <c r="I24" i="117"/>
  <c r="I23" i="117"/>
  <c r="K23" i="117" s="1"/>
  <c r="H22" i="117"/>
  <c r="I22" i="117" s="1"/>
  <c r="K22" i="117" s="1"/>
  <c r="I21" i="117"/>
  <c r="I36" i="117" s="1"/>
  <c r="I141" i="117" s="1"/>
  <c r="H21" i="117"/>
  <c r="G21" i="117"/>
  <c r="F21" i="117"/>
  <c r="K18" i="117"/>
  <c r="K150" i="117" s="1"/>
  <c r="I152" i="117" l="1"/>
  <c r="J152" i="117"/>
  <c r="F152" i="117"/>
  <c r="H64" i="117"/>
  <c r="H143" i="117" s="1"/>
  <c r="K21" i="117"/>
  <c r="K36" i="117" s="1"/>
  <c r="K141" i="117" s="1"/>
  <c r="H36" i="117"/>
  <c r="H141" i="117" s="1"/>
  <c r="K93" i="117"/>
  <c r="K98" i="117" s="1"/>
  <c r="K146" i="117" s="1"/>
  <c r="K42" i="117"/>
  <c r="K49" i="117" s="1"/>
  <c r="K142" i="117" s="1"/>
  <c r="I98" i="117"/>
  <c r="I146" i="117" s="1"/>
  <c r="H152" i="117" l="1"/>
  <c r="K152" i="117"/>
  <c r="F155" i="117" l="1"/>
  <c r="F154" i="117"/>
  <c r="J150" i="71" l="1"/>
  <c r="I150" i="71"/>
  <c r="H150" i="71"/>
  <c r="H149" i="71"/>
  <c r="K148" i="71"/>
  <c r="G147" i="71"/>
  <c r="G143" i="71"/>
  <c r="J142" i="71"/>
  <c r="I142" i="71"/>
  <c r="F142" i="71"/>
  <c r="H141" i="71"/>
  <c r="G141" i="71"/>
  <c r="J137" i="71"/>
  <c r="J149" i="71" s="1"/>
  <c r="I137" i="71"/>
  <c r="I149" i="71" s="1"/>
  <c r="H137" i="71"/>
  <c r="G137" i="71"/>
  <c r="G149" i="71" s="1"/>
  <c r="F137" i="71"/>
  <c r="F149" i="71" s="1"/>
  <c r="K135" i="71"/>
  <c r="K134" i="71"/>
  <c r="K133" i="71"/>
  <c r="K132" i="71"/>
  <c r="K131" i="71"/>
  <c r="K137" i="71" s="1"/>
  <c r="K149" i="71" s="1"/>
  <c r="J108" i="71"/>
  <c r="J147" i="71" s="1"/>
  <c r="H108" i="71"/>
  <c r="H147" i="71" s="1"/>
  <c r="G108" i="71"/>
  <c r="F108" i="71"/>
  <c r="F147" i="71" s="1"/>
  <c r="I106" i="71"/>
  <c r="K106" i="71" s="1"/>
  <c r="I105" i="71"/>
  <c r="K105" i="71" s="1"/>
  <c r="K104" i="71"/>
  <c r="K103" i="71"/>
  <c r="K102" i="71"/>
  <c r="J98" i="71"/>
  <c r="J146" i="71" s="1"/>
  <c r="H98" i="71"/>
  <c r="H146" i="71" s="1"/>
  <c r="G98" i="71"/>
  <c r="G146" i="71" s="1"/>
  <c r="F98" i="71"/>
  <c r="F146" i="71" s="1"/>
  <c r="K96" i="71"/>
  <c r="I96" i="71"/>
  <c r="I95" i="71"/>
  <c r="K95" i="71" s="1"/>
  <c r="K94" i="71"/>
  <c r="I94" i="71"/>
  <c r="K93" i="71"/>
  <c r="I92" i="71"/>
  <c r="K92" i="71" s="1"/>
  <c r="K91" i="71"/>
  <c r="K90" i="71"/>
  <c r="K89" i="71"/>
  <c r="K88" i="71"/>
  <c r="K87" i="71"/>
  <c r="I86" i="71"/>
  <c r="K86" i="71" s="1"/>
  <c r="K98" i="71" s="1"/>
  <c r="K146" i="71" s="1"/>
  <c r="J82" i="71"/>
  <c r="J145" i="71" s="1"/>
  <c r="I82" i="71"/>
  <c r="I145" i="71" s="1"/>
  <c r="H82" i="71"/>
  <c r="H145" i="71" s="1"/>
  <c r="G82" i="71"/>
  <c r="G145" i="71" s="1"/>
  <c r="F82" i="71"/>
  <c r="F145" i="71" s="1"/>
  <c r="K80" i="71"/>
  <c r="K79" i="71"/>
  <c r="K78" i="71"/>
  <c r="K82" i="71" s="1"/>
  <c r="K145" i="71" s="1"/>
  <c r="K77" i="71"/>
  <c r="J74" i="71"/>
  <c r="J144" i="71" s="1"/>
  <c r="I74" i="71"/>
  <c r="I144" i="71" s="1"/>
  <c r="H74" i="71"/>
  <c r="H144" i="71" s="1"/>
  <c r="G74" i="71"/>
  <c r="G144" i="71" s="1"/>
  <c r="F74" i="71"/>
  <c r="F144" i="71" s="1"/>
  <c r="K72" i="71"/>
  <c r="K71" i="71"/>
  <c r="K70" i="71"/>
  <c r="K69" i="71"/>
  <c r="K68" i="71"/>
  <c r="K74" i="71" s="1"/>
  <c r="K144" i="71" s="1"/>
  <c r="J64" i="71"/>
  <c r="J143" i="71" s="1"/>
  <c r="I64" i="71"/>
  <c r="I143" i="71" s="1"/>
  <c r="H64" i="71"/>
  <c r="H143" i="71" s="1"/>
  <c r="G64" i="71"/>
  <c r="F64" i="71"/>
  <c r="F143" i="71" s="1"/>
  <c r="K62" i="71"/>
  <c r="K61" i="71"/>
  <c r="K60" i="71"/>
  <c r="K59" i="71"/>
  <c r="K58" i="71"/>
  <c r="K57" i="71"/>
  <c r="K56" i="71"/>
  <c r="K55" i="71"/>
  <c r="K54" i="71"/>
  <c r="K53" i="71"/>
  <c r="K64" i="71" s="1"/>
  <c r="K143" i="71" s="1"/>
  <c r="J49" i="71"/>
  <c r="I49" i="71"/>
  <c r="H49" i="71"/>
  <c r="H142" i="71" s="1"/>
  <c r="G49" i="71"/>
  <c r="G142" i="71" s="1"/>
  <c r="F49" i="71"/>
  <c r="K47" i="71"/>
  <c r="K46" i="71"/>
  <c r="K45" i="71"/>
  <c r="K44" i="71"/>
  <c r="K43" i="71"/>
  <c r="K42" i="71"/>
  <c r="K41" i="71"/>
  <c r="K40" i="71"/>
  <c r="K49" i="71" s="1"/>
  <c r="K142" i="71" s="1"/>
  <c r="J36" i="71"/>
  <c r="J141" i="71" s="1"/>
  <c r="J152" i="71" s="1"/>
  <c r="H36" i="71"/>
  <c r="G36" i="71"/>
  <c r="F36" i="71"/>
  <c r="F141" i="71" s="1"/>
  <c r="I34" i="71"/>
  <c r="K34" i="71" s="1"/>
  <c r="I33" i="71"/>
  <c r="K33" i="71" s="1"/>
  <c r="I32" i="71"/>
  <c r="K32" i="71" s="1"/>
  <c r="I31" i="71"/>
  <c r="K31" i="71" s="1"/>
  <c r="I30" i="71"/>
  <c r="K30" i="71" s="1"/>
  <c r="K29" i="71"/>
  <c r="K28" i="71"/>
  <c r="I28" i="71"/>
  <c r="I36" i="71" s="1"/>
  <c r="I141" i="71" s="1"/>
  <c r="K27" i="71"/>
  <c r="K26" i="71"/>
  <c r="K25" i="71"/>
  <c r="K24" i="71"/>
  <c r="K23" i="71"/>
  <c r="K22" i="71"/>
  <c r="K21" i="71"/>
  <c r="K18" i="71"/>
  <c r="K150" i="71" s="1"/>
  <c r="K108" i="71" l="1"/>
  <c r="K147" i="71" s="1"/>
  <c r="H152" i="71"/>
  <c r="K36" i="71"/>
  <c r="K141" i="71" s="1"/>
  <c r="K152" i="71" s="1"/>
  <c r="G152" i="71"/>
  <c r="F152" i="71"/>
  <c r="I98" i="71"/>
  <c r="I146" i="71" s="1"/>
  <c r="I152" i="71" s="1"/>
  <c r="I108" i="71"/>
  <c r="I147" i="71" s="1"/>
  <c r="F155" i="71" l="1"/>
  <c r="F154" i="71"/>
  <c r="J150" i="97" l="1"/>
  <c r="I150" i="97"/>
  <c r="H150" i="97"/>
  <c r="J149" i="97"/>
  <c r="F149" i="97"/>
  <c r="K148" i="97"/>
  <c r="H146" i="97"/>
  <c r="G146" i="97"/>
  <c r="G143" i="97"/>
  <c r="G142" i="97"/>
  <c r="G141" i="97"/>
  <c r="J137" i="97"/>
  <c r="I137" i="97"/>
  <c r="I149" i="97" s="1"/>
  <c r="H137" i="97"/>
  <c r="H149" i="97" s="1"/>
  <c r="G137" i="97"/>
  <c r="G149" i="97" s="1"/>
  <c r="F137" i="97"/>
  <c r="K135" i="97"/>
  <c r="K134" i="97"/>
  <c r="K133" i="97"/>
  <c r="K137" i="97" s="1"/>
  <c r="K149" i="97" s="1"/>
  <c r="K132" i="97"/>
  <c r="K131" i="97"/>
  <c r="F123" i="97"/>
  <c r="F127" i="97" s="1"/>
  <c r="F119" i="97"/>
  <c r="J108" i="97"/>
  <c r="J147" i="97" s="1"/>
  <c r="I108" i="97"/>
  <c r="I147" i="97" s="1"/>
  <c r="H108" i="97"/>
  <c r="H147" i="97" s="1"/>
  <c r="G108" i="97"/>
  <c r="G147" i="97" s="1"/>
  <c r="F108" i="97"/>
  <c r="F147" i="97" s="1"/>
  <c r="K106" i="97"/>
  <c r="I106" i="97"/>
  <c r="I105" i="97"/>
  <c r="K105" i="97" s="1"/>
  <c r="K104" i="97"/>
  <c r="I104" i="97"/>
  <c r="I103" i="97"/>
  <c r="K103" i="97" s="1"/>
  <c r="K102" i="97"/>
  <c r="K108" i="97" s="1"/>
  <c r="K147" i="97" s="1"/>
  <c r="I102" i="97"/>
  <c r="J98" i="97"/>
  <c r="J146" i="97" s="1"/>
  <c r="I98" i="97"/>
  <c r="I146" i="97" s="1"/>
  <c r="H98" i="97"/>
  <c r="G98" i="97"/>
  <c r="F98" i="97"/>
  <c r="F146" i="97" s="1"/>
  <c r="K96" i="97"/>
  <c r="I96" i="97"/>
  <c r="I95" i="97"/>
  <c r="K95" i="97" s="1"/>
  <c r="K94" i="97"/>
  <c r="I94" i="97"/>
  <c r="I93" i="97"/>
  <c r="K93" i="97" s="1"/>
  <c r="K92" i="97"/>
  <c r="I92" i="97"/>
  <c r="I91" i="97"/>
  <c r="K91" i="97" s="1"/>
  <c r="K90" i="97"/>
  <c r="I90" i="97"/>
  <c r="I89" i="97"/>
  <c r="K89" i="97" s="1"/>
  <c r="K88" i="97"/>
  <c r="I88" i="97"/>
  <c r="I87" i="97"/>
  <c r="K87" i="97" s="1"/>
  <c r="K86" i="97"/>
  <c r="I86" i="97"/>
  <c r="J82" i="97"/>
  <c r="J145" i="97" s="1"/>
  <c r="I82" i="97"/>
  <c r="I145" i="97" s="1"/>
  <c r="H82" i="97"/>
  <c r="H145" i="97" s="1"/>
  <c r="G82" i="97"/>
  <c r="G145" i="97" s="1"/>
  <c r="F82" i="97"/>
  <c r="F145" i="97" s="1"/>
  <c r="K80" i="97"/>
  <c r="K79" i="97"/>
  <c r="K78" i="97"/>
  <c r="K77" i="97"/>
  <c r="K82" i="97" s="1"/>
  <c r="K145" i="97" s="1"/>
  <c r="J74" i="97"/>
  <c r="J144" i="97" s="1"/>
  <c r="H74" i="97"/>
  <c r="H144" i="97" s="1"/>
  <c r="G74" i="97"/>
  <c r="G144" i="97" s="1"/>
  <c r="F74" i="97"/>
  <c r="F144" i="97" s="1"/>
  <c r="K72" i="97"/>
  <c r="K71" i="97"/>
  <c r="K70" i="97"/>
  <c r="I69" i="97"/>
  <c r="K69" i="97" s="1"/>
  <c r="I68" i="97"/>
  <c r="K68" i="97" s="1"/>
  <c r="K74" i="97" s="1"/>
  <c r="K144" i="97" s="1"/>
  <c r="J64" i="97"/>
  <c r="J143" i="97" s="1"/>
  <c r="H64" i="97"/>
  <c r="H143" i="97" s="1"/>
  <c r="G64" i="97"/>
  <c r="F64" i="97"/>
  <c r="F143" i="97" s="1"/>
  <c r="K62" i="97"/>
  <c r="K61" i="97"/>
  <c r="K60" i="97"/>
  <c r="K59" i="97"/>
  <c r="K58" i="97"/>
  <c r="K57" i="97"/>
  <c r="I56" i="97"/>
  <c r="K56" i="97" s="1"/>
  <c r="I55" i="97"/>
  <c r="K55" i="97" s="1"/>
  <c r="I54" i="97"/>
  <c r="K54" i="97" s="1"/>
  <c r="I53" i="97"/>
  <c r="I64" i="97" s="1"/>
  <c r="I143" i="97" s="1"/>
  <c r="J49" i="97"/>
  <c r="J142" i="97" s="1"/>
  <c r="H49" i="97"/>
  <c r="H142" i="97" s="1"/>
  <c r="G49" i="97"/>
  <c r="F49" i="97"/>
  <c r="F142" i="97" s="1"/>
  <c r="K47" i="97"/>
  <c r="K46" i="97"/>
  <c r="K45" i="97"/>
  <c r="K44" i="97"/>
  <c r="K43" i="97"/>
  <c r="K42" i="97"/>
  <c r="I42" i="97"/>
  <c r="I41" i="97"/>
  <c r="I49" i="97" s="1"/>
  <c r="I142" i="97" s="1"/>
  <c r="K40" i="97"/>
  <c r="J36" i="97"/>
  <c r="J141" i="97" s="1"/>
  <c r="J152" i="97" s="1"/>
  <c r="H36" i="97"/>
  <c r="H141" i="97" s="1"/>
  <c r="G36" i="97"/>
  <c r="F36" i="97"/>
  <c r="F141" i="97" s="1"/>
  <c r="I34" i="97"/>
  <c r="K34" i="97" s="1"/>
  <c r="I33" i="97"/>
  <c r="K33" i="97" s="1"/>
  <c r="I32" i="97"/>
  <c r="K32" i="97" s="1"/>
  <c r="I31" i="97"/>
  <c r="K31" i="97" s="1"/>
  <c r="I30" i="97"/>
  <c r="K30" i="97" s="1"/>
  <c r="I29" i="97"/>
  <c r="K29" i="97" s="1"/>
  <c r="I28" i="97"/>
  <c r="K28" i="97" s="1"/>
  <c r="I27" i="97"/>
  <c r="K27" i="97" s="1"/>
  <c r="I26" i="97"/>
  <c r="K26" i="97" s="1"/>
  <c r="I25" i="97"/>
  <c r="K25" i="97" s="1"/>
  <c r="I24" i="97"/>
  <c r="K24" i="97" s="1"/>
  <c r="I23" i="97"/>
  <c r="K23" i="97" s="1"/>
  <c r="I22" i="97"/>
  <c r="I36" i="97" s="1"/>
  <c r="I141" i="97" s="1"/>
  <c r="I21" i="97"/>
  <c r="K21" i="97" s="1"/>
  <c r="K18" i="97"/>
  <c r="K150" i="97" s="1"/>
  <c r="I152" i="97" l="1"/>
  <c r="F152" i="97"/>
  <c r="G152" i="97"/>
  <c r="K36" i="97"/>
  <c r="K141" i="97" s="1"/>
  <c r="H152" i="97"/>
  <c r="K98" i="97"/>
  <c r="K146" i="97" s="1"/>
  <c r="K22" i="97"/>
  <c r="K53" i="97"/>
  <c r="K64" i="97" s="1"/>
  <c r="K143" i="97" s="1"/>
  <c r="K41" i="97"/>
  <c r="K49" i="97" s="1"/>
  <c r="K142" i="97" s="1"/>
  <c r="I74" i="97"/>
  <c r="I144" i="97" s="1"/>
  <c r="K152" i="97" l="1"/>
  <c r="F155" i="97" l="1"/>
  <c r="F154" i="97"/>
  <c r="J150" i="70" l="1"/>
  <c r="I150" i="70"/>
  <c r="H150" i="70"/>
  <c r="J149" i="70"/>
  <c r="F149" i="70"/>
  <c r="K148" i="70"/>
  <c r="J147" i="70"/>
  <c r="H146" i="70"/>
  <c r="G146" i="70"/>
  <c r="G144" i="70"/>
  <c r="J143" i="70"/>
  <c r="F143" i="70"/>
  <c r="J141" i="70"/>
  <c r="J137" i="70"/>
  <c r="I137" i="70"/>
  <c r="I149" i="70" s="1"/>
  <c r="H137" i="70"/>
  <c r="H149" i="70" s="1"/>
  <c r="G137" i="70"/>
  <c r="G149" i="70" s="1"/>
  <c r="F137" i="70"/>
  <c r="K135" i="70"/>
  <c r="K134" i="70"/>
  <c r="K133" i="70"/>
  <c r="K137" i="70" s="1"/>
  <c r="K149" i="70" s="1"/>
  <c r="K132" i="70"/>
  <c r="K131" i="70"/>
  <c r="F119" i="70"/>
  <c r="J108" i="70"/>
  <c r="G108" i="70"/>
  <c r="G147" i="70" s="1"/>
  <c r="I106" i="70"/>
  <c r="K106" i="70" s="1"/>
  <c r="K105" i="70"/>
  <c r="I105" i="70"/>
  <c r="I104" i="70"/>
  <c r="K104" i="70" s="1"/>
  <c r="K103" i="70"/>
  <c r="I103" i="70"/>
  <c r="H102" i="70"/>
  <c r="F102" i="70"/>
  <c r="F108" i="70" s="1"/>
  <c r="F147" i="70" s="1"/>
  <c r="J98" i="70"/>
  <c r="J146" i="70" s="1"/>
  <c r="I98" i="70"/>
  <c r="I146" i="70" s="1"/>
  <c r="H98" i="70"/>
  <c r="G98" i="70"/>
  <c r="F98" i="70"/>
  <c r="F146" i="70" s="1"/>
  <c r="K96" i="70"/>
  <c r="I96" i="70"/>
  <c r="I95" i="70"/>
  <c r="K95" i="70" s="1"/>
  <c r="K94" i="70"/>
  <c r="I94" i="70"/>
  <c r="I93" i="70"/>
  <c r="K93" i="70" s="1"/>
  <c r="K92" i="70"/>
  <c r="I92" i="70"/>
  <c r="I91" i="70"/>
  <c r="K91" i="70" s="1"/>
  <c r="K90" i="70"/>
  <c r="I90" i="70"/>
  <c r="I89" i="70"/>
  <c r="K89" i="70" s="1"/>
  <c r="K88" i="70"/>
  <c r="I88" i="70"/>
  <c r="I87" i="70"/>
  <c r="K87" i="70" s="1"/>
  <c r="K86" i="70"/>
  <c r="I86" i="70"/>
  <c r="J82" i="70"/>
  <c r="J145" i="70" s="1"/>
  <c r="G82" i="70"/>
  <c r="G145" i="70" s="1"/>
  <c r="F82" i="70"/>
  <c r="F145" i="70" s="1"/>
  <c r="K80" i="70"/>
  <c r="I80" i="70"/>
  <c r="H79" i="70"/>
  <c r="I78" i="70"/>
  <c r="K78" i="70" s="1"/>
  <c r="K77" i="70"/>
  <c r="J74" i="70"/>
  <c r="J144" i="70" s="1"/>
  <c r="H74" i="70"/>
  <c r="H144" i="70" s="1"/>
  <c r="G74" i="70"/>
  <c r="F74" i="70"/>
  <c r="F144" i="70" s="1"/>
  <c r="I72" i="70"/>
  <c r="K72" i="70" s="1"/>
  <c r="K71" i="70"/>
  <c r="I71" i="70"/>
  <c r="I70" i="70"/>
  <c r="K70" i="70" s="1"/>
  <c r="K69" i="70"/>
  <c r="I69" i="70"/>
  <c r="I68" i="70"/>
  <c r="I74" i="70" s="1"/>
  <c r="I144" i="70" s="1"/>
  <c r="J64" i="70"/>
  <c r="H64" i="70"/>
  <c r="H143" i="70" s="1"/>
  <c r="G64" i="70"/>
  <c r="G143" i="70" s="1"/>
  <c r="F64" i="70"/>
  <c r="I62" i="70"/>
  <c r="K62" i="70" s="1"/>
  <c r="K61" i="70"/>
  <c r="I61" i="70"/>
  <c r="I60" i="70"/>
  <c r="K60" i="70" s="1"/>
  <c r="K59" i="70"/>
  <c r="I59" i="70"/>
  <c r="I58" i="70"/>
  <c r="K58" i="70" s="1"/>
  <c r="K57" i="70"/>
  <c r="I57" i="70"/>
  <c r="I56" i="70"/>
  <c r="K56" i="70" s="1"/>
  <c r="K55" i="70"/>
  <c r="I55" i="70"/>
  <c r="K54" i="70"/>
  <c r="I53" i="70"/>
  <c r="J49" i="70"/>
  <c r="J142" i="70" s="1"/>
  <c r="H49" i="70"/>
  <c r="H142" i="70" s="1"/>
  <c r="I47" i="70"/>
  <c r="K47" i="70" s="1"/>
  <c r="I46" i="70"/>
  <c r="K46" i="70" s="1"/>
  <c r="I45" i="70"/>
  <c r="K45" i="70" s="1"/>
  <c r="I44" i="70"/>
  <c r="K44" i="70" s="1"/>
  <c r="I43" i="70"/>
  <c r="I49" i="70" s="1"/>
  <c r="I142" i="70" s="1"/>
  <c r="I42" i="70"/>
  <c r="K42" i="70" s="1"/>
  <c r="K41" i="70"/>
  <c r="F41" i="70"/>
  <c r="K40" i="70"/>
  <c r="G40" i="70"/>
  <c r="G49" i="70" s="1"/>
  <c r="G142" i="70" s="1"/>
  <c r="F40" i="70"/>
  <c r="J36" i="70"/>
  <c r="I34" i="70"/>
  <c r="K34" i="70" s="1"/>
  <c r="K33" i="70"/>
  <c r="I33" i="70"/>
  <c r="I32" i="70"/>
  <c r="K32" i="70" s="1"/>
  <c r="K31" i="70"/>
  <c r="I31" i="70"/>
  <c r="I30" i="70"/>
  <c r="K30" i="70" s="1"/>
  <c r="H29" i="70"/>
  <c r="I29" i="70" s="1"/>
  <c r="K29" i="70" s="1"/>
  <c r="G29" i="70"/>
  <c r="G36" i="70" s="1"/>
  <c r="G141" i="70" s="1"/>
  <c r="K28" i="70"/>
  <c r="I28" i="70"/>
  <c r="I27" i="70"/>
  <c r="K27" i="70" s="1"/>
  <c r="K26" i="70"/>
  <c r="I26" i="70"/>
  <c r="I25" i="70"/>
  <c r="K25" i="70" s="1"/>
  <c r="K24" i="70"/>
  <c r="I24" i="70"/>
  <c r="I23" i="70"/>
  <c r="K23" i="70" s="1"/>
  <c r="K22" i="70"/>
  <c r="I22" i="70"/>
  <c r="I21" i="70"/>
  <c r="I36" i="70" s="1"/>
  <c r="I141" i="70" s="1"/>
  <c r="H21" i="70"/>
  <c r="G21" i="70"/>
  <c r="F21" i="70"/>
  <c r="F36" i="70" s="1"/>
  <c r="F141" i="70" s="1"/>
  <c r="K18" i="70"/>
  <c r="K150" i="70" s="1"/>
  <c r="G152" i="70" l="1"/>
  <c r="I64" i="70"/>
  <c r="I143" i="70" s="1"/>
  <c r="K53" i="70"/>
  <c r="K64" i="70" s="1"/>
  <c r="K143" i="70" s="1"/>
  <c r="F152" i="70"/>
  <c r="K43" i="70"/>
  <c r="K49" i="70" s="1"/>
  <c r="K142" i="70" s="1"/>
  <c r="H82" i="70"/>
  <c r="H145" i="70" s="1"/>
  <c r="I79" i="70"/>
  <c r="I82" i="70" s="1"/>
  <c r="I145" i="70" s="1"/>
  <c r="I152" i="70" s="1"/>
  <c r="K98" i="70"/>
  <c r="K146" i="70" s="1"/>
  <c r="F49" i="70"/>
  <c r="F142" i="70" s="1"/>
  <c r="J152" i="70"/>
  <c r="K21" i="70"/>
  <c r="K36" i="70" s="1"/>
  <c r="K141" i="70" s="1"/>
  <c r="H36" i="70"/>
  <c r="H141" i="70" s="1"/>
  <c r="K102" i="70"/>
  <c r="K108" i="70" s="1"/>
  <c r="K147" i="70" s="1"/>
  <c r="H108" i="70"/>
  <c r="H147" i="70" s="1"/>
  <c r="I102" i="70"/>
  <c r="I108" i="70" s="1"/>
  <c r="I147" i="70" s="1"/>
  <c r="K68" i="70"/>
  <c r="K74" i="70" s="1"/>
  <c r="K144" i="70" s="1"/>
  <c r="K79" i="70" l="1"/>
  <c r="K82" i="70" s="1"/>
  <c r="K145" i="70" s="1"/>
  <c r="K152" i="70" s="1"/>
  <c r="H152" i="70"/>
  <c r="F154" i="70" l="1"/>
  <c r="F155" i="70"/>
  <c r="J150" i="95" l="1"/>
  <c r="I150" i="95"/>
  <c r="H150" i="95"/>
  <c r="H149" i="95"/>
  <c r="K148" i="95"/>
  <c r="H147" i="95"/>
  <c r="G147" i="95"/>
  <c r="H145" i="95"/>
  <c r="G145" i="95"/>
  <c r="J144" i="95"/>
  <c r="I144" i="95"/>
  <c r="F144" i="95"/>
  <c r="H143" i="95"/>
  <c r="G143" i="95"/>
  <c r="G141" i="95"/>
  <c r="J137" i="95"/>
  <c r="J149" i="95" s="1"/>
  <c r="I137" i="95"/>
  <c r="I149" i="95" s="1"/>
  <c r="H137" i="95"/>
  <c r="G137" i="95"/>
  <c r="G149" i="95" s="1"/>
  <c r="F137" i="95"/>
  <c r="F149" i="95" s="1"/>
  <c r="K135" i="95"/>
  <c r="K134" i="95"/>
  <c r="K133" i="95"/>
  <c r="K132" i="95"/>
  <c r="K131" i="95"/>
  <c r="K137" i="95" s="1"/>
  <c r="K149" i="95" s="1"/>
  <c r="F119" i="95"/>
  <c r="J108" i="95"/>
  <c r="J147" i="95" s="1"/>
  <c r="I108" i="95"/>
  <c r="I147" i="95" s="1"/>
  <c r="H108" i="95"/>
  <c r="G108" i="95"/>
  <c r="F108" i="95"/>
  <c r="F147" i="95" s="1"/>
  <c r="K106" i="95"/>
  <c r="I106" i="95"/>
  <c r="I105" i="95"/>
  <c r="K105" i="95" s="1"/>
  <c r="K104" i="95"/>
  <c r="I104" i="95"/>
  <c r="I103" i="95"/>
  <c r="K103" i="95" s="1"/>
  <c r="K102" i="95"/>
  <c r="K108" i="95" s="1"/>
  <c r="K147" i="95" s="1"/>
  <c r="I102" i="95"/>
  <c r="J98" i="95"/>
  <c r="J146" i="95" s="1"/>
  <c r="I98" i="95"/>
  <c r="I146" i="95" s="1"/>
  <c r="H98" i="95"/>
  <c r="H146" i="95" s="1"/>
  <c r="G98" i="95"/>
  <c r="G146" i="95" s="1"/>
  <c r="F98" i="95"/>
  <c r="F146" i="95" s="1"/>
  <c r="K96" i="95"/>
  <c r="I96" i="95"/>
  <c r="I95" i="95"/>
  <c r="K95" i="95" s="1"/>
  <c r="K94" i="95"/>
  <c r="I94" i="95"/>
  <c r="I93" i="95"/>
  <c r="K93" i="95" s="1"/>
  <c r="K92" i="95"/>
  <c r="I92" i="95"/>
  <c r="I91" i="95"/>
  <c r="K91" i="95" s="1"/>
  <c r="K90" i="95"/>
  <c r="I90" i="95"/>
  <c r="I89" i="95"/>
  <c r="K89" i="95" s="1"/>
  <c r="K88" i="95"/>
  <c r="I88" i="95"/>
  <c r="I87" i="95"/>
  <c r="K87" i="95" s="1"/>
  <c r="K86" i="95"/>
  <c r="K98" i="95" s="1"/>
  <c r="K146" i="95" s="1"/>
  <c r="I86" i="95"/>
  <c r="J82" i="95"/>
  <c r="J145" i="95" s="1"/>
  <c r="I82" i="95"/>
  <c r="I145" i="95" s="1"/>
  <c r="H82" i="95"/>
  <c r="G82" i="95"/>
  <c r="F82" i="95"/>
  <c r="F145" i="95" s="1"/>
  <c r="K80" i="95"/>
  <c r="K79" i="95"/>
  <c r="K78" i="95"/>
  <c r="K77" i="95"/>
  <c r="K82" i="95" s="1"/>
  <c r="K145" i="95" s="1"/>
  <c r="J74" i="95"/>
  <c r="I74" i="95"/>
  <c r="H74" i="95"/>
  <c r="H144" i="95" s="1"/>
  <c r="G74" i="95"/>
  <c r="G144" i="95" s="1"/>
  <c r="F74" i="95"/>
  <c r="K72" i="95"/>
  <c r="K71" i="95"/>
  <c r="K70" i="95"/>
  <c r="K74" i="95" s="1"/>
  <c r="K144" i="95" s="1"/>
  <c r="K69" i="95"/>
  <c r="K68" i="95"/>
  <c r="J64" i="95"/>
  <c r="J143" i="95" s="1"/>
  <c r="I64" i="95"/>
  <c r="I143" i="95" s="1"/>
  <c r="H64" i="95"/>
  <c r="G64" i="95"/>
  <c r="F64" i="95"/>
  <c r="F143" i="95" s="1"/>
  <c r="K62" i="95"/>
  <c r="K61" i="95"/>
  <c r="K60" i="95"/>
  <c r="K59" i="95"/>
  <c r="K58" i="95"/>
  <c r="K57" i="95"/>
  <c r="K56" i="95"/>
  <c r="K55" i="95"/>
  <c r="K64" i="95" s="1"/>
  <c r="K143" i="95" s="1"/>
  <c r="K54" i="95"/>
  <c r="K53" i="95"/>
  <c r="J49" i="95"/>
  <c r="J142" i="95" s="1"/>
  <c r="H49" i="95"/>
  <c r="H142" i="95" s="1"/>
  <c r="G49" i="95"/>
  <c r="G142" i="95" s="1"/>
  <c r="F49" i="95"/>
  <c r="F142" i="95" s="1"/>
  <c r="K47" i="95"/>
  <c r="I47" i="95"/>
  <c r="I46" i="95"/>
  <c r="K46" i="95" s="1"/>
  <c r="K45" i="95"/>
  <c r="I45" i="95"/>
  <c r="I44" i="95"/>
  <c r="K44" i="95" s="1"/>
  <c r="K43" i="95"/>
  <c r="I43" i="95"/>
  <c r="I42" i="95"/>
  <c r="K42" i="95" s="1"/>
  <c r="K41" i="95"/>
  <c r="I41" i="95"/>
  <c r="I40" i="95"/>
  <c r="I49" i="95" s="1"/>
  <c r="I142" i="95" s="1"/>
  <c r="J36" i="95"/>
  <c r="J141" i="95" s="1"/>
  <c r="J152" i="95" s="1"/>
  <c r="H36" i="95"/>
  <c r="H141" i="95" s="1"/>
  <c r="H152" i="95" s="1"/>
  <c r="G36" i="95"/>
  <c r="F36" i="95"/>
  <c r="F141" i="95" s="1"/>
  <c r="I34" i="95"/>
  <c r="K34" i="95" s="1"/>
  <c r="I33" i="95"/>
  <c r="K33" i="95" s="1"/>
  <c r="I32" i="95"/>
  <c r="K32" i="95" s="1"/>
  <c r="I31" i="95"/>
  <c r="K31" i="95" s="1"/>
  <c r="I30" i="95"/>
  <c r="K30" i="95" s="1"/>
  <c r="I29" i="95"/>
  <c r="K29" i="95" s="1"/>
  <c r="I28" i="95"/>
  <c r="K28" i="95" s="1"/>
  <c r="I27" i="95"/>
  <c r="K27" i="95" s="1"/>
  <c r="I26" i="95"/>
  <c r="K26" i="95" s="1"/>
  <c r="I25" i="95"/>
  <c r="K25" i="95" s="1"/>
  <c r="I24" i="95"/>
  <c r="K24" i="95" s="1"/>
  <c r="I23" i="95"/>
  <c r="K23" i="95" s="1"/>
  <c r="I22" i="95"/>
  <c r="I36" i="95" s="1"/>
  <c r="I141" i="95" s="1"/>
  <c r="I152" i="95" s="1"/>
  <c r="I21" i="95"/>
  <c r="K21" i="95" s="1"/>
  <c r="K18" i="95"/>
  <c r="K150" i="95" s="1"/>
  <c r="F152" i="95" l="1"/>
  <c r="G152" i="95"/>
  <c r="K22" i="95"/>
  <c r="K36" i="95" s="1"/>
  <c r="K141" i="95" s="1"/>
  <c r="K152" i="95" s="1"/>
  <c r="K40" i="95"/>
  <c r="K49" i="95" s="1"/>
  <c r="K142" i="95" s="1"/>
  <c r="F155" i="95" l="1"/>
  <c r="F154" i="95"/>
  <c r="J150" i="93" l="1"/>
  <c r="I150" i="93"/>
  <c r="H150" i="93"/>
  <c r="H149" i="93"/>
  <c r="K148" i="93"/>
  <c r="G147" i="93"/>
  <c r="G143" i="93"/>
  <c r="I142" i="93"/>
  <c r="G141" i="93"/>
  <c r="J137" i="93"/>
  <c r="J149" i="93" s="1"/>
  <c r="I137" i="93"/>
  <c r="I149" i="93" s="1"/>
  <c r="H137" i="93"/>
  <c r="G137" i="93"/>
  <c r="G149" i="93" s="1"/>
  <c r="F137" i="93"/>
  <c r="F149" i="93" s="1"/>
  <c r="K135" i="93"/>
  <c r="K134" i="93"/>
  <c r="K133" i="93"/>
  <c r="K132" i="93"/>
  <c r="K131" i="93"/>
  <c r="K137" i="93" s="1"/>
  <c r="K149" i="93" s="1"/>
  <c r="F119" i="93"/>
  <c r="J108" i="93"/>
  <c r="J147" i="93" s="1"/>
  <c r="I108" i="93"/>
  <c r="I147" i="93" s="1"/>
  <c r="H108" i="93"/>
  <c r="H147" i="93" s="1"/>
  <c r="G108" i="93"/>
  <c r="F108" i="93"/>
  <c r="F147" i="93" s="1"/>
  <c r="K106" i="93"/>
  <c r="I106" i="93"/>
  <c r="I105" i="93"/>
  <c r="K105" i="93" s="1"/>
  <c r="K104" i="93"/>
  <c r="I104" i="93"/>
  <c r="I103" i="93"/>
  <c r="K103" i="93" s="1"/>
  <c r="K102" i="93"/>
  <c r="K108" i="93" s="1"/>
  <c r="K147" i="93" s="1"/>
  <c r="J98" i="93"/>
  <c r="J146" i="93" s="1"/>
  <c r="H98" i="93"/>
  <c r="H146" i="93" s="1"/>
  <c r="G98" i="93"/>
  <c r="G146" i="93" s="1"/>
  <c r="F98" i="93"/>
  <c r="F146" i="93" s="1"/>
  <c r="I96" i="93"/>
  <c r="K96" i="93" s="1"/>
  <c r="K95" i="93"/>
  <c r="I95" i="93"/>
  <c r="I94" i="93"/>
  <c r="K94" i="93" s="1"/>
  <c r="K93" i="93"/>
  <c r="I93" i="93"/>
  <c r="I92" i="93"/>
  <c r="K92" i="93" s="1"/>
  <c r="K91" i="93"/>
  <c r="I90" i="93"/>
  <c r="K90" i="93" s="1"/>
  <c r="K89" i="93"/>
  <c r="I89" i="93"/>
  <c r="I88" i="93"/>
  <c r="K88" i="93" s="1"/>
  <c r="K87" i="93"/>
  <c r="I87" i="93"/>
  <c r="I86" i="93"/>
  <c r="K86" i="93" s="1"/>
  <c r="J82" i="93"/>
  <c r="J145" i="93" s="1"/>
  <c r="I82" i="93"/>
  <c r="I145" i="93" s="1"/>
  <c r="H82" i="93"/>
  <c r="H145" i="93" s="1"/>
  <c r="G82" i="93"/>
  <c r="G145" i="93" s="1"/>
  <c r="F82" i="93"/>
  <c r="F145" i="93" s="1"/>
  <c r="K80" i="93"/>
  <c r="K79" i="93"/>
  <c r="K78" i="93"/>
  <c r="K82" i="93" s="1"/>
  <c r="K145" i="93" s="1"/>
  <c r="K77" i="93"/>
  <c r="J74" i="93"/>
  <c r="J144" i="93" s="1"/>
  <c r="I74" i="93"/>
  <c r="I144" i="93" s="1"/>
  <c r="H74" i="93"/>
  <c r="H144" i="93" s="1"/>
  <c r="G74" i="93"/>
  <c r="G144" i="93" s="1"/>
  <c r="F74" i="93"/>
  <c r="F144" i="93" s="1"/>
  <c r="K72" i="93"/>
  <c r="K71" i="93"/>
  <c r="K70" i="93"/>
  <c r="K69" i="93"/>
  <c r="K68" i="93"/>
  <c r="K74" i="93" s="1"/>
  <c r="K144" i="93" s="1"/>
  <c r="J64" i="93"/>
  <c r="J143" i="93" s="1"/>
  <c r="I64" i="93"/>
  <c r="I143" i="93" s="1"/>
  <c r="H64" i="93"/>
  <c r="H143" i="93" s="1"/>
  <c r="G64" i="93"/>
  <c r="F64" i="93"/>
  <c r="F143" i="93" s="1"/>
  <c r="K62" i="93"/>
  <c r="K61" i="93"/>
  <c r="K60" i="93"/>
  <c r="K59" i="93"/>
  <c r="K58" i="93"/>
  <c r="K57" i="93"/>
  <c r="K56" i="93"/>
  <c r="K55" i="93"/>
  <c r="K54" i="93"/>
  <c r="K53" i="93"/>
  <c r="K64" i="93" s="1"/>
  <c r="K143" i="93" s="1"/>
  <c r="J49" i="93"/>
  <c r="J142" i="93" s="1"/>
  <c r="I49" i="93"/>
  <c r="H49" i="93"/>
  <c r="H142" i="93" s="1"/>
  <c r="G49" i="93"/>
  <c r="G142" i="93" s="1"/>
  <c r="F49" i="93"/>
  <c r="F142" i="93" s="1"/>
  <c r="K47" i="93"/>
  <c r="K46" i="93"/>
  <c r="K45" i="93"/>
  <c r="K44" i="93"/>
  <c r="K43" i="93"/>
  <c r="K42" i="93"/>
  <c r="K41" i="93"/>
  <c r="K40" i="93"/>
  <c r="K49" i="93" s="1"/>
  <c r="K142" i="93" s="1"/>
  <c r="J36" i="93"/>
  <c r="J141" i="93" s="1"/>
  <c r="H36" i="93"/>
  <c r="H141" i="93" s="1"/>
  <c r="H152" i="93" s="1"/>
  <c r="G36" i="93"/>
  <c r="F36" i="93"/>
  <c r="F141" i="93" s="1"/>
  <c r="I34" i="93"/>
  <c r="K34" i="93" s="1"/>
  <c r="I33" i="93"/>
  <c r="K33" i="93" s="1"/>
  <c r="I32" i="93"/>
  <c r="K32" i="93" s="1"/>
  <c r="K31" i="93"/>
  <c r="K30" i="93"/>
  <c r="I30" i="93"/>
  <c r="K29" i="93"/>
  <c r="I28" i="93"/>
  <c r="K28" i="93" s="1"/>
  <c r="I27" i="93"/>
  <c r="K27" i="93" s="1"/>
  <c r="I26" i="93"/>
  <c r="K26" i="93" s="1"/>
  <c r="I25" i="93"/>
  <c r="K25" i="93" s="1"/>
  <c r="I24" i="93"/>
  <c r="K24" i="93" s="1"/>
  <c r="I23" i="93"/>
  <c r="K23" i="93" s="1"/>
  <c r="I22" i="93"/>
  <c r="K22" i="93" s="1"/>
  <c r="I21" i="93"/>
  <c r="I36" i="93" s="1"/>
  <c r="I141" i="93" s="1"/>
  <c r="K18" i="93"/>
  <c r="K150" i="93" s="1"/>
  <c r="K98" i="93" l="1"/>
  <c r="K146" i="93" s="1"/>
  <c r="F152" i="93"/>
  <c r="J152" i="93"/>
  <c r="I152" i="93"/>
  <c r="G152" i="93"/>
  <c r="I98" i="93"/>
  <c r="I146" i="93" s="1"/>
  <c r="K21" i="93"/>
  <c r="K36" i="93" s="1"/>
  <c r="K141" i="93" s="1"/>
  <c r="K152" i="93" s="1"/>
  <c r="F155" i="93" l="1"/>
  <c r="F154" i="93"/>
  <c r="H149" i="92" l="1"/>
  <c r="K148" i="92"/>
  <c r="H147" i="92"/>
  <c r="G147" i="92"/>
  <c r="G143" i="92"/>
  <c r="J142" i="92"/>
  <c r="I142" i="92"/>
  <c r="G142" i="92"/>
  <c r="F142" i="92"/>
  <c r="H141" i="92"/>
  <c r="G141" i="92"/>
  <c r="J137" i="92"/>
  <c r="J149" i="92" s="1"/>
  <c r="I137" i="92"/>
  <c r="I149" i="92" s="1"/>
  <c r="H137" i="92"/>
  <c r="G137" i="92"/>
  <c r="G149" i="92" s="1"/>
  <c r="F137" i="92"/>
  <c r="F149" i="92" s="1"/>
  <c r="K135" i="92"/>
  <c r="K134" i="92"/>
  <c r="K133" i="92"/>
  <c r="K132" i="92"/>
  <c r="K131" i="92"/>
  <c r="K137" i="92" s="1"/>
  <c r="K149" i="92" s="1"/>
  <c r="F119" i="92"/>
  <c r="J108" i="92"/>
  <c r="J147" i="92" s="1"/>
  <c r="I108" i="92"/>
  <c r="I147" i="92" s="1"/>
  <c r="H108" i="92"/>
  <c r="G108" i="92"/>
  <c r="F108" i="92"/>
  <c r="F147" i="92" s="1"/>
  <c r="K106" i="92"/>
  <c r="I106" i="92"/>
  <c r="I105" i="92"/>
  <c r="K105" i="92" s="1"/>
  <c r="K104" i="92"/>
  <c r="K103" i="92"/>
  <c r="K102" i="92"/>
  <c r="K108" i="92" s="1"/>
  <c r="K147" i="92" s="1"/>
  <c r="J98" i="92"/>
  <c r="J146" i="92" s="1"/>
  <c r="H98" i="92"/>
  <c r="H146" i="92" s="1"/>
  <c r="G98" i="92"/>
  <c r="G146" i="92" s="1"/>
  <c r="F98" i="92"/>
  <c r="F146" i="92" s="1"/>
  <c r="I96" i="92"/>
  <c r="K96" i="92" s="1"/>
  <c r="I95" i="92"/>
  <c r="K95" i="92" s="1"/>
  <c r="I94" i="92"/>
  <c r="K94" i="92" s="1"/>
  <c r="I93" i="92"/>
  <c r="K93" i="92" s="1"/>
  <c r="I92" i="92"/>
  <c r="K92" i="92" s="1"/>
  <c r="I91" i="92"/>
  <c r="K91" i="92" s="1"/>
  <c r="K90" i="92"/>
  <c r="I89" i="92"/>
  <c r="K89" i="92" s="1"/>
  <c r="K88" i="92"/>
  <c r="K87" i="92"/>
  <c r="I86" i="92"/>
  <c r="I98" i="92" s="1"/>
  <c r="I146" i="92" s="1"/>
  <c r="J82" i="92"/>
  <c r="J145" i="92" s="1"/>
  <c r="I82" i="92"/>
  <c r="I145" i="92" s="1"/>
  <c r="H82" i="92"/>
  <c r="H145" i="92" s="1"/>
  <c r="G82" i="92"/>
  <c r="G145" i="92" s="1"/>
  <c r="F82" i="92"/>
  <c r="F145" i="92" s="1"/>
  <c r="K80" i="92"/>
  <c r="K79" i="92"/>
  <c r="K78" i="92"/>
  <c r="K82" i="92" s="1"/>
  <c r="K145" i="92" s="1"/>
  <c r="K77" i="92"/>
  <c r="J74" i="92"/>
  <c r="J144" i="92" s="1"/>
  <c r="I74" i="92"/>
  <c r="I144" i="92" s="1"/>
  <c r="H74" i="92"/>
  <c r="H144" i="92" s="1"/>
  <c r="G74" i="92"/>
  <c r="G144" i="92" s="1"/>
  <c r="F74" i="92"/>
  <c r="F144" i="92" s="1"/>
  <c r="K72" i="92"/>
  <c r="K71" i="92"/>
  <c r="K70" i="92"/>
  <c r="K69" i="92"/>
  <c r="K68" i="92"/>
  <c r="K74" i="92" s="1"/>
  <c r="K144" i="92" s="1"/>
  <c r="J64" i="92"/>
  <c r="J143" i="92" s="1"/>
  <c r="I64" i="92"/>
  <c r="I143" i="92" s="1"/>
  <c r="H64" i="92"/>
  <c r="H143" i="92" s="1"/>
  <c r="G64" i="92"/>
  <c r="F64" i="92"/>
  <c r="F143" i="92" s="1"/>
  <c r="K62" i="92"/>
  <c r="K61" i="92"/>
  <c r="K60" i="92"/>
  <c r="K59" i="92"/>
  <c r="K58" i="92"/>
  <c r="K57" i="92"/>
  <c r="K56" i="92"/>
  <c r="K55" i="92"/>
  <c r="K54" i="92"/>
  <c r="K53" i="92"/>
  <c r="K64" i="92" s="1"/>
  <c r="K143" i="92" s="1"/>
  <c r="J49" i="92"/>
  <c r="I49" i="92"/>
  <c r="H49" i="92"/>
  <c r="H142" i="92" s="1"/>
  <c r="G49" i="92"/>
  <c r="F49" i="92"/>
  <c r="K47" i="92"/>
  <c r="K46" i="92"/>
  <c r="K45" i="92"/>
  <c r="K44" i="92"/>
  <c r="K43" i="92"/>
  <c r="K42" i="92"/>
  <c r="K41" i="92"/>
  <c r="K40" i="92"/>
  <c r="K49" i="92" s="1"/>
  <c r="K142" i="92" s="1"/>
  <c r="J36" i="92"/>
  <c r="J141" i="92" s="1"/>
  <c r="H36" i="92"/>
  <c r="G36" i="92"/>
  <c r="F36" i="92"/>
  <c r="F141" i="92" s="1"/>
  <c r="I34" i="92"/>
  <c r="K34" i="92" s="1"/>
  <c r="I33" i="92"/>
  <c r="K33" i="92" s="1"/>
  <c r="I32" i="92"/>
  <c r="K32" i="92" s="1"/>
  <c r="I31" i="92"/>
  <c r="K31" i="92" s="1"/>
  <c r="K30" i="92"/>
  <c r="K29" i="92"/>
  <c r="I28" i="92"/>
  <c r="K28" i="92" s="1"/>
  <c r="I27" i="92"/>
  <c r="K27" i="92" s="1"/>
  <c r="I26" i="92"/>
  <c r="K26" i="92" s="1"/>
  <c r="I25" i="92"/>
  <c r="K25" i="92" s="1"/>
  <c r="K24" i="92"/>
  <c r="K23" i="92"/>
  <c r="I23" i="92"/>
  <c r="I22" i="92"/>
  <c r="I36" i="92" s="1"/>
  <c r="I141" i="92" s="1"/>
  <c r="I152" i="92" s="1"/>
  <c r="K21" i="92"/>
  <c r="K18" i="92"/>
  <c r="J152" i="92" l="1"/>
  <c r="F152" i="92"/>
  <c r="G152" i="92"/>
  <c r="K36" i="92"/>
  <c r="K141" i="92" s="1"/>
  <c r="K152" i="92" s="1"/>
  <c r="H152" i="92"/>
  <c r="K22" i="92"/>
  <c r="K86" i="92"/>
  <c r="K98" i="92" s="1"/>
  <c r="K146" i="92" s="1"/>
  <c r="F155" i="92" l="1"/>
  <c r="F154" i="92"/>
  <c r="F155" i="124" l="1"/>
  <c r="F154" i="124"/>
  <c r="J150" i="89" l="1"/>
  <c r="I150" i="89"/>
  <c r="H150" i="89"/>
  <c r="H149" i="89"/>
  <c r="K148" i="89"/>
  <c r="G147" i="89"/>
  <c r="G145" i="89"/>
  <c r="I144" i="89"/>
  <c r="G143" i="89"/>
  <c r="I142" i="89"/>
  <c r="G141" i="89"/>
  <c r="J137" i="89"/>
  <c r="J149" i="89" s="1"/>
  <c r="I137" i="89"/>
  <c r="I149" i="89" s="1"/>
  <c r="H137" i="89"/>
  <c r="G137" i="89"/>
  <c r="G149" i="89" s="1"/>
  <c r="F137" i="89"/>
  <c r="F149" i="89" s="1"/>
  <c r="K135" i="89"/>
  <c r="K134" i="89"/>
  <c r="K133" i="89"/>
  <c r="K132" i="89"/>
  <c r="K131" i="89"/>
  <c r="K137" i="89" s="1"/>
  <c r="K149" i="89" s="1"/>
  <c r="F119" i="89"/>
  <c r="J108" i="89"/>
  <c r="J147" i="89" s="1"/>
  <c r="I108" i="89"/>
  <c r="I147" i="89" s="1"/>
  <c r="H108" i="89"/>
  <c r="H147" i="89" s="1"/>
  <c r="G108" i="89"/>
  <c r="F108" i="89"/>
  <c r="F147" i="89" s="1"/>
  <c r="K106" i="89"/>
  <c r="I106" i="89"/>
  <c r="I105" i="89"/>
  <c r="K105" i="89" s="1"/>
  <c r="K104" i="89"/>
  <c r="I104" i="89"/>
  <c r="I103" i="89"/>
  <c r="K103" i="89" s="1"/>
  <c r="K102" i="89"/>
  <c r="I102" i="89"/>
  <c r="J98" i="89"/>
  <c r="J146" i="89" s="1"/>
  <c r="I98" i="89"/>
  <c r="I146" i="89" s="1"/>
  <c r="H98" i="89"/>
  <c r="H146" i="89" s="1"/>
  <c r="G98" i="89"/>
  <c r="G146" i="89" s="1"/>
  <c r="F98" i="89"/>
  <c r="F146" i="89" s="1"/>
  <c r="K96" i="89"/>
  <c r="I96" i="89"/>
  <c r="I95" i="89"/>
  <c r="K95" i="89" s="1"/>
  <c r="K94" i="89"/>
  <c r="I94" i="89"/>
  <c r="I93" i="89"/>
  <c r="K93" i="89" s="1"/>
  <c r="K92" i="89"/>
  <c r="I92" i="89"/>
  <c r="I91" i="89"/>
  <c r="K91" i="89" s="1"/>
  <c r="K90" i="89"/>
  <c r="I90" i="89"/>
  <c r="I89" i="89"/>
  <c r="K89" i="89" s="1"/>
  <c r="K88" i="89"/>
  <c r="I88" i="89"/>
  <c r="I87" i="89"/>
  <c r="K87" i="89" s="1"/>
  <c r="K86" i="89"/>
  <c r="K98" i="89" s="1"/>
  <c r="K146" i="89" s="1"/>
  <c r="I86" i="89"/>
  <c r="J82" i="89"/>
  <c r="J145" i="89" s="1"/>
  <c r="I82" i="89"/>
  <c r="I145" i="89" s="1"/>
  <c r="H82" i="89"/>
  <c r="H145" i="89" s="1"/>
  <c r="G82" i="89"/>
  <c r="F82" i="89"/>
  <c r="F145" i="89" s="1"/>
  <c r="K80" i="89"/>
  <c r="K79" i="89"/>
  <c r="K78" i="89"/>
  <c r="K77" i="89"/>
  <c r="K82" i="89" s="1"/>
  <c r="K145" i="89" s="1"/>
  <c r="J74" i="89"/>
  <c r="J144" i="89" s="1"/>
  <c r="I74" i="89"/>
  <c r="H74" i="89"/>
  <c r="H144" i="89" s="1"/>
  <c r="G74" i="89"/>
  <c r="G144" i="89" s="1"/>
  <c r="F74" i="89"/>
  <c r="F144" i="89" s="1"/>
  <c r="K72" i="89"/>
  <c r="K71" i="89"/>
  <c r="K70" i="89"/>
  <c r="K74" i="89" s="1"/>
  <c r="K144" i="89" s="1"/>
  <c r="K69" i="89"/>
  <c r="K68" i="89"/>
  <c r="J64" i="89"/>
  <c r="J143" i="89" s="1"/>
  <c r="H64" i="89"/>
  <c r="H143" i="89" s="1"/>
  <c r="G64" i="89"/>
  <c r="F64" i="89"/>
  <c r="F143" i="89" s="1"/>
  <c r="K61" i="89"/>
  <c r="K60" i="89"/>
  <c r="K59" i="89"/>
  <c r="K58" i="89"/>
  <c r="K57" i="89"/>
  <c r="K56" i="89"/>
  <c r="K55" i="89"/>
  <c r="K54" i="89"/>
  <c r="I53" i="89"/>
  <c r="I64" i="89" s="1"/>
  <c r="I143" i="89" s="1"/>
  <c r="J49" i="89"/>
  <c r="J142" i="89" s="1"/>
  <c r="I49" i="89"/>
  <c r="H49" i="89"/>
  <c r="H142" i="89" s="1"/>
  <c r="G49" i="89"/>
  <c r="G142" i="89" s="1"/>
  <c r="F49" i="89"/>
  <c r="F142" i="89" s="1"/>
  <c r="K47" i="89"/>
  <c r="K46" i="89"/>
  <c r="K45" i="89"/>
  <c r="K44" i="89"/>
  <c r="K43" i="89"/>
  <c r="K42" i="89"/>
  <c r="K41" i="89"/>
  <c r="K40" i="89"/>
  <c r="K49" i="89" s="1"/>
  <c r="K142" i="89" s="1"/>
  <c r="J36" i="89"/>
  <c r="J141" i="89" s="1"/>
  <c r="H36" i="89"/>
  <c r="H141" i="89" s="1"/>
  <c r="H152" i="89" s="1"/>
  <c r="G36" i="89"/>
  <c r="F36" i="89"/>
  <c r="F141" i="89" s="1"/>
  <c r="I34" i="89"/>
  <c r="K34" i="89" s="1"/>
  <c r="I33" i="89"/>
  <c r="K33" i="89" s="1"/>
  <c r="I32" i="89"/>
  <c r="K32" i="89" s="1"/>
  <c r="I31" i="89"/>
  <c r="K31" i="89" s="1"/>
  <c r="K30" i="89"/>
  <c r="K29" i="89"/>
  <c r="I29" i="89"/>
  <c r="I28" i="89"/>
  <c r="K28" i="89" s="1"/>
  <c r="K27" i="89"/>
  <c r="I27" i="89"/>
  <c r="I26" i="89"/>
  <c r="K26" i="89" s="1"/>
  <c r="K25" i="89"/>
  <c r="I25" i="89"/>
  <c r="I24" i="89"/>
  <c r="K24" i="89" s="1"/>
  <c r="K23" i="89"/>
  <c r="I23" i="89"/>
  <c r="I22" i="89"/>
  <c r="K22" i="89" s="1"/>
  <c r="K21" i="89"/>
  <c r="K36" i="89" s="1"/>
  <c r="K141" i="89" s="1"/>
  <c r="I21" i="89"/>
  <c r="I36" i="89" s="1"/>
  <c r="I141" i="89" s="1"/>
  <c r="I152" i="89" s="1"/>
  <c r="K18" i="89"/>
  <c r="K150" i="89" s="1"/>
  <c r="J152" i="89" l="1"/>
  <c r="G152" i="89"/>
  <c r="F152" i="89"/>
  <c r="K108" i="89"/>
  <c r="K147" i="89" s="1"/>
  <c r="K53" i="89"/>
  <c r="K64" i="89" s="1"/>
  <c r="K143" i="89" s="1"/>
  <c r="K152" i="89" s="1"/>
  <c r="F155" i="89" l="1"/>
  <c r="F154" i="89"/>
  <c r="C7" i="88" l="1"/>
  <c r="K150" i="123" l="1"/>
  <c r="J150" i="123"/>
  <c r="I150" i="123"/>
  <c r="H150" i="123"/>
  <c r="J149" i="123"/>
  <c r="F149" i="123"/>
  <c r="K148" i="123"/>
  <c r="J147" i="123"/>
  <c r="F147" i="123"/>
  <c r="J145" i="123"/>
  <c r="I145" i="123"/>
  <c r="F145" i="123"/>
  <c r="H144" i="123"/>
  <c r="G144" i="123"/>
  <c r="I143" i="123"/>
  <c r="G143" i="123"/>
  <c r="F143" i="123"/>
  <c r="G142" i="123"/>
  <c r="J137" i="123"/>
  <c r="I137" i="123"/>
  <c r="I149" i="123" s="1"/>
  <c r="H137" i="123"/>
  <c r="H149" i="123" s="1"/>
  <c r="G137" i="123"/>
  <c r="G149" i="123" s="1"/>
  <c r="F137" i="123"/>
  <c r="K135" i="123"/>
  <c r="K134" i="123"/>
  <c r="K133" i="123"/>
  <c r="K137" i="123" s="1"/>
  <c r="K149" i="123" s="1"/>
  <c r="K132" i="123"/>
  <c r="K131" i="123"/>
  <c r="F119" i="123"/>
  <c r="J108" i="123"/>
  <c r="H108" i="123"/>
  <c r="H147" i="123" s="1"/>
  <c r="G108" i="123"/>
  <c r="G147" i="123" s="1"/>
  <c r="F108" i="123"/>
  <c r="I106" i="123"/>
  <c r="K106" i="123" s="1"/>
  <c r="K105" i="123"/>
  <c r="I105" i="123"/>
  <c r="I104" i="123"/>
  <c r="K104" i="123" s="1"/>
  <c r="K103" i="123"/>
  <c r="I103" i="123"/>
  <c r="I102" i="123"/>
  <c r="I108" i="123" s="1"/>
  <c r="I147" i="123" s="1"/>
  <c r="J98" i="123"/>
  <c r="J146" i="123" s="1"/>
  <c r="H98" i="123"/>
  <c r="H146" i="123" s="1"/>
  <c r="G98" i="123"/>
  <c r="G146" i="123" s="1"/>
  <c r="F98" i="123"/>
  <c r="F146" i="123" s="1"/>
  <c r="I96" i="123"/>
  <c r="K96" i="123" s="1"/>
  <c r="K95" i="123"/>
  <c r="I95" i="123"/>
  <c r="I94" i="123"/>
  <c r="K94" i="123" s="1"/>
  <c r="K93" i="123"/>
  <c r="I93" i="123"/>
  <c r="I92" i="123"/>
  <c r="K92" i="123" s="1"/>
  <c r="K91" i="123"/>
  <c r="I91" i="123"/>
  <c r="I90" i="123"/>
  <c r="K90" i="123" s="1"/>
  <c r="K89" i="123"/>
  <c r="I89" i="123"/>
  <c r="I88" i="123"/>
  <c r="K88" i="123" s="1"/>
  <c r="K87" i="123"/>
  <c r="I87" i="123"/>
  <c r="I86" i="123"/>
  <c r="I98" i="123" s="1"/>
  <c r="I146" i="123" s="1"/>
  <c r="J82" i="123"/>
  <c r="I82" i="123"/>
  <c r="H82" i="123"/>
  <c r="H145" i="123" s="1"/>
  <c r="G82" i="123"/>
  <c r="G145" i="123" s="1"/>
  <c r="F82" i="123"/>
  <c r="K80" i="123"/>
  <c r="K79" i="123"/>
  <c r="K78" i="123"/>
  <c r="K82" i="123" s="1"/>
  <c r="K145" i="123" s="1"/>
  <c r="K77" i="123"/>
  <c r="J74" i="123"/>
  <c r="J144" i="123" s="1"/>
  <c r="I74" i="123"/>
  <c r="I144" i="123" s="1"/>
  <c r="H74" i="123"/>
  <c r="G74" i="123"/>
  <c r="F74" i="123"/>
  <c r="F144" i="123" s="1"/>
  <c r="K72" i="123"/>
  <c r="K71" i="123"/>
  <c r="K70" i="123"/>
  <c r="K69" i="123"/>
  <c r="K68" i="123"/>
  <c r="K74" i="123" s="1"/>
  <c r="K144" i="123" s="1"/>
  <c r="J64" i="123"/>
  <c r="J143" i="123" s="1"/>
  <c r="I64" i="123"/>
  <c r="H64" i="123"/>
  <c r="H143" i="123" s="1"/>
  <c r="G64" i="123"/>
  <c r="F64" i="123"/>
  <c r="K62" i="123"/>
  <c r="K61" i="123"/>
  <c r="K60" i="123"/>
  <c r="K59" i="123"/>
  <c r="K58" i="123"/>
  <c r="K57" i="123"/>
  <c r="K56" i="123"/>
  <c r="K55" i="123"/>
  <c r="K54" i="123"/>
  <c r="K53" i="123"/>
  <c r="K64" i="123" s="1"/>
  <c r="K143" i="123" s="1"/>
  <c r="J49" i="123"/>
  <c r="J142" i="123" s="1"/>
  <c r="I49" i="123"/>
  <c r="I142" i="123" s="1"/>
  <c r="H49" i="123"/>
  <c r="H142" i="123" s="1"/>
  <c r="G49" i="123"/>
  <c r="F49" i="123"/>
  <c r="F142" i="123" s="1"/>
  <c r="K47" i="123"/>
  <c r="K46" i="123"/>
  <c r="K45" i="123"/>
  <c r="K44" i="123"/>
  <c r="K43" i="123"/>
  <c r="K42" i="123"/>
  <c r="K41" i="123"/>
  <c r="K40" i="123"/>
  <c r="K49" i="123" s="1"/>
  <c r="K142" i="123" s="1"/>
  <c r="J36" i="123"/>
  <c r="J141" i="123" s="1"/>
  <c r="H36" i="123"/>
  <c r="H141" i="123" s="1"/>
  <c r="H152" i="123" s="1"/>
  <c r="G36" i="123"/>
  <c r="G141" i="123" s="1"/>
  <c r="F36" i="123"/>
  <c r="F141" i="123" s="1"/>
  <c r="I34" i="123"/>
  <c r="K34" i="123" s="1"/>
  <c r="I33" i="123"/>
  <c r="K33" i="123" s="1"/>
  <c r="I32" i="123"/>
  <c r="K32" i="123" s="1"/>
  <c r="I31" i="123"/>
  <c r="K31" i="123" s="1"/>
  <c r="I30" i="123"/>
  <c r="K30" i="123" s="1"/>
  <c r="I29" i="123"/>
  <c r="K29" i="123" s="1"/>
  <c r="I28" i="123"/>
  <c r="K28" i="123" s="1"/>
  <c r="I27" i="123"/>
  <c r="K27" i="123" s="1"/>
  <c r="I26" i="123"/>
  <c r="K26" i="123" s="1"/>
  <c r="I25" i="123"/>
  <c r="K25" i="123" s="1"/>
  <c r="I24" i="123"/>
  <c r="K24" i="123" s="1"/>
  <c r="I23" i="123"/>
  <c r="K23" i="123" s="1"/>
  <c r="I22" i="123"/>
  <c r="K22" i="123" s="1"/>
  <c r="I21" i="123"/>
  <c r="I36" i="123" s="1"/>
  <c r="I141" i="123" s="1"/>
  <c r="I152" i="123" s="1"/>
  <c r="K18" i="123"/>
  <c r="J152" i="123" l="1"/>
  <c r="F152" i="123"/>
  <c r="G152" i="123"/>
  <c r="K21" i="123"/>
  <c r="K36" i="123" s="1"/>
  <c r="K141" i="123" s="1"/>
  <c r="K152" i="123" s="1"/>
  <c r="K86" i="123"/>
  <c r="K98" i="123" s="1"/>
  <c r="K146" i="123" s="1"/>
  <c r="K102" i="123"/>
  <c r="K108" i="123" s="1"/>
  <c r="K147" i="123" s="1"/>
  <c r="F155" i="123" l="1"/>
  <c r="F154" i="123"/>
  <c r="K150" i="122" l="1"/>
  <c r="I150" i="122"/>
  <c r="G150" i="122"/>
  <c r="F150" i="122"/>
  <c r="H149" i="122"/>
  <c r="K148" i="122"/>
  <c r="G147" i="122"/>
  <c r="J146" i="122"/>
  <c r="I146" i="122"/>
  <c r="F146" i="122"/>
  <c r="H145" i="122"/>
  <c r="G145" i="122"/>
  <c r="J144" i="122"/>
  <c r="I144" i="122"/>
  <c r="F144" i="122"/>
  <c r="I143" i="122"/>
  <c r="G143" i="122"/>
  <c r="I141" i="122"/>
  <c r="G141" i="122"/>
  <c r="J137" i="122"/>
  <c r="J149" i="122" s="1"/>
  <c r="I137" i="122"/>
  <c r="I149" i="122" s="1"/>
  <c r="H137" i="122"/>
  <c r="G137" i="122"/>
  <c r="G149" i="122" s="1"/>
  <c r="F137" i="122"/>
  <c r="F149" i="122" s="1"/>
  <c r="K135" i="122"/>
  <c r="K134" i="122"/>
  <c r="K133" i="122"/>
  <c r="K132" i="122"/>
  <c r="K131" i="122"/>
  <c r="K137" i="122" s="1"/>
  <c r="K149" i="122" s="1"/>
  <c r="F119" i="122"/>
  <c r="F123" i="122" s="1"/>
  <c r="J108" i="122"/>
  <c r="J147" i="122" s="1"/>
  <c r="H108" i="122"/>
  <c r="H147" i="122" s="1"/>
  <c r="G108" i="122"/>
  <c r="F108" i="122"/>
  <c r="F147" i="122" s="1"/>
  <c r="I106" i="122"/>
  <c r="K106" i="122" s="1"/>
  <c r="I105" i="122"/>
  <c r="K105" i="122" s="1"/>
  <c r="K104" i="122"/>
  <c r="K103" i="122"/>
  <c r="K102" i="122"/>
  <c r="J98" i="122"/>
  <c r="I98" i="122"/>
  <c r="H98" i="122"/>
  <c r="H146" i="122" s="1"/>
  <c r="G98" i="122"/>
  <c r="G146" i="122" s="1"/>
  <c r="F98" i="122"/>
  <c r="K96" i="122"/>
  <c r="K95" i="122"/>
  <c r="K94" i="122"/>
  <c r="K93" i="122"/>
  <c r="K92" i="122"/>
  <c r="K91" i="122"/>
  <c r="K90" i="122"/>
  <c r="K89" i="122"/>
  <c r="K88" i="122"/>
  <c r="K87" i="122"/>
  <c r="K86" i="122"/>
  <c r="K98" i="122" s="1"/>
  <c r="K146" i="122" s="1"/>
  <c r="I86" i="122"/>
  <c r="J82" i="122"/>
  <c r="J145" i="122" s="1"/>
  <c r="I82" i="122"/>
  <c r="I145" i="122" s="1"/>
  <c r="H82" i="122"/>
  <c r="G82" i="122"/>
  <c r="F82" i="122"/>
  <c r="F145" i="122" s="1"/>
  <c r="K80" i="122"/>
  <c r="K79" i="122"/>
  <c r="K78" i="122"/>
  <c r="K77" i="122"/>
  <c r="K82" i="122" s="1"/>
  <c r="K145" i="122" s="1"/>
  <c r="J74" i="122"/>
  <c r="I74" i="122"/>
  <c r="H74" i="122"/>
  <c r="H144" i="122" s="1"/>
  <c r="G74" i="122"/>
  <c r="G144" i="122" s="1"/>
  <c r="F74" i="122"/>
  <c r="K72" i="122"/>
  <c r="K71" i="122"/>
  <c r="K70" i="122"/>
  <c r="K74" i="122" s="1"/>
  <c r="K144" i="122" s="1"/>
  <c r="K69" i="122"/>
  <c r="K68" i="122"/>
  <c r="J64" i="122"/>
  <c r="J143" i="122" s="1"/>
  <c r="I64" i="122"/>
  <c r="H64" i="122"/>
  <c r="H143" i="122" s="1"/>
  <c r="G64" i="122"/>
  <c r="F64" i="122"/>
  <c r="F143" i="122" s="1"/>
  <c r="K61" i="122"/>
  <c r="K60" i="122"/>
  <c r="K59" i="122"/>
  <c r="K58" i="122"/>
  <c r="K57" i="122"/>
  <c r="K56" i="122"/>
  <c r="K55" i="122"/>
  <c r="K54" i="122"/>
  <c r="K64" i="122" s="1"/>
  <c r="K143" i="122" s="1"/>
  <c r="K53" i="122"/>
  <c r="J49" i="122"/>
  <c r="J142" i="122" s="1"/>
  <c r="I49" i="122"/>
  <c r="I142" i="122" s="1"/>
  <c r="H49" i="122"/>
  <c r="H142" i="122" s="1"/>
  <c r="G49" i="122"/>
  <c r="G142" i="122" s="1"/>
  <c r="F49" i="122"/>
  <c r="F142" i="122" s="1"/>
  <c r="K47" i="122"/>
  <c r="K46" i="122"/>
  <c r="K45" i="122"/>
  <c r="K44" i="122"/>
  <c r="K43" i="122"/>
  <c r="K42" i="122"/>
  <c r="K41" i="122"/>
  <c r="K49" i="122" s="1"/>
  <c r="K142" i="122" s="1"/>
  <c r="J36" i="122"/>
  <c r="J141" i="122" s="1"/>
  <c r="J152" i="122" s="1"/>
  <c r="I36" i="122"/>
  <c r="H36" i="122"/>
  <c r="H141" i="122" s="1"/>
  <c r="G36" i="122"/>
  <c r="F36" i="122"/>
  <c r="F141" i="122" s="1"/>
  <c r="F152" i="122" s="1"/>
  <c r="K34" i="122"/>
  <c r="K33" i="122"/>
  <c r="K32" i="122"/>
  <c r="K31" i="122"/>
  <c r="K30" i="122"/>
  <c r="K29" i="122"/>
  <c r="K28" i="122"/>
  <c r="K27" i="122"/>
  <c r="K26" i="122"/>
  <c r="K25" i="122"/>
  <c r="K24" i="122"/>
  <c r="K23" i="122"/>
  <c r="K36" i="122" s="1"/>
  <c r="K141" i="122" s="1"/>
  <c r="K22" i="122"/>
  <c r="K21" i="122"/>
  <c r="H152" i="122" l="1"/>
  <c r="K108" i="122"/>
  <c r="K147" i="122" s="1"/>
  <c r="K152" i="122" s="1"/>
  <c r="G152" i="122"/>
  <c r="I108" i="122"/>
  <c r="I147" i="122" s="1"/>
  <c r="I152" i="122" s="1"/>
  <c r="F155" i="122" l="1"/>
  <c r="F154" i="122"/>
  <c r="J150" i="86" l="1"/>
  <c r="I150" i="86"/>
  <c r="H150" i="86"/>
  <c r="H149" i="86"/>
  <c r="K148" i="86"/>
  <c r="G147" i="86"/>
  <c r="G145" i="86"/>
  <c r="I144" i="86"/>
  <c r="G143" i="86"/>
  <c r="G141" i="86"/>
  <c r="J137" i="86"/>
  <c r="J149" i="86" s="1"/>
  <c r="I137" i="86"/>
  <c r="I149" i="86" s="1"/>
  <c r="H137" i="86"/>
  <c r="G137" i="86"/>
  <c r="G149" i="86" s="1"/>
  <c r="F137" i="86"/>
  <c r="F149" i="86" s="1"/>
  <c r="K135" i="86"/>
  <c r="K134" i="86"/>
  <c r="K133" i="86"/>
  <c r="K132" i="86"/>
  <c r="K131" i="86"/>
  <c r="K137" i="86" s="1"/>
  <c r="K149" i="86" s="1"/>
  <c r="F119" i="86"/>
  <c r="J108" i="86"/>
  <c r="J147" i="86" s="1"/>
  <c r="I108" i="86"/>
  <c r="I147" i="86" s="1"/>
  <c r="H108" i="86"/>
  <c r="H147" i="86" s="1"/>
  <c r="G108" i="86"/>
  <c r="F108" i="86"/>
  <c r="F147" i="86" s="1"/>
  <c r="K106" i="86"/>
  <c r="I106" i="86"/>
  <c r="I105" i="86"/>
  <c r="K105" i="86" s="1"/>
  <c r="K104" i="86"/>
  <c r="I104" i="86"/>
  <c r="I103" i="86"/>
  <c r="K103" i="86" s="1"/>
  <c r="K102" i="86"/>
  <c r="I102" i="86"/>
  <c r="J98" i="86"/>
  <c r="J146" i="86" s="1"/>
  <c r="I98" i="86"/>
  <c r="I146" i="86" s="1"/>
  <c r="H98" i="86"/>
  <c r="H146" i="86" s="1"/>
  <c r="G98" i="86"/>
  <c r="G146" i="86" s="1"/>
  <c r="F98" i="86"/>
  <c r="F146" i="86" s="1"/>
  <c r="K96" i="86"/>
  <c r="I96" i="86"/>
  <c r="I95" i="86"/>
  <c r="K95" i="86" s="1"/>
  <c r="K94" i="86"/>
  <c r="I94" i="86"/>
  <c r="I93" i="86"/>
  <c r="K93" i="86" s="1"/>
  <c r="K92" i="86"/>
  <c r="I92" i="86"/>
  <c r="I91" i="86"/>
  <c r="K91" i="86" s="1"/>
  <c r="K90" i="86"/>
  <c r="I90" i="86"/>
  <c r="I89" i="86"/>
  <c r="K89" i="86" s="1"/>
  <c r="K88" i="86"/>
  <c r="I88" i="86"/>
  <c r="I87" i="86"/>
  <c r="K87" i="86" s="1"/>
  <c r="K86" i="86"/>
  <c r="I86" i="86"/>
  <c r="J82" i="86"/>
  <c r="J145" i="86" s="1"/>
  <c r="I82" i="86"/>
  <c r="I145" i="86" s="1"/>
  <c r="H82" i="86"/>
  <c r="H145" i="86" s="1"/>
  <c r="G82" i="86"/>
  <c r="F82" i="86"/>
  <c r="F145" i="86" s="1"/>
  <c r="K80" i="86"/>
  <c r="K79" i="86"/>
  <c r="K78" i="86"/>
  <c r="K77" i="86"/>
  <c r="K82" i="86" s="1"/>
  <c r="K145" i="86" s="1"/>
  <c r="J74" i="86"/>
  <c r="J144" i="86" s="1"/>
  <c r="I74" i="86"/>
  <c r="H74" i="86"/>
  <c r="H144" i="86" s="1"/>
  <c r="G74" i="86"/>
  <c r="G144" i="86" s="1"/>
  <c r="F74" i="86"/>
  <c r="F144" i="86" s="1"/>
  <c r="K72" i="86"/>
  <c r="K71" i="86"/>
  <c r="K70" i="86"/>
  <c r="K74" i="86" s="1"/>
  <c r="K144" i="86" s="1"/>
  <c r="K69" i="86"/>
  <c r="K68" i="86"/>
  <c r="J64" i="86"/>
  <c r="J143" i="86" s="1"/>
  <c r="I64" i="86"/>
  <c r="I143" i="86" s="1"/>
  <c r="H64" i="86"/>
  <c r="H143" i="86" s="1"/>
  <c r="G64" i="86"/>
  <c r="F64" i="86"/>
  <c r="F143" i="86" s="1"/>
  <c r="K61" i="86"/>
  <c r="K60" i="86"/>
  <c r="K59" i="86"/>
  <c r="K58" i="86"/>
  <c r="K57" i="86"/>
  <c r="K56" i="86"/>
  <c r="K55" i="86"/>
  <c r="K54" i="86"/>
  <c r="K53" i="86"/>
  <c r="K64" i="86" s="1"/>
  <c r="K143" i="86" s="1"/>
  <c r="J49" i="86"/>
  <c r="J142" i="86" s="1"/>
  <c r="I49" i="86"/>
  <c r="I142" i="86" s="1"/>
  <c r="H49" i="86"/>
  <c r="H142" i="86" s="1"/>
  <c r="G49" i="86"/>
  <c r="G142" i="86" s="1"/>
  <c r="F49" i="86"/>
  <c r="F142" i="86" s="1"/>
  <c r="K47" i="86"/>
  <c r="I47" i="86"/>
  <c r="K46" i="86"/>
  <c r="I46" i="86"/>
  <c r="K45" i="86"/>
  <c r="I45" i="86"/>
  <c r="K44" i="86"/>
  <c r="I44" i="86"/>
  <c r="K43" i="86"/>
  <c r="I43" i="86"/>
  <c r="K42" i="86"/>
  <c r="I42" i="86"/>
  <c r="K41" i="86"/>
  <c r="I41" i="86"/>
  <c r="K40" i="86"/>
  <c r="K49" i="86" s="1"/>
  <c r="K142" i="86" s="1"/>
  <c r="J36" i="86"/>
  <c r="J141" i="86" s="1"/>
  <c r="H36" i="86"/>
  <c r="H141" i="86" s="1"/>
  <c r="G36" i="86"/>
  <c r="F36" i="86"/>
  <c r="F141" i="86" s="1"/>
  <c r="F152" i="86" s="1"/>
  <c r="I34" i="86"/>
  <c r="K34" i="86" s="1"/>
  <c r="I33" i="86"/>
  <c r="K33" i="86" s="1"/>
  <c r="I32" i="86"/>
  <c r="K32" i="86" s="1"/>
  <c r="I31" i="86"/>
  <c r="K31" i="86" s="1"/>
  <c r="I30" i="86"/>
  <c r="K30" i="86" s="1"/>
  <c r="I29" i="86"/>
  <c r="K29" i="86" s="1"/>
  <c r="I28" i="86"/>
  <c r="K28" i="86" s="1"/>
  <c r="I27" i="86"/>
  <c r="K27" i="86" s="1"/>
  <c r="I26" i="86"/>
  <c r="K26" i="86" s="1"/>
  <c r="I25" i="86"/>
  <c r="K25" i="86" s="1"/>
  <c r="I24" i="86"/>
  <c r="K24" i="86" s="1"/>
  <c r="I23" i="86"/>
  <c r="K23" i="86" s="1"/>
  <c r="I22" i="86"/>
  <c r="K22" i="86" s="1"/>
  <c r="I21" i="86"/>
  <c r="I36" i="86" s="1"/>
  <c r="I141" i="86" s="1"/>
  <c r="K18" i="86"/>
  <c r="K150" i="86" s="1"/>
  <c r="I152" i="86" l="1"/>
  <c r="H152" i="86"/>
  <c r="K98" i="86"/>
  <c r="K146" i="86" s="1"/>
  <c r="J152" i="86"/>
  <c r="G152" i="86"/>
  <c r="K108" i="86"/>
  <c r="K147" i="86" s="1"/>
  <c r="K21" i="86"/>
  <c r="K36" i="86" s="1"/>
  <c r="K141" i="86" s="1"/>
  <c r="K152" i="86" s="1"/>
  <c r="F155" i="86" l="1"/>
  <c r="F154" i="86"/>
  <c r="J150" i="84" l="1"/>
  <c r="I150" i="84"/>
  <c r="H150" i="84"/>
  <c r="H149" i="84"/>
  <c r="G149" i="84"/>
  <c r="J146" i="84"/>
  <c r="F146" i="84"/>
  <c r="G143" i="84"/>
  <c r="J142" i="84"/>
  <c r="I142" i="84"/>
  <c r="F142" i="84"/>
  <c r="H141" i="84"/>
  <c r="G141" i="84"/>
  <c r="J137" i="84"/>
  <c r="J149" i="84" s="1"/>
  <c r="I137" i="84"/>
  <c r="I149" i="84" s="1"/>
  <c r="H137" i="84"/>
  <c r="G137" i="84"/>
  <c r="F137" i="84"/>
  <c r="F149" i="84" s="1"/>
  <c r="K135" i="84"/>
  <c r="K134" i="84"/>
  <c r="K133" i="84"/>
  <c r="K132" i="84"/>
  <c r="K131" i="84"/>
  <c r="K137" i="84" s="1"/>
  <c r="K149" i="84" s="1"/>
  <c r="F127" i="84"/>
  <c r="F125" i="84"/>
  <c r="F121" i="84"/>
  <c r="F119" i="84"/>
  <c r="F118" i="84"/>
  <c r="F117" i="84"/>
  <c r="F111" i="84"/>
  <c r="K148" i="84" s="1"/>
  <c r="J108" i="84"/>
  <c r="J147" i="84" s="1"/>
  <c r="H108" i="84"/>
  <c r="H147" i="84" s="1"/>
  <c r="G108" i="84"/>
  <c r="G147" i="84" s="1"/>
  <c r="F108" i="84"/>
  <c r="F147" i="84" s="1"/>
  <c r="I106" i="84"/>
  <c r="K106" i="84" s="1"/>
  <c r="K105" i="84"/>
  <c r="I105" i="84"/>
  <c r="I104" i="84"/>
  <c r="K104" i="84" s="1"/>
  <c r="K103" i="84"/>
  <c r="I103" i="84"/>
  <c r="I102" i="84"/>
  <c r="I108" i="84" s="1"/>
  <c r="I147" i="84" s="1"/>
  <c r="J98" i="84"/>
  <c r="H98" i="84"/>
  <c r="H146" i="84" s="1"/>
  <c r="G98" i="84"/>
  <c r="G146" i="84" s="1"/>
  <c r="F98" i="84"/>
  <c r="I96" i="84"/>
  <c r="K96" i="84" s="1"/>
  <c r="K95" i="84"/>
  <c r="I95" i="84"/>
  <c r="I94" i="84"/>
  <c r="K94" i="84" s="1"/>
  <c r="K93" i="84"/>
  <c r="I93" i="84"/>
  <c r="I92" i="84"/>
  <c r="K92" i="84" s="1"/>
  <c r="K91" i="84"/>
  <c r="I91" i="84"/>
  <c r="I90" i="84"/>
  <c r="K90" i="84" s="1"/>
  <c r="K89" i="84"/>
  <c r="I89" i="84"/>
  <c r="I88" i="84"/>
  <c r="K88" i="84" s="1"/>
  <c r="K87" i="84"/>
  <c r="I87" i="84"/>
  <c r="I86" i="84"/>
  <c r="I98" i="84" s="1"/>
  <c r="I146" i="84" s="1"/>
  <c r="J82" i="84"/>
  <c r="J145" i="84" s="1"/>
  <c r="I82" i="84"/>
  <c r="I145" i="84" s="1"/>
  <c r="H82" i="84"/>
  <c r="H145" i="84" s="1"/>
  <c r="G82" i="84"/>
  <c r="G145" i="84" s="1"/>
  <c r="F82" i="84"/>
  <c r="F145" i="84" s="1"/>
  <c r="K80" i="84"/>
  <c r="K79" i="84"/>
  <c r="K78" i="84"/>
  <c r="K82" i="84" s="1"/>
  <c r="K145" i="84" s="1"/>
  <c r="K77" i="84"/>
  <c r="J74" i="84"/>
  <c r="J144" i="84" s="1"/>
  <c r="I74" i="84"/>
  <c r="I144" i="84" s="1"/>
  <c r="H74" i="84"/>
  <c r="H144" i="84" s="1"/>
  <c r="G74" i="84"/>
  <c r="G144" i="84" s="1"/>
  <c r="F74" i="84"/>
  <c r="F144" i="84" s="1"/>
  <c r="K72" i="84"/>
  <c r="K71" i="84"/>
  <c r="K70" i="84"/>
  <c r="K69" i="84"/>
  <c r="K68" i="84"/>
  <c r="K74" i="84" s="1"/>
  <c r="K144" i="84" s="1"/>
  <c r="J64" i="84"/>
  <c r="J143" i="84" s="1"/>
  <c r="I64" i="84"/>
  <c r="I143" i="84" s="1"/>
  <c r="H64" i="84"/>
  <c r="H143" i="84" s="1"/>
  <c r="G64" i="84"/>
  <c r="F64" i="84"/>
  <c r="F143" i="84" s="1"/>
  <c r="K62" i="84"/>
  <c r="K61" i="84"/>
  <c r="K60" i="84"/>
  <c r="K59" i="84"/>
  <c r="K58" i="84"/>
  <c r="K57" i="84"/>
  <c r="K56" i="84"/>
  <c r="K55" i="84"/>
  <c r="K54" i="84"/>
  <c r="K53" i="84"/>
  <c r="K64" i="84" s="1"/>
  <c r="K143" i="84" s="1"/>
  <c r="J49" i="84"/>
  <c r="I49" i="84"/>
  <c r="H49" i="84"/>
  <c r="H142" i="84" s="1"/>
  <c r="G49" i="84"/>
  <c r="G142" i="84" s="1"/>
  <c r="F49" i="84"/>
  <c r="K47" i="84"/>
  <c r="K46" i="84"/>
  <c r="K45" i="84"/>
  <c r="K44" i="84"/>
  <c r="K43" i="84"/>
  <c r="K42" i="84"/>
  <c r="K41" i="84"/>
  <c r="K49" i="84" s="1"/>
  <c r="K142" i="84" s="1"/>
  <c r="K40" i="84"/>
  <c r="J36" i="84"/>
  <c r="J141" i="84" s="1"/>
  <c r="J152" i="84" s="1"/>
  <c r="H36" i="84"/>
  <c r="G36" i="84"/>
  <c r="F36" i="84"/>
  <c r="F141" i="84" s="1"/>
  <c r="F152" i="84" s="1"/>
  <c r="K34" i="84"/>
  <c r="I34" i="84"/>
  <c r="I33" i="84"/>
  <c r="K33" i="84" s="1"/>
  <c r="K32" i="84"/>
  <c r="I32" i="84"/>
  <c r="I31" i="84"/>
  <c r="K31" i="84" s="1"/>
  <c r="K30" i="84"/>
  <c r="I30" i="84"/>
  <c r="I29" i="84"/>
  <c r="K29" i="84" s="1"/>
  <c r="K28" i="84"/>
  <c r="I28" i="84"/>
  <c r="I27" i="84"/>
  <c r="K27" i="84" s="1"/>
  <c r="K26" i="84"/>
  <c r="I26" i="84"/>
  <c r="I25" i="84"/>
  <c r="K25" i="84" s="1"/>
  <c r="K24" i="84"/>
  <c r="I24" i="84"/>
  <c r="I23" i="84"/>
  <c r="K23" i="84" s="1"/>
  <c r="K22" i="84"/>
  <c r="I22" i="84"/>
  <c r="I21" i="84"/>
  <c r="I36" i="84" s="1"/>
  <c r="I141" i="84" s="1"/>
  <c r="I152" i="84" s="1"/>
  <c r="K18" i="84"/>
  <c r="K150" i="84" s="1"/>
  <c r="H152" i="84" l="1"/>
  <c r="G152" i="84"/>
  <c r="K21" i="84"/>
  <c r="K36" i="84" s="1"/>
  <c r="K141" i="84" s="1"/>
  <c r="K86" i="84"/>
  <c r="K98" i="84" s="1"/>
  <c r="K146" i="84" s="1"/>
  <c r="K102" i="84"/>
  <c r="K108" i="84" s="1"/>
  <c r="K147" i="84" s="1"/>
  <c r="K152" i="84" l="1"/>
  <c r="F155" i="84" l="1"/>
  <c r="F154" i="84"/>
  <c r="J150" i="113" l="1"/>
  <c r="I150" i="113"/>
  <c r="H150" i="113"/>
  <c r="J149" i="113"/>
  <c r="F149" i="113"/>
  <c r="K148" i="113"/>
  <c r="J147" i="113"/>
  <c r="F147" i="113"/>
  <c r="J145" i="113"/>
  <c r="F145" i="113"/>
  <c r="H144" i="113"/>
  <c r="G143" i="113"/>
  <c r="G142" i="113"/>
  <c r="J137" i="113"/>
  <c r="I137" i="113"/>
  <c r="I149" i="113" s="1"/>
  <c r="H137" i="113"/>
  <c r="H149" i="113" s="1"/>
  <c r="G137" i="113"/>
  <c r="G149" i="113" s="1"/>
  <c r="F137" i="113"/>
  <c r="K135" i="113"/>
  <c r="K134" i="113"/>
  <c r="K133" i="113"/>
  <c r="K137" i="113" s="1"/>
  <c r="K149" i="113" s="1"/>
  <c r="K132" i="113"/>
  <c r="K131" i="113"/>
  <c r="F119" i="113"/>
  <c r="J108" i="113"/>
  <c r="H108" i="113"/>
  <c r="H147" i="113" s="1"/>
  <c r="G108" i="113"/>
  <c r="G147" i="113" s="1"/>
  <c r="F108" i="113"/>
  <c r="I106" i="113"/>
  <c r="K106" i="113" s="1"/>
  <c r="K105" i="113"/>
  <c r="I105" i="113"/>
  <c r="I104" i="113"/>
  <c r="K104" i="113" s="1"/>
  <c r="K103" i="113"/>
  <c r="I103" i="113"/>
  <c r="I102" i="113"/>
  <c r="I108" i="113" s="1"/>
  <c r="I147" i="113" s="1"/>
  <c r="J98" i="113"/>
  <c r="J146" i="113" s="1"/>
  <c r="H98" i="113"/>
  <c r="H146" i="113" s="1"/>
  <c r="G98" i="113"/>
  <c r="G146" i="113" s="1"/>
  <c r="F98" i="113"/>
  <c r="F146" i="113" s="1"/>
  <c r="I96" i="113"/>
  <c r="K96" i="113" s="1"/>
  <c r="K95" i="113"/>
  <c r="I95" i="113"/>
  <c r="I94" i="113"/>
  <c r="K94" i="113" s="1"/>
  <c r="K93" i="113"/>
  <c r="I93" i="113"/>
  <c r="I92" i="113"/>
  <c r="K92" i="113" s="1"/>
  <c r="K91" i="113"/>
  <c r="I91" i="113"/>
  <c r="I90" i="113"/>
  <c r="K90" i="113" s="1"/>
  <c r="K89" i="113"/>
  <c r="I89" i="113"/>
  <c r="I88" i="113"/>
  <c r="K88" i="113" s="1"/>
  <c r="K87" i="113"/>
  <c r="I87" i="113"/>
  <c r="I86" i="113"/>
  <c r="I98" i="113" s="1"/>
  <c r="I146" i="113" s="1"/>
  <c r="J82" i="113"/>
  <c r="I82" i="113"/>
  <c r="I145" i="113" s="1"/>
  <c r="H82" i="113"/>
  <c r="H145" i="113" s="1"/>
  <c r="G82" i="113"/>
  <c r="G145" i="113" s="1"/>
  <c r="F82" i="113"/>
  <c r="K80" i="113"/>
  <c r="K79" i="113"/>
  <c r="K78" i="113"/>
  <c r="K82" i="113" s="1"/>
  <c r="K145" i="113" s="1"/>
  <c r="K77" i="113"/>
  <c r="J74" i="113"/>
  <c r="J144" i="113" s="1"/>
  <c r="I74" i="113"/>
  <c r="I144" i="113" s="1"/>
  <c r="H74" i="113"/>
  <c r="G74" i="113"/>
  <c r="G144" i="113" s="1"/>
  <c r="F74" i="113"/>
  <c r="F144" i="113" s="1"/>
  <c r="K72" i="113"/>
  <c r="K71" i="113"/>
  <c r="K70" i="113"/>
  <c r="K69" i="113"/>
  <c r="K68" i="113"/>
  <c r="K74" i="113" s="1"/>
  <c r="K144" i="113" s="1"/>
  <c r="J64" i="113"/>
  <c r="J143" i="113" s="1"/>
  <c r="I64" i="113"/>
  <c r="I143" i="113" s="1"/>
  <c r="H64" i="113"/>
  <c r="H143" i="113" s="1"/>
  <c r="G64" i="113"/>
  <c r="F64" i="113"/>
  <c r="F143" i="113" s="1"/>
  <c r="K62" i="113"/>
  <c r="K61" i="113"/>
  <c r="K60" i="113"/>
  <c r="K59" i="113"/>
  <c r="K58" i="113"/>
  <c r="K57" i="113"/>
  <c r="K56" i="113"/>
  <c r="K55" i="113"/>
  <c r="K54" i="113"/>
  <c r="K53" i="113"/>
  <c r="K64" i="113" s="1"/>
  <c r="K143" i="113" s="1"/>
  <c r="J49" i="113"/>
  <c r="J142" i="113" s="1"/>
  <c r="I49" i="113"/>
  <c r="I142" i="113" s="1"/>
  <c r="H49" i="113"/>
  <c r="H142" i="113" s="1"/>
  <c r="G49" i="113"/>
  <c r="F49" i="113"/>
  <c r="F142" i="113" s="1"/>
  <c r="K47" i="113"/>
  <c r="K46" i="113"/>
  <c r="K45" i="113"/>
  <c r="K44" i="113"/>
  <c r="K43" i="113"/>
  <c r="K42" i="113"/>
  <c r="K41" i="113"/>
  <c r="K40" i="113"/>
  <c r="K49" i="113" s="1"/>
  <c r="K142" i="113" s="1"/>
  <c r="J36" i="113"/>
  <c r="J141" i="113" s="1"/>
  <c r="H36" i="113"/>
  <c r="H141" i="113" s="1"/>
  <c r="G36" i="113"/>
  <c r="G141" i="113" s="1"/>
  <c r="F36" i="113"/>
  <c r="F141" i="113" s="1"/>
  <c r="F152" i="113" s="1"/>
  <c r="I34" i="113"/>
  <c r="K34" i="113" s="1"/>
  <c r="I33" i="113"/>
  <c r="K33" i="113" s="1"/>
  <c r="I32" i="113"/>
  <c r="K32" i="113" s="1"/>
  <c r="I31" i="113"/>
  <c r="K31" i="113" s="1"/>
  <c r="I30" i="113"/>
  <c r="K30" i="113" s="1"/>
  <c r="K29" i="113"/>
  <c r="K28" i="113"/>
  <c r="I28" i="113"/>
  <c r="I27" i="113"/>
  <c r="K27" i="113" s="1"/>
  <c r="K26" i="113"/>
  <c r="I26" i="113"/>
  <c r="I25" i="113"/>
  <c r="K25" i="113" s="1"/>
  <c r="K24" i="113"/>
  <c r="I24" i="113"/>
  <c r="I23" i="113"/>
  <c r="K23" i="113" s="1"/>
  <c r="K22" i="113"/>
  <c r="I22" i="113"/>
  <c r="I21" i="113"/>
  <c r="I36" i="113" s="1"/>
  <c r="I141" i="113" s="1"/>
  <c r="K18" i="113"/>
  <c r="K150" i="113" s="1"/>
  <c r="G152" i="113" l="1"/>
  <c r="I152" i="113"/>
  <c r="H152" i="113"/>
  <c r="J152" i="113"/>
  <c r="K21" i="113"/>
  <c r="K36" i="113" s="1"/>
  <c r="K141" i="113" s="1"/>
  <c r="K86" i="113"/>
  <c r="K98" i="113" s="1"/>
  <c r="K146" i="113" s="1"/>
  <c r="K102" i="113"/>
  <c r="K108" i="113" s="1"/>
  <c r="K147" i="113" s="1"/>
  <c r="K152" i="113" l="1"/>
  <c r="F155" i="113" l="1"/>
  <c r="F154" i="113"/>
  <c r="J150" i="82" l="1"/>
  <c r="I150" i="82"/>
  <c r="H150" i="82"/>
  <c r="J149" i="82"/>
  <c r="F149" i="82"/>
  <c r="K148" i="82"/>
  <c r="G146" i="82"/>
  <c r="J137" i="82"/>
  <c r="H137" i="82"/>
  <c r="H149" i="82" s="1"/>
  <c r="G137" i="82"/>
  <c r="G149" i="82" s="1"/>
  <c r="F137" i="82"/>
  <c r="K135" i="82"/>
  <c r="K134" i="82"/>
  <c r="K133" i="82"/>
  <c r="I132" i="82"/>
  <c r="K132" i="82" s="1"/>
  <c r="I131" i="82"/>
  <c r="K131" i="82" s="1"/>
  <c r="F119" i="82"/>
  <c r="J108" i="82"/>
  <c r="J147" i="82" s="1"/>
  <c r="I108" i="82"/>
  <c r="I147" i="82" s="1"/>
  <c r="H108" i="82"/>
  <c r="H147" i="82" s="1"/>
  <c r="G108" i="82"/>
  <c r="G147" i="82" s="1"/>
  <c r="F108" i="82"/>
  <c r="F147" i="82" s="1"/>
  <c r="K106" i="82"/>
  <c r="I106" i="82"/>
  <c r="I105" i="82"/>
  <c r="K105" i="82" s="1"/>
  <c r="K104" i="82"/>
  <c r="I104" i="82"/>
  <c r="I103" i="82"/>
  <c r="K103" i="82" s="1"/>
  <c r="K102" i="82"/>
  <c r="K108" i="82" s="1"/>
  <c r="K147" i="82" s="1"/>
  <c r="I102" i="82"/>
  <c r="J98" i="82"/>
  <c r="J146" i="82" s="1"/>
  <c r="I98" i="82"/>
  <c r="I146" i="82" s="1"/>
  <c r="H98" i="82"/>
  <c r="H146" i="82" s="1"/>
  <c r="G98" i="82"/>
  <c r="F98" i="82"/>
  <c r="F146" i="82" s="1"/>
  <c r="K96" i="82"/>
  <c r="I96" i="82"/>
  <c r="I95" i="82"/>
  <c r="K95" i="82" s="1"/>
  <c r="K94" i="82"/>
  <c r="I94" i="82"/>
  <c r="I93" i="82"/>
  <c r="K93" i="82" s="1"/>
  <c r="K92" i="82"/>
  <c r="I92" i="82"/>
  <c r="I91" i="82"/>
  <c r="K91" i="82" s="1"/>
  <c r="K90" i="82"/>
  <c r="I90" i="82"/>
  <c r="I89" i="82"/>
  <c r="K89" i="82" s="1"/>
  <c r="K88" i="82"/>
  <c r="I88" i="82"/>
  <c r="I87" i="82"/>
  <c r="K87" i="82" s="1"/>
  <c r="K86" i="82"/>
  <c r="I86" i="82"/>
  <c r="J82" i="82"/>
  <c r="J145" i="82" s="1"/>
  <c r="I82" i="82"/>
  <c r="I145" i="82" s="1"/>
  <c r="H82" i="82"/>
  <c r="H145" i="82" s="1"/>
  <c r="G82" i="82"/>
  <c r="G145" i="82" s="1"/>
  <c r="F82" i="82"/>
  <c r="F145" i="82" s="1"/>
  <c r="K80" i="82"/>
  <c r="K79" i="82"/>
  <c r="K78" i="82"/>
  <c r="K77" i="82"/>
  <c r="K82" i="82" s="1"/>
  <c r="K145" i="82" s="1"/>
  <c r="J74" i="82"/>
  <c r="J144" i="82" s="1"/>
  <c r="H74" i="82"/>
  <c r="H144" i="82" s="1"/>
  <c r="G74" i="82"/>
  <c r="G144" i="82" s="1"/>
  <c r="F74" i="82"/>
  <c r="F144" i="82" s="1"/>
  <c r="K72" i="82"/>
  <c r="K71" i="82"/>
  <c r="K70" i="82"/>
  <c r="K69" i="82"/>
  <c r="I68" i="82"/>
  <c r="I74" i="82" s="1"/>
  <c r="I144" i="82" s="1"/>
  <c r="J64" i="82"/>
  <c r="J143" i="82" s="1"/>
  <c r="H64" i="82"/>
  <c r="H143" i="82" s="1"/>
  <c r="G64" i="82"/>
  <c r="G143" i="82" s="1"/>
  <c r="F64" i="82"/>
  <c r="F143" i="82" s="1"/>
  <c r="K62" i="82"/>
  <c r="K61" i="82"/>
  <c r="K60" i="82"/>
  <c r="K59" i="82"/>
  <c r="K58" i="82"/>
  <c r="K57" i="82"/>
  <c r="K56" i="82"/>
  <c r="K55" i="82"/>
  <c r="K54" i="82"/>
  <c r="I53" i="82"/>
  <c r="K53" i="82" s="1"/>
  <c r="K64" i="82" s="1"/>
  <c r="K143" i="82" s="1"/>
  <c r="J49" i="82"/>
  <c r="J142" i="82" s="1"/>
  <c r="I49" i="82"/>
  <c r="I142" i="82" s="1"/>
  <c r="H49" i="82"/>
  <c r="H142" i="82" s="1"/>
  <c r="G49" i="82"/>
  <c r="G142" i="82" s="1"/>
  <c r="F49" i="82"/>
  <c r="F142" i="82" s="1"/>
  <c r="K47" i="82"/>
  <c r="K46" i="82"/>
  <c r="K45" i="82"/>
  <c r="K44" i="82"/>
  <c r="K43" i="82"/>
  <c r="K42" i="82"/>
  <c r="K41" i="82"/>
  <c r="K40" i="82"/>
  <c r="K49" i="82" s="1"/>
  <c r="K142" i="82" s="1"/>
  <c r="J36" i="82"/>
  <c r="J141" i="82" s="1"/>
  <c r="H36" i="82"/>
  <c r="H141" i="82" s="1"/>
  <c r="H152" i="82" s="1"/>
  <c r="G36" i="82"/>
  <c r="G141" i="82" s="1"/>
  <c r="F36" i="82"/>
  <c r="F141" i="82" s="1"/>
  <c r="I34" i="82"/>
  <c r="K34" i="82" s="1"/>
  <c r="I33" i="82"/>
  <c r="K33" i="82" s="1"/>
  <c r="I32" i="82"/>
  <c r="K32" i="82" s="1"/>
  <c r="I31" i="82"/>
  <c r="K31" i="82" s="1"/>
  <c r="I30" i="82"/>
  <c r="K30" i="82" s="1"/>
  <c r="I29" i="82"/>
  <c r="K29" i="82" s="1"/>
  <c r="I28" i="82"/>
  <c r="K28" i="82" s="1"/>
  <c r="I27" i="82"/>
  <c r="K27" i="82" s="1"/>
  <c r="I26" i="82"/>
  <c r="K26" i="82" s="1"/>
  <c r="I25" i="82"/>
  <c r="K25" i="82" s="1"/>
  <c r="I24" i="82"/>
  <c r="K24" i="82" s="1"/>
  <c r="I23" i="82"/>
  <c r="K23" i="82" s="1"/>
  <c r="I22" i="82"/>
  <c r="K22" i="82" s="1"/>
  <c r="I21" i="82"/>
  <c r="K21" i="82" s="1"/>
  <c r="K18" i="82"/>
  <c r="K150" i="82" s="1"/>
  <c r="G152" i="82" l="1"/>
  <c r="K137" i="82"/>
  <c r="K149" i="82" s="1"/>
  <c r="K36" i="82"/>
  <c r="K141" i="82" s="1"/>
  <c r="K98" i="82"/>
  <c r="K146" i="82" s="1"/>
  <c r="J152" i="82"/>
  <c r="F152" i="82"/>
  <c r="I64" i="82"/>
  <c r="I143" i="82" s="1"/>
  <c r="K68" i="82"/>
  <c r="K74" i="82" s="1"/>
  <c r="K144" i="82" s="1"/>
  <c r="I137" i="82"/>
  <c r="I149" i="82" s="1"/>
  <c r="I36" i="82"/>
  <c r="I141" i="82" s="1"/>
  <c r="K152" i="82" l="1"/>
  <c r="I152" i="82"/>
  <c r="F155" i="82" l="1"/>
  <c r="F154" i="82"/>
  <c r="J150" i="81" l="1"/>
  <c r="I150" i="81"/>
  <c r="H150" i="81"/>
  <c r="J149" i="81"/>
  <c r="F149" i="81"/>
  <c r="K148" i="81"/>
  <c r="G146" i="81"/>
  <c r="I145" i="81"/>
  <c r="G144" i="81"/>
  <c r="G142" i="81"/>
  <c r="J137" i="81"/>
  <c r="I137" i="81"/>
  <c r="I149" i="81" s="1"/>
  <c r="H137" i="81"/>
  <c r="H149" i="81" s="1"/>
  <c r="G137" i="81"/>
  <c r="G149" i="81" s="1"/>
  <c r="F137" i="81"/>
  <c r="K135" i="81"/>
  <c r="K134" i="81"/>
  <c r="K133" i="81"/>
  <c r="K137" i="81" s="1"/>
  <c r="K149" i="81" s="1"/>
  <c r="K132" i="81"/>
  <c r="K131" i="81"/>
  <c r="F118" i="81"/>
  <c r="F119" i="81" s="1"/>
  <c r="F123" i="81" s="1"/>
  <c r="F127" i="81" s="1"/>
  <c r="J108" i="81"/>
  <c r="J147" i="81" s="1"/>
  <c r="H108" i="81"/>
  <c r="H147" i="81" s="1"/>
  <c r="G108" i="81"/>
  <c r="G147" i="81" s="1"/>
  <c r="F108" i="81"/>
  <c r="F147" i="81" s="1"/>
  <c r="I106" i="81"/>
  <c r="K106" i="81" s="1"/>
  <c r="I105" i="81"/>
  <c r="K105" i="81" s="1"/>
  <c r="I104" i="81"/>
  <c r="K104" i="81" s="1"/>
  <c r="I103" i="81"/>
  <c r="K103" i="81" s="1"/>
  <c r="I102" i="81"/>
  <c r="I108" i="81" s="1"/>
  <c r="I147" i="81" s="1"/>
  <c r="J98" i="81"/>
  <c r="J146" i="81" s="1"/>
  <c r="H98" i="81"/>
  <c r="H146" i="81" s="1"/>
  <c r="G98" i="81"/>
  <c r="F98" i="81"/>
  <c r="F146" i="81" s="1"/>
  <c r="I96" i="81"/>
  <c r="K96" i="81" s="1"/>
  <c r="I95" i="81"/>
  <c r="K95" i="81" s="1"/>
  <c r="I94" i="81"/>
  <c r="K94" i="81" s="1"/>
  <c r="I93" i="81"/>
  <c r="K93" i="81" s="1"/>
  <c r="I92" i="81"/>
  <c r="K92" i="81" s="1"/>
  <c r="I91" i="81"/>
  <c r="K91" i="81" s="1"/>
  <c r="I90" i="81"/>
  <c r="K90" i="81" s="1"/>
  <c r="I89" i="81"/>
  <c r="K89" i="81" s="1"/>
  <c r="I88" i="81"/>
  <c r="K88" i="81" s="1"/>
  <c r="I87" i="81"/>
  <c r="K87" i="81" s="1"/>
  <c r="I86" i="81"/>
  <c r="I98" i="81" s="1"/>
  <c r="I146" i="81" s="1"/>
  <c r="J82" i="81"/>
  <c r="J145" i="81" s="1"/>
  <c r="I82" i="81"/>
  <c r="H82" i="81"/>
  <c r="H145" i="81" s="1"/>
  <c r="G82" i="81"/>
  <c r="G145" i="81" s="1"/>
  <c r="F82" i="81"/>
  <c r="F145" i="81" s="1"/>
  <c r="K80" i="81"/>
  <c r="K79" i="81"/>
  <c r="K78" i="81"/>
  <c r="K77" i="81"/>
  <c r="K82" i="81" s="1"/>
  <c r="K145" i="81" s="1"/>
  <c r="J74" i="81"/>
  <c r="J144" i="81" s="1"/>
  <c r="H74" i="81"/>
  <c r="H144" i="81" s="1"/>
  <c r="G74" i="81"/>
  <c r="F74" i="81"/>
  <c r="F144" i="81" s="1"/>
  <c r="K72" i="81"/>
  <c r="K71" i="81"/>
  <c r="I70" i="81"/>
  <c r="K70" i="81" s="1"/>
  <c r="I69" i="81"/>
  <c r="K69" i="81" s="1"/>
  <c r="I68" i="81"/>
  <c r="I74" i="81" s="1"/>
  <c r="I144" i="81" s="1"/>
  <c r="J64" i="81"/>
  <c r="J143" i="81" s="1"/>
  <c r="H64" i="81"/>
  <c r="H143" i="81" s="1"/>
  <c r="G64" i="81"/>
  <c r="G143" i="81" s="1"/>
  <c r="F64" i="81"/>
  <c r="F143" i="81" s="1"/>
  <c r="K62" i="81"/>
  <c r="K61" i="81"/>
  <c r="K60" i="81"/>
  <c r="K59" i="81"/>
  <c r="I58" i="81"/>
  <c r="K58" i="81" s="1"/>
  <c r="I57" i="81"/>
  <c r="K57" i="81" s="1"/>
  <c r="I56" i="81"/>
  <c r="K56" i="81" s="1"/>
  <c r="I55" i="81"/>
  <c r="K55" i="81" s="1"/>
  <c r="I54" i="81"/>
  <c r="K54" i="81" s="1"/>
  <c r="I53" i="81"/>
  <c r="K53" i="81" s="1"/>
  <c r="J49" i="81"/>
  <c r="J142" i="81" s="1"/>
  <c r="H49" i="81"/>
  <c r="H142" i="81" s="1"/>
  <c r="G49" i="81"/>
  <c r="F49" i="81"/>
  <c r="F142" i="81" s="1"/>
  <c r="K47" i="81"/>
  <c r="K46" i="81"/>
  <c r="K45" i="81"/>
  <c r="K44" i="81"/>
  <c r="K43" i="81"/>
  <c r="K42" i="81"/>
  <c r="I42" i="81"/>
  <c r="I41" i="81"/>
  <c r="I49" i="81" s="1"/>
  <c r="I142" i="81" s="1"/>
  <c r="K40" i="81"/>
  <c r="I40" i="81"/>
  <c r="J36" i="81"/>
  <c r="J141" i="81" s="1"/>
  <c r="J152" i="81" s="1"/>
  <c r="I36" i="81"/>
  <c r="I141" i="81" s="1"/>
  <c r="H36" i="81"/>
  <c r="H141" i="81" s="1"/>
  <c r="G36" i="81"/>
  <c r="G141" i="81" s="1"/>
  <c r="F36" i="81"/>
  <c r="F141" i="81" s="1"/>
  <c r="F152" i="81" s="1"/>
  <c r="K34" i="81"/>
  <c r="I34" i="81"/>
  <c r="I33" i="81"/>
  <c r="K33" i="81" s="1"/>
  <c r="K32" i="81"/>
  <c r="I32" i="81"/>
  <c r="I31" i="81"/>
  <c r="K31" i="81" s="1"/>
  <c r="K30" i="81"/>
  <c r="I30" i="81"/>
  <c r="I29" i="81"/>
  <c r="K29" i="81" s="1"/>
  <c r="K28" i="81"/>
  <c r="I28" i="81"/>
  <c r="I27" i="81"/>
  <c r="K27" i="81" s="1"/>
  <c r="K26" i="81"/>
  <c r="I26" i="81"/>
  <c r="I25" i="81"/>
  <c r="K25" i="81" s="1"/>
  <c r="K24" i="81"/>
  <c r="I24" i="81"/>
  <c r="I23" i="81"/>
  <c r="K23" i="81" s="1"/>
  <c r="K22" i="81"/>
  <c r="I22" i="81"/>
  <c r="I21" i="81"/>
  <c r="K21" i="81" s="1"/>
  <c r="K18" i="81"/>
  <c r="K150" i="81" s="1"/>
  <c r="G152" i="81" l="1"/>
  <c r="H152" i="81"/>
  <c r="K36" i="81"/>
  <c r="K141" i="81" s="1"/>
  <c r="K64" i="81"/>
  <c r="K143" i="81" s="1"/>
  <c r="K41" i="81"/>
  <c r="K49" i="81" s="1"/>
  <c r="K142" i="81" s="1"/>
  <c r="I64" i="81"/>
  <c r="I143" i="81" s="1"/>
  <c r="I152" i="81" s="1"/>
  <c r="K68" i="81"/>
  <c r="K74" i="81" s="1"/>
  <c r="K144" i="81" s="1"/>
  <c r="K86" i="81"/>
  <c r="K98" i="81" s="1"/>
  <c r="K146" i="81" s="1"/>
  <c r="K102" i="81"/>
  <c r="K108" i="81" s="1"/>
  <c r="K147" i="81" s="1"/>
  <c r="K152" i="81" l="1"/>
  <c r="F155" i="81" l="1"/>
  <c r="F154" i="81"/>
  <c r="J150" i="80" l="1"/>
  <c r="I150" i="80"/>
  <c r="H150" i="80"/>
  <c r="J149" i="80"/>
  <c r="F149" i="80"/>
  <c r="K148" i="80"/>
  <c r="J147" i="80"/>
  <c r="F147" i="80"/>
  <c r="I145" i="80"/>
  <c r="G144" i="80"/>
  <c r="G143" i="80"/>
  <c r="G142" i="80"/>
  <c r="J137" i="80"/>
  <c r="I137" i="80"/>
  <c r="I149" i="80" s="1"/>
  <c r="H137" i="80"/>
  <c r="H149" i="80" s="1"/>
  <c r="G137" i="80"/>
  <c r="G149" i="80" s="1"/>
  <c r="F137" i="80"/>
  <c r="K135" i="80"/>
  <c r="K134" i="80"/>
  <c r="K133" i="80"/>
  <c r="K132" i="80"/>
  <c r="K131" i="80"/>
  <c r="K137" i="80" s="1"/>
  <c r="K149" i="80" s="1"/>
  <c r="F119" i="80"/>
  <c r="J108" i="80"/>
  <c r="H108" i="80"/>
  <c r="H147" i="80" s="1"/>
  <c r="G108" i="80"/>
  <c r="G147" i="80" s="1"/>
  <c r="F108" i="80"/>
  <c r="I106" i="80"/>
  <c r="K106" i="80" s="1"/>
  <c r="K105" i="80"/>
  <c r="I105" i="80"/>
  <c r="I104" i="80"/>
  <c r="K104" i="80" s="1"/>
  <c r="K103" i="80"/>
  <c r="I103" i="80"/>
  <c r="I102" i="80"/>
  <c r="I108" i="80" s="1"/>
  <c r="I147" i="80" s="1"/>
  <c r="J98" i="80"/>
  <c r="J146" i="80" s="1"/>
  <c r="H98" i="80"/>
  <c r="H146" i="80" s="1"/>
  <c r="G98" i="80"/>
  <c r="G146" i="80" s="1"/>
  <c r="F98" i="80"/>
  <c r="F146" i="80" s="1"/>
  <c r="I96" i="80"/>
  <c r="K96" i="80" s="1"/>
  <c r="K95" i="80"/>
  <c r="I95" i="80"/>
  <c r="I94" i="80"/>
  <c r="K94" i="80" s="1"/>
  <c r="K93" i="80"/>
  <c r="I93" i="80"/>
  <c r="I92" i="80"/>
  <c r="K92" i="80" s="1"/>
  <c r="K91" i="80"/>
  <c r="I91" i="80"/>
  <c r="I90" i="80"/>
  <c r="K90" i="80" s="1"/>
  <c r="K89" i="80"/>
  <c r="I89" i="80"/>
  <c r="I88" i="80"/>
  <c r="I98" i="80" s="1"/>
  <c r="I146" i="80" s="1"/>
  <c r="K87" i="80"/>
  <c r="I87" i="80"/>
  <c r="K86" i="80"/>
  <c r="J82" i="80"/>
  <c r="J145" i="80" s="1"/>
  <c r="I82" i="80"/>
  <c r="H82" i="80"/>
  <c r="H145" i="80" s="1"/>
  <c r="G82" i="80"/>
  <c r="G145" i="80" s="1"/>
  <c r="F82" i="80"/>
  <c r="F145" i="80" s="1"/>
  <c r="K80" i="80"/>
  <c r="K79" i="80"/>
  <c r="K78" i="80"/>
  <c r="K77" i="80"/>
  <c r="K82" i="80" s="1"/>
  <c r="K145" i="80" s="1"/>
  <c r="J74" i="80"/>
  <c r="J144" i="80" s="1"/>
  <c r="H74" i="80"/>
  <c r="H144" i="80" s="1"/>
  <c r="G74" i="80"/>
  <c r="F74" i="80"/>
  <c r="F144" i="80" s="1"/>
  <c r="K72" i="80"/>
  <c r="K71" i="80"/>
  <c r="K70" i="80"/>
  <c r="K69" i="80"/>
  <c r="I68" i="80"/>
  <c r="I74" i="80" s="1"/>
  <c r="I144" i="80" s="1"/>
  <c r="J64" i="80"/>
  <c r="J143" i="80" s="1"/>
  <c r="H64" i="80"/>
  <c r="H143" i="80" s="1"/>
  <c r="G64" i="80"/>
  <c r="F64" i="80"/>
  <c r="F143" i="80" s="1"/>
  <c r="K62" i="80"/>
  <c r="K61" i="80"/>
  <c r="K60" i="80"/>
  <c r="K59" i="80"/>
  <c r="K58" i="80"/>
  <c r="K57" i="80"/>
  <c r="I56" i="80"/>
  <c r="K56" i="80" s="1"/>
  <c r="I55" i="80"/>
  <c r="K55" i="80" s="1"/>
  <c r="I54" i="80"/>
  <c r="K54" i="80" s="1"/>
  <c r="I53" i="80"/>
  <c r="I64" i="80" s="1"/>
  <c r="I143" i="80" s="1"/>
  <c r="J49" i="80"/>
  <c r="J142" i="80" s="1"/>
  <c r="I49" i="80"/>
  <c r="I142" i="80" s="1"/>
  <c r="H49" i="80"/>
  <c r="H142" i="80" s="1"/>
  <c r="G49" i="80"/>
  <c r="F49" i="80"/>
  <c r="F142" i="80" s="1"/>
  <c r="K47" i="80"/>
  <c r="K46" i="80"/>
  <c r="K45" i="80"/>
  <c r="K44" i="80"/>
  <c r="K43" i="80"/>
  <c r="K42" i="80"/>
  <c r="K41" i="80"/>
  <c r="K40" i="80"/>
  <c r="K49" i="80" s="1"/>
  <c r="K142" i="80" s="1"/>
  <c r="J36" i="80"/>
  <c r="J141" i="80" s="1"/>
  <c r="H36" i="80"/>
  <c r="H141" i="80" s="1"/>
  <c r="G36" i="80"/>
  <c r="G141" i="80" s="1"/>
  <c r="G152" i="80" s="1"/>
  <c r="F36" i="80"/>
  <c r="F141" i="80" s="1"/>
  <c r="I34" i="80"/>
  <c r="K34" i="80" s="1"/>
  <c r="I33" i="80"/>
  <c r="K33" i="80" s="1"/>
  <c r="I32" i="80"/>
  <c r="K32" i="80" s="1"/>
  <c r="I31" i="80"/>
  <c r="K31" i="80" s="1"/>
  <c r="I30" i="80"/>
  <c r="K30" i="80" s="1"/>
  <c r="I29" i="80"/>
  <c r="K29" i="80" s="1"/>
  <c r="I28" i="80"/>
  <c r="K28" i="80" s="1"/>
  <c r="I27" i="80"/>
  <c r="K27" i="80" s="1"/>
  <c r="I26" i="80"/>
  <c r="K26" i="80" s="1"/>
  <c r="I25" i="80"/>
  <c r="K25" i="80" s="1"/>
  <c r="I24" i="80"/>
  <c r="K24" i="80" s="1"/>
  <c r="I23" i="80"/>
  <c r="K23" i="80" s="1"/>
  <c r="I22" i="80"/>
  <c r="K22" i="80" s="1"/>
  <c r="I21" i="80"/>
  <c r="I36" i="80" s="1"/>
  <c r="I141" i="80" s="1"/>
  <c r="K18" i="80"/>
  <c r="K150" i="80" s="1"/>
  <c r="K98" i="80" l="1"/>
  <c r="K146" i="80" s="1"/>
  <c r="I152" i="80"/>
  <c r="H152" i="80"/>
  <c r="J152" i="80"/>
  <c r="F152" i="80"/>
  <c r="K21" i="80"/>
  <c r="K36" i="80" s="1"/>
  <c r="K141" i="80" s="1"/>
  <c r="K88" i="80"/>
  <c r="K102" i="80"/>
  <c r="K108" i="80" s="1"/>
  <c r="K147" i="80" s="1"/>
  <c r="K53" i="80"/>
  <c r="K64" i="80" s="1"/>
  <c r="K143" i="80" s="1"/>
  <c r="K68" i="80"/>
  <c r="K74" i="80" s="1"/>
  <c r="K144" i="80" s="1"/>
  <c r="K152" i="80" l="1"/>
  <c r="F155" i="80" l="1"/>
  <c r="F154" i="80"/>
  <c r="H152" i="79" l="1"/>
  <c r="J150" i="79"/>
  <c r="I150" i="79"/>
  <c r="H150" i="79"/>
  <c r="J149" i="79"/>
  <c r="I149" i="79"/>
  <c r="H149" i="79"/>
  <c r="G149" i="79"/>
  <c r="F149" i="79"/>
  <c r="K148" i="79"/>
  <c r="J147" i="79"/>
  <c r="I147" i="79"/>
  <c r="H147" i="79"/>
  <c r="G147" i="79"/>
  <c r="F147" i="79"/>
  <c r="J146" i="79"/>
  <c r="I146" i="79"/>
  <c r="H146" i="79"/>
  <c r="G146" i="79"/>
  <c r="F146" i="79"/>
  <c r="J145" i="79"/>
  <c r="I145" i="79"/>
  <c r="H145" i="79"/>
  <c r="G145" i="79"/>
  <c r="F145" i="79"/>
  <c r="J144" i="79"/>
  <c r="I144" i="79"/>
  <c r="H144" i="79"/>
  <c r="G144" i="79"/>
  <c r="F144" i="79"/>
  <c r="J143" i="79"/>
  <c r="I143" i="79"/>
  <c r="H143" i="79"/>
  <c r="G143" i="79"/>
  <c r="F143" i="79"/>
  <c r="J142" i="79"/>
  <c r="I142" i="79"/>
  <c r="H142" i="79"/>
  <c r="G142" i="79"/>
  <c r="F142" i="79"/>
  <c r="J141" i="79"/>
  <c r="J152" i="79" s="1"/>
  <c r="I141" i="79"/>
  <c r="I152" i="79" s="1"/>
  <c r="H141" i="79"/>
  <c r="G141" i="79"/>
  <c r="G152" i="79" s="1"/>
  <c r="F141" i="79"/>
  <c r="F152" i="79" s="1"/>
  <c r="K135" i="79"/>
  <c r="K134" i="79"/>
  <c r="K133" i="79"/>
  <c r="K132" i="79"/>
  <c r="K137" i="79" s="1"/>
  <c r="K149" i="79" s="1"/>
  <c r="K131" i="79"/>
  <c r="F127" i="79"/>
  <c r="K106" i="79"/>
  <c r="K105" i="79"/>
  <c r="K104" i="79"/>
  <c r="K103" i="79"/>
  <c r="K102" i="79"/>
  <c r="K108" i="79" s="1"/>
  <c r="K147" i="79" s="1"/>
  <c r="K96" i="79"/>
  <c r="K95" i="79"/>
  <c r="K94" i="79"/>
  <c r="K93" i="79"/>
  <c r="K92" i="79"/>
  <c r="K91" i="79"/>
  <c r="K90" i="79"/>
  <c r="K89" i="79"/>
  <c r="K88" i="79"/>
  <c r="K87" i="79"/>
  <c r="K86" i="79"/>
  <c r="K98" i="79" s="1"/>
  <c r="K146" i="79" s="1"/>
  <c r="K80" i="79"/>
  <c r="K79" i="79"/>
  <c r="K78" i="79"/>
  <c r="K77" i="79"/>
  <c r="K82" i="79" s="1"/>
  <c r="K145" i="79" s="1"/>
  <c r="K72" i="79"/>
  <c r="K71" i="79"/>
  <c r="K70" i="79"/>
  <c r="K69" i="79"/>
  <c r="K68" i="79"/>
  <c r="K74" i="79" s="1"/>
  <c r="K144" i="79" s="1"/>
  <c r="K62" i="79"/>
  <c r="K61" i="79"/>
  <c r="K60" i="79"/>
  <c r="K59" i="79"/>
  <c r="K58" i="79"/>
  <c r="K57" i="79"/>
  <c r="K56" i="79"/>
  <c r="K55" i="79"/>
  <c r="K64" i="79" s="1"/>
  <c r="K143" i="79" s="1"/>
  <c r="K54" i="79"/>
  <c r="K53" i="79"/>
  <c r="K47" i="79"/>
  <c r="K46" i="79"/>
  <c r="K45" i="79"/>
  <c r="K44" i="79"/>
  <c r="K43" i="79"/>
  <c r="K42" i="79"/>
  <c r="K41" i="79"/>
  <c r="K40" i="79"/>
  <c r="K49" i="79" s="1"/>
  <c r="K142" i="79" s="1"/>
  <c r="K34" i="79"/>
  <c r="K33" i="79"/>
  <c r="K32" i="79"/>
  <c r="K31" i="79"/>
  <c r="K30" i="79"/>
  <c r="K29" i="79"/>
  <c r="K28" i="79"/>
  <c r="K27" i="79"/>
  <c r="K26" i="79"/>
  <c r="K25" i="79"/>
  <c r="K24" i="79"/>
  <c r="K23" i="79"/>
  <c r="K36" i="79" s="1"/>
  <c r="K141" i="79" s="1"/>
  <c r="K152" i="79" s="1"/>
  <c r="K22" i="79"/>
  <c r="K21" i="79"/>
  <c r="K18" i="79"/>
  <c r="K150" i="79" s="1"/>
  <c r="F155" i="79" l="1"/>
  <c r="F154" i="79"/>
  <c r="J150" i="78" l="1"/>
  <c r="I150" i="78"/>
  <c r="H150" i="78"/>
  <c r="H149" i="78"/>
  <c r="K148" i="78"/>
  <c r="J146" i="78"/>
  <c r="F146" i="78"/>
  <c r="H145" i="78"/>
  <c r="G145" i="78"/>
  <c r="J144" i="78"/>
  <c r="I144" i="78"/>
  <c r="F144" i="78"/>
  <c r="J137" i="78"/>
  <c r="J149" i="78" s="1"/>
  <c r="I137" i="78"/>
  <c r="I149" i="78" s="1"/>
  <c r="H137" i="78"/>
  <c r="G137" i="78"/>
  <c r="G149" i="78" s="1"/>
  <c r="F137" i="78"/>
  <c r="F149" i="78" s="1"/>
  <c r="K135" i="78"/>
  <c r="K134" i="78"/>
  <c r="K133" i="78"/>
  <c r="K132" i="78"/>
  <c r="K131" i="78"/>
  <c r="K137" i="78" s="1"/>
  <c r="K149" i="78" s="1"/>
  <c r="F119" i="78"/>
  <c r="F123" i="78" s="1"/>
  <c r="F127" i="78" s="1"/>
  <c r="J108" i="78"/>
  <c r="J147" i="78" s="1"/>
  <c r="H108" i="78"/>
  <c r="H147" i="78" s="1"/>
  <c r="G108" i="78"/>
  <c r="G147" i="78" s="1"/>
  <c r="F108" i="78"/>
  <c r="F147" i="78" s="1"/>
  <c r="I106" i="78"/>
  <c r="K106" i="78" s="1"/>
  <c r="K105" i="78"/>
  <c r="I105" i="78"/>
  <c r="I104" i="78"/>
  <c r="K104" i="78" s="1"/>
  <c r="K103" i="78"/>
  <c r="I103" i="78"/>
  <c r="I102" i="78"/>
  <c r="I108" i="78" s="1"/>
  <c r="I147" i="78" s="1"/>
  <c r="J98" i="78"/>
  <c r="H98" i="78"/>
  <c r="H146" i="78" s="1"/>
  <c r="G98" i="78"/>
  <c r="G146" i="78" s="1"/>
  <c r="F98" i="78"/>
  <c r="I96" i="78"/>
  <c r="K96" i="78" s="1"/>
  <c r="K95" i="78"/>
  <c r="I95" i="78"/>
  <c r="I94" i="78"/>
  <c r="K94" i="78" s="1"/>
  <c r="K93" i="78"/>
  <c r="I93" i="78"/>
  <c r="I92" i="78"/>
  <c r="K92" i="78" s="1"/>
  <c r="K91" i="78"/>
  <c r="I91" i="78"/>
  <c r="I90" i="78"/>
  <c r="K90" i="78" s="1"/>
  <c r="K89" i="78"/>
  <c r="I89" i="78"/>
  <c r="I88" i="78"/>
  <c r="K88" i="78" s="1"/>
  <c r="K86" i="78"/>
  <c r="K98" i="78" s="1"/>
  <c r="K146" i="78" s="1"/>
  <c r="I86" i="78"/>
  <c r="I98" i="78" s="1"/>
  <c r="I146" i="78" s="1"/>
  <c r="J82" i="78"/>
  <c r="J145" i="78" s="1"/>
  <c r="H82" i="78"/>
  <c r="G82" i="78"/>
  <c r="F82" i="78"/>
  <c r="F145" i="78" s="1"/>
  <c r="K80" i="78"/>
  <c r="K79" i="78"/>
  <c r="K78" i="78"/>
  <c r="I77" i="78"/>
  <c r="K77" i="78" s="1"/>
  <c r="K82" i="78" s="1"/>
  <c r="K145" i="78" s="1"/>
  <c r="J74" i="78"/>
  <c r="I74" i="78"/>
  <c r="H74" i="78"/>
  <c r="H144" i="78" s="1"/>
  <c r="G74" i="78"/>
  <c r="G144" i="78" s="1"/>
  <c r="F74" i="78"/>
  <c r="K72" i="78"/>
  <c r="K71" i="78"/>
  <c r="K70" i="78"/>
  <c r="K69" i="78"/>
  <c r="K68" i="78"/>
  <c r="K74" i="78" s="1"/>
  <c r="K144" i="78" s="1"/>
  <c r="J64" i="78"/>
  <c r="J143" i="78" s="1"/>
  <c r="G64" i="78"/>
  <c r="G143" i="78" s="1"/>
  <c r="F64" i="78"/>
  <c r="F143" i="78" s="1"/>
  <c r="K62" i="78"/>
  <c r="K61" i="78"/>
  <c r="K60" i="78"/>
  <c r="K59" i="78"/>
  <c r="K58" i="78"/>
  <c r="K57" i="78"/>
  <c r="K56" i="78"/>
  <c r="I55" i="78"/>
  <c r="I64" i="78" s="1"/>
  <c r="I143" i="78" s="1"/>
  <c r="H55" i="78"/>
  <c r="K55" i="78" s="1"/>
  <c r="K54" i="78"/>
  <c r="K64" i="78" s="1"/>
  <c r="K143" i="78" s="1"/>
  <c r="K53" i="78"/>
  <c r="J49" i="78"/>
  <c r="J142" i="78" s="1"/>
  <c r="I49" i="78"/>
  <c r="I142" i="78" s="1"/>
  <c r="H49" i="78"/>
  <c r="H142" i="78" s="1"/>
  <c r="G49" i="78"/>
  <c r="G142" i="78" s="1"/>
  <c r="F49" i="78"/>
  <c r="F142" i="78" s="1"/>
  <c r="K47" i="78"/>
  <c r="K46" i="78"/>
  <c r="K45" i="78"/>
  <c r="K44" i="78"/>
  <c r="K43" i="78"/>
  <c r="K42" i="78"/>
  <c r="K41" i="78"/>
  <c r="K40" i="78"/>
  <c r="K49" i="78" s="1"/>
  <c r="K142" i="78" s="1"/>
  <c r="J36" i="78"/>
  <c r="J141" i="78" s="1"/>
  <c r="H36" i="78"/>
  <c r="H141" i="78" s="1"/>
  <c r="G36" i="78"/>
  <c r="G141" i="78" s="1"/>
  <c r="F36" i="78"/>
  <c r="F141" i="78" s="1"/>
  <c r="I34" i="78"/>
  <c r="K34" i="78" s="1"/>
  <c r="K33" i="78"/>
  <c r="I33" i="78"/>
  <c r="I32" i="78"/>
  <c r="K32" i="78" s="1"/>
  <c r="K31" i="78"/>
  <c r="I31" i="78"/>
  <c r="I30" i="78"/>
  <c r="K30" i="78" s="1"/>
  <c r="K29" i="78"/>
  <c r="I29" i="78"/>
  <c r="I28" i="78"/>
  <c r="K28" i="78" s="1"/>
  <c r="K27" i="78"/>
  <c r="I27" i="78"/>
  <c r="I26" i="78"/>
  <c r="K26" i="78" s="1"/>
  <c r="K25" i="78"/>
  <c r="I25" i="78"/>
  <c r="I24" i="78"/>
  <c r="K24" i="78" s="1"/>
  <c r="K23" i="78"/>
  <c r="I23" i="78"/>
  <c r="K22" i="78"/>
  <c r="I21" i="78"/>
  <c r="I36" i="78" s="1"/>
  <c r="I141" i="78" s="1"/>
  <c r="K18" i="78"/>
  <c r="K150" i="78" s="1"/>
  <c r="J152" i="78" l="1"/>
  <c r="F152" i="78"/>
  <c r="G152" i="78"/>
  <c r="K21" i="78"/>
  <c r="K36" i="78" s="1"/>
  <c r="K141" i="78" s="1"/>
  <c r="K102" i="78"/>
  <c r="K108" i="78" s="1"/>
  <c r="K147" i="78" s="1"/>
  <c r="I82" i="78"/>
  <c r="I145" i="78" s="1"/>
  <c r="I152" i="78" s="1"/>
  <c r="H64" i="78"/>
  <c r="H143" i="78" s="1"/>
  <c r="H152" i="78" s="1"/>
  <c r="K152" i="78" l="1"/>
  <c r="F155" i="78" l="1"/>
  <c r="F154" i="78"/>
  <c r="J150" i="73" l="1"/>
  <c r="I150" i="73"/>
  <c r="H150" i="73"/>
  <c r="H149" i="73"/>
  <c r="K148" i="73"/>
  <c r="H147" i="73"/>
  <c r="G147" i="73"/>
  <c r="H145" i="73"/>
  <c r="G145" i="73"/>
  <c r="J144" i="73"/>
  <c r="F144" i="73"/>
  <c r="I143" i="73"/>
  <c r="G143" i="73"/>
  <c r="J142" i="73"/>
  <c r="G142" i="73"/>
  <c r="F142" i="73"/>
  <c r="H141" i="73"/>
  <c r="G141" i="73"/>
  <c r="J137" i="73"/>
  <c r="J149" i="73" s="1"/>
  <c r="I137" i="73"/>
  <c r="I149" i="73" s="1"/>
  <c r="H137" i="73"/>
  <c r="G137" i="73"/>
  <c r="G149" i="73" s="1"/>
  <c r="F137" i="73"/>
  <c r="F149" i="73" s="1"/>
  <c r="K135" i="73"/>
  <c r="K134" i="73"/>
  <c r="K133" i="73"/>
  <c r="K132" i="73"/>
  <c r="K131" i="73"/>
  <c r="K137" i="73" s="1"/>
  <c r="K149" i="73" s="1"/>
  <c r="F119" i="73"/>
  <c r="J108" i="73"/>
  <c r="J147" i="73" s="1"/>
  <c r="I108" i="73"/>
  <c r="I147" i="73" s="1"/>
  <c r="H108" i="73"/>
  <c r="G108" i="73"/>
  <c r="F108" i="73"/>
  <c r="F147" i="73" s="1"/>
  <c r="K106" i="73"/>
  <c r="I106" i="73"/>
  <c r="I105" i="73"/>
  <c r="K105" i="73" s="1"/>
  <c r="K104" i="73"/>
  <c r="I104" i="73"/>
  <c r="I103" i="73"/>
  <c r="K103" i="73" s="1"/>
  <c r="K102" i="73"/>
  <c r="K108" i="73" s="1"/>
  <c r="K147" i="73" s="1"/>
  <c r="I102" i="73"/>
  <c r="J98" i="73"/>
  <c r="J146" i="73" s="1"/>
  <c r="I98" i="73"/>
  <c r="I146" i="73" s="1"/>
  <c r="H98" i="73"/>
  <c r="H146" i="73" s="1"/>
  <c r="G98" i="73"/>
  <c r="G146" i="73" s="1"/>
  <c r="F98" i="73"/>
  <c r="F146" i="73" s="1"/>
  <c r="K96" i="73"/>
  <c r="K95" i="73"/>
  <c r="K94" i="73"/>
  <c r="K93" i="73"/>
  <c r="K92" i="73"/>
  <c r="K91" i="73"/>
  <c r="K90" i="73"/>
  <c r="K89" i="73"/>
  <c r="K88" i="73"/>
  <c r="K87" i="73"/>
  <c r="K86" i="73"/>
  <c r="K98" i="73" s="1"/>
  <c r="K146" i="73" s="1"/>
  <c r="J82" i="73"/>
  <c r="J145" i="73" s="1"/>
  <c r="I82" i="73"/>
  <c r="I145" i="73" s="1"/>
  <c r="H82" i="73"/>
  <c r="G82" i="73"/>
  <c r="F82" i="73"/>
  <c r="F145" i="73" s="1"/>
  <c r="K80" i="73"/>
  <c r="K79" i="73"/>
  <c r="K78" i="73"/>
  <c r="K77" i="73"/>
  <c r="K82" i="73" s="1"/>
  <c r="K145" i="73" s="1"/>
  <c r="J74" i="73"/>
  <c r="H74" i="73"/>
  <c r="H144" i="73" s="1"/>
  <c r="G74" i="73"/>
  <c r="G144" i="73" s="1"/>
  <c r="F74" i="73"/>
  <c r="I72" i="73"/>
  <c r="K72" i="73" s="1"/>
  <c r="I71" i="73"/>
  <c r="K71" i="73" s="1"/>
  <c r="I70" i="73"/>
  <c r="K70" i="73" s="1"/>
  <c r="I69" i="73"/>
  <c r="K69" i="73" s="1"/>
  <c r="I68" i="73"/>
  <c r="I74" i="73" s="1"/>
  <c r="I144" i="73" s="1"/>
  <c r="J64" i="73"/>
  <c r="J143" i="73" s="1"/>
  <c r="I64" i="73"/>
  <c r="G64" i="73"/>
  <c r="F64" i="73"/>
  <c r="F143" i="73" s="1"/>
  <c r="K62" i="73"/>
  <c r="K61" i="73"/>
  <c r="K60" i="73"/>
  <c r="K59" i="73"/>
  <c r="K58" i="73"/>
  <c r="K57" i="73"/>
  <c r="O56" i="73"/>
  <c r="N56" i="73"/>
  <c r="K56" i="73"/>
  <c r="K55" i="73"/>
  <c r="H55" i="73"/>
  <c r="K54" i="73"/>
  <c r="H53" i="73"/>
  <c r="K53" i="73" s="1"/>
  <c r="K64" i="73" s="1"/>
  <c r="K143" i="73" s="1"/>
  <c r="J49" i="73"/>
  <c r="H49" i="73"/>
  <c r="H142" i="73" s="1"/>
  <c r="G49" i="73"/>
  <c r="F49" i="73"/>
  <c r="I47" i="73"/>
  <c r="K47" i="73" s="1"/>
  <c r="I46" i="73"/>
  <c r="K46" i="73" s="1"/>
  <c r="I45" i="73"/>
  <c r="K45" i="73" s="1"/>
  <c r="I44" i="73"/>
  <c r="K44" i="73" s="1"/>
  <c r="I43" i="73"/>
  <c r="K43" i="73" s="1"/>
  <c r="I42" i="73"/>
  <c r="K42" i="73" s="1"/>
  <c r="I41" i="73"/>
  <c r="I49" i="73" s="1"/>
  <c r="I142" i="73" s="1"/>
  <c r="I40" i="73"/>
  <c r="K40" i="73" s="1"/>
  <c r="J36" i="73"/>
  <c r="J141" i="73" s="1"/>
  <c r="J152" i="73" s="1"/>
  <c r="H36" i="73"/>
  <c r="G36" i="73"/>
  <c r="F36" i="73"/>
  <c r="F141" i="73" s="1"/>
  <c r="I34" i="73"/>
  <c r="K34" i="73" s="1"/>
  <c r="I33" i="73"/>
  <c r="K33" i="73" s="1"/>
  <c r="I32" i="73"/>
  <c r="K32" i="73" s="1"/>
  <c r="I31" i="73"/>
  <c r="K31" i="73" s="1"/>
  <c r="I30" i="73"/>
  <c r="K30" i="73" s="1"/>
  <c r="I29" i="73"/>
  <c r="K29" i="73" s="1"/>
  <c r="I28" i="73"/>
  <c r="K28" i="73" s="1"/>
  <c r="I27" i="73"/>
  <c r="K27" i="73" s="1"/>
  <c r="I26" i="73"/>
  <c r="K26" i="73" s="1"/>
  <c r="I25" i="73"/>
  <c r="K25" i="73" s="1"/>
  <c r="I24" i="73"/>
  <c r="K24" i="73" s="1"/>
  <c r="I23" i="73"/>
  <c r="K23" i="73" s="1"/>
  <c r="I22" i="73"/>
  <c r="K22" i="73" s="1"/>
  <c r="I21" i="73"/>
  <c r="I36" i="73" s="1"/>
  <c r="I141" i="73" s="1"/>
  <c r="K18" i="73"/>
  <c r="K150" i="73" s="1"/>
  <c r="G152" i="73" l="1"/>
  <c r="F152" i="73"/>
  <c r="H152" i="73"/>
  <c r="I152" i="73"/>
  <c r="H64" i="73"/>
  <c r="H143" i="73" s="1"/>
  <c r="K21" i="73"/>
  <c r="K36" i="73" s="1"/>
  <c r="K141" i="73" s="1"/>
  <c r="K41" i="73"/>
  <c r="K49" i="73" s="1"/>
  <c r="K142" i="73" s="1"/>
  <c r="K68" i="73"/>
  <c r="K74" i="73" s="1"/>
  <c r="K144" i="73" s="1"/>
  <c r="J150" i="77"/>
  <c r="I150" i="77"/>
  <c r="H150" i="77"/>
  <c r="H149" i="77"/>
  <c r="K148" i="77"/>
  <c r="G147" i="77"/>
  <c r="G145" i="77"/>
  <c r="I142" i="77"/>
  <c r="G141" i="77"/>
  <c r="J137" i="77"/>
  <c r="J149" i="77" s="1"/>
  <c r="I137" i="77"/>
  <c r="I149" i="77" s="1"/>
  <c r="H137" i="77"/>
  <c r="G137" i="77"/>
  <c r="G149" i="77" s="1"/>
  <c r="F137" i="77"/>
  <c r="F149" i="77" s="1"/>
  <c r="K135" i="77"/>
  <c r="K134" i="77"/>
  <c r="K133" i="77"/>
  <c r="K132" i="77"/>
  <c r="K131" i="77"/>
  <c r="K137" i="77" s="1"/>
  <c r="K149" i="77" s="1"/>
  <c r="F119" i="77"/>
  <c r="J108" i="77"/>
  <c r="J147" i="77" s="1"/>
  <c r="I108" i="77"/>
  <c r="I147" i="77" s="1"/>
  <c r="H108" i="77"/>
  <c r="H147" i="77" s="1"/>
  <c r="G108" i="77"/>
  <c r="F108" i="77"/>
  <c r="F147" i="77" s="1"/>
  <c r="K106" i="77"/>
  <c r="I106" i="77"/>
  <c r="I105" i="77"/>
  <c r="K105" i="77" s="1"/>
  <c r="K104" i="77"/>
  <c r="I104" i="77"/>
  <c r="I103" i="77"/>
  <c r="K103" i="77" s="1"/>
  <c r="K102" i="77"/>
  <c r="K108" i="77" s="1"/>
  <c r="K147" i="77" s="1"/>
  <c r="I102" i="77"/>
  <c r="J98" i="77"/>
  <c r="J146" i="77" s="1"/>
  <c r="I98" i="77"/>
  <c r="I146" i="77" s="1"/>
  <c r="H98" i="77"/>
  <c r="H146" i="77" s="1"/>
  <c r="G98" i="77"/>
  <c r="G146" i="77" s="1"/>
  <c r="F98" i="77"/>
  <c r="F146" i="77" s="1"/>
  <c r="K96" i="77"/>
  <c r="I96" i="77"/>
  <c r="I95" i="77"/>
  <c r="K95" i="77" s="1"/>
  <c r="K94" i="77"/>
  <c r="I94" i="77"/>
  <c r="I93" i="77"/>
  <c r="K93" i="77" s="1"/>
  <c r="K92" i="77"/>
  <c r="I92" i="77"/>
  <c r="I91" i="77"/>
  <c r="K91" i="77" s="1"/>
  <c r="K90" i="77"/>
  <c r="I90" i="77"/>
  <c r="I89" i="77"/>
  <c r="K89" i="77" s="1"/>
  <c r="K88" i="77"/>
  <c r="I88" i="77"/>
  <c r="I87" i="77"/>
  <c r="K87" i="77" s="1"/>
  <c r="K86" i="77"/>
  <c r="I86" i="77"/>
  <c r="J82" i="77"/>
  <c r="J145" i="77" s="1"/>
  <c r="I82" i="77"/>
  <c r="I145" i="77" s="1"/>
  <c r="H82" i="77"/>
  <c r="H145" i="77" s="1"/>
  <c r="G82" i="77"/>
  <c r="F82" i="77"/>
  <c r="F145" i="77" s="1"/>
  <c r="K80" i="77"/>
  <c r="K79" i="77"/>
  <c r="K78" i="77"/>
  <c r="K77" i="77"/>
  <c r="K82" i="77" s="1"/>
  <c r="K145" i="77" s="1"/>
  <c r="J74" i="77"/>
  <c r="J144" i="77" s="1"/>
  <c r="H74" i="77"/>
  <c r="H144" i="77" s="1"/>
  <c r="G74" i="77"/>
  <c r="G144" i="77" s="1"/>
  <c r="F74" i="77"/>
  <c r="F144" i="77" s="1"/>
  <c r="K72" i="77"/>
  <c r="K71" i="77"/>
  <c r="K70" i="77"/>
  <c r="K69" i="77"/>
  <c r="I68" i="77"/>
  <c r="I74" i="77" s="1"/>
  <c r="I144" i="77" s="1"/>
  <c r="J64" i="77"/>
  <c r="J143" i="77" s="1"/>
  <c r="H64" i="77"/>
  <c r="H143" i="77" s="1"/>
  <c r="G64" i="77"/>
  <c r="G143" i="77" s="1"/>
  <c r="F64" i="77"/>
  <c r="F143" i="77" s="1"/>
  <c r="K62" i="77"/>
  <c r="K61" i="77"/>
  <c r="K60" i="77"/>
  <c r="I60" i="77"/>
  <c r="I59" i="77"/>
  <c r="K59" i="77" s="1"/>
  <c r="K58" i="77"/>
  <c r="I58" i="77"/>
  <c r="I57" i="77"/>
  <c r="K57" i="77" s="1"/>
  <c r="K56" i="77"/>
  <c r="I56" i="77"/>
  <c r="I55" i="77"/>
  <c r="K55" i="77" s="1"/>
  <c r="K54" i="77"/>
  <c r="I54" i="77"/>
  <c r="I53" i="77"/>
  <c r="I64" i="77" s="1"/>
  <c r="I143" i="77" s="1"/>
  <c r="J49" i="77"/>
  <c r="J142" i="77" s="1"/>
  <c r="I49" i="77"/>
  <c r="H49" i="77"/>
  <c r="H142" i="77" s="1"/>
  <c r="G49" i="77"/>
  <c r="G142" i="77" s="1"/>
  <c r="F49" i="77"/>
  <c r="F142" i="77" s="1"/>
  <c r="K47" i="77"/>
  <c r="K46" i="77"/>
  <c r="K45" i="77"/>
  <c r="K44" i="77"/>
  <c r="K43" i="77"/>
  <c r="K42" i="77"/>
  <c r="K41" i="77"/>
  <c r="K49" i="77" s="1"/>
  <c r="K142" i="77" s="1"/>
  <c r="K40" i="77"/>
  <c r="J36" i="77"/>
  <c r="J141" i="77" s="1"/>
  <c r="J152" i="77" s="1"/>
  <c r="I36" i="77"/>
  <c r="I141" i="77" s="1"/>
  <c r="H36" i="77"/>
  <c r="H141" i="77" s="1"/>
  <c r="G36" i="77"/>
  <c r="F36" i="77"/>
  <c r="F141" i="77" s="1"/>
  <c r="F152" i="77" s="1"/>
  <c r="K34" i="77"/>
  <c r="I34" i="77"/>
  <c r="I33" i="77"/>
  <c r="K33" i="77" s="1"/>
  <c r="K32" i="77"/>
  <c r="I32" i="77"/>
  <c r="I31" i="77"/>
  <c r="K31" i="77" s="1"/>
  <c r="K30" i="77"/>
  <c r="I30" i="77"/>
  <c r="I29" i="77"/>
  <c r="K29" i="77" s="1"/>
  <c r="K28" i="77"/>
  <c r="I28" i="77"/>
  <c r="I27" i="77"/>
  <c r="K27" i="77" s="1"/>
  <c r="K26" i="77"/>
  <c r="I26" i="77"/>
  <c r="I25" i="77"/>
  <c r="K25" i="77" s="1"/>
  <c r="K24" i="77"/>
  <c r="I24" i="77"/>
  <c r="I23" i="77"/>
  <c r="K23" i="77" s="1"/>
  <c r="K22" i="77"/>
  <c r="I22" i="77"/>
  <c r="I21" i="77"/>
  <c r="K21" i="77" s="1"/>
  <c r="K18" i="77"/>
  <c r="K150" i="77" s="1"/>
  <c r="K152" i="73" l="1"/>
  <c r="H152" i="77"/>
  <c r="K36" i="77"/>
  <c r="K141" i="77" s="1"/>
  <c r="I152" i="77"/>
  <c r="K98" i="77"/>
  <c r="K146" i="77" s="1"/>
  <c r="G152" i="77"/>
  <c r="K53" i="77"/>
  <c r="K64" i="77" s="1"/>
  <c r="K143" i="77" s="1"/>
  <c r="K68" i="77"/>
  <c r="K74" i="77" s="1"/>
  <c r="K144" i="77" s="1"/>
  <c r="F155" i="73" l="1"/>
  <c r="F154" i="73"/>
  <c r="K152" i="77"/>
  <c r="F155" i="77" l="1"/>
  <c r="F154" i="77"/>
  <c r="K150" i="76" l="1"/>
  <c r="J150" i="76"/>
  <c r="I150" i="76"/>
  <c r="H150" i="76"/>
  <c r="J149" i="76"/>
  <c r="F149" i="76"/>
  <c r="K148" i="76"/>
  <c r="I143" i="76"/>
  <c r="H142" i="76"/>
  <c r="G142" i="76"/>
  <c r="J141" i="76"/>
  <c r="F141" i="76"/>
  <c r="K137" i="76"/>
  <c r="K149" i="76" s="1"/>
  <c r="J137" i="76"/>
  <c r="I137" i="76"/>
  <c r="I149" i="76" s="1"/>
  <c r="H137" i="76"/>
  <c r="H149" i="76" s="1"/>
  <c r="G137" i="76"/>
  <c r="G149" i="76" s="1"/>
  <c r="F137" i="76"/>
  <c r="K135" i="76"/>
  <c r="K134" i="76"/>
  <c r="K133" i="76"/>
  <c r="K132" i="76"/>
  <c r="K131" i="76"/>
  <c r="J108" i="76"/>
  <c r="J147" i="76" s="1"/>
  <c r="H108" i="76"/>
  <c r="H147" i="76" s="1"/>
  <c r="G108" i="76"/>
  <c r="G147" i="76" s="1"/>
  <c r="F108" i="76"/>
  <c r="F147" i="76" s="1"/>
  <c r="I106" i="76"/>
  <c r="K106" i="76" s="1"/>
  <c r="I105" i="76"/>
  <c r="I108" i="76" s="1"/>
  <c r="I147" i="76" s="1"/>
  <c r="K104" i="76"/>
  <c r="K103" i="76"/>
  <c r="K102" i="76"/>
  <c r="J98" i="76"/>
  <c r="J146" i="76" s="1"/>
  <c r="H98" i="76"/>
  <c r="H146" i="76" s="1"/>
  <c r="G98" i="76"/>
  <c r="G146" i="76" s="1"/>
  <c r="F98" i="76"/>
  <c r="F146" i="76" s="1"/>
  <c r="I96" i="76"/>
  <c r="K96" i="76" s="1"/>
  <c r="K95" i="76"/>
  <c r="I95" i="76"/>
  <c r="I94" i="76"/>
  <c r="K94" i="76" s="1"/>
  <c r="K93" i="76"/>
  <c r="I92" i="76"/>
  <c r="K92" i="76" s="1"/>
  <c r="I91" i="76"/>
  <c r="K91" i="76" s="1"/>
  <c r="I90" i="76"/>
  <c r="K90" i="76" s="1"/>
  <c r="I89" i="76"/>
  <c r="K89" i="76" s="1"/>
  <c r="I88" i="76"/>
  <c r="K88" i="76" s="1"/>
  <c r="K87" i="76"/>
  <c r="K86" i="76"/>
  <c r="I86" i="76"/>
  <c r="I98" i="76" s="1"/>
  <c r="I146" i="76" s="1"/>
  <c r="J82" i="76"/>
  <c r="J145" i="76" s="1"/>
  <c r="I82" i="76"/>
  <c r="I145" i="76" s="1"/>
  <c r="H82" i="76"/>
  <c r="H145" i="76" s="1"/>
  <c r="G82" i="76"/>
  <c r="G145" i="76" s="1"/>
  <c r="F82" i="76"/>
  <c r="F145" i="76" s="1"/>
  <c r="K80" i="76"/>
  <c r="K79" i="76"/>
  <c r="K78" i="76"/>
  <c r="K77" i="76"/>
  <c r="K82" i="76" s="1"/>
  <c r="K145" i="76" s="1"/>
  <c r="J74" i="76"/>
  <c r="J144" i="76" s="1"/>
  <c r="I74" i="76"/>
  <c r="I144" i="76" s="1"/>
  <c r="H74" i="76"/>
  <c r="H144" i="76" s="1"/>
  <c r="G74" i="76"/>
  <c r="G144" i="76" s="1"/>
  <c r="F74" i="76"/>
  <c r="F144" i="76" s="1"/>
  <c r="K72" i="76"/>
  <c r="K71" i="76"/>
  <c r="K70" i="76"/>
  <c r="K74" i="76" s="1"/>
  <c r="K144" i="76" s="1"/>
  <c r="K69" i="76"/>
  <c r="K68" i="76"/>
  <c r="J64" i="76"/>
  <c r="J143" i="76" s="1"/>
  <c r="I64" i="76"/>
  <c r="H64" i="76"/>
  <c r="H143" i="76" s="1"/>
  <c r="G64" i="76"/>
  <c r="G143" i="76" s="1"/>
  <c r="F64" i="76"/>
  <c r="F143" i="76" s="1"/>
  <c r="K62" i="76"/>
  <c r="K61" i="76"/>
  <c r="K60" i="76"/>
  <c r="K59" i="76"/>
  <c r="K58" i="76"/>
  <c r="K57" i="76"/>
  <c r="K56" i="76"/>
  <c r="K55" i="76"/>
  <c r="K64" i="76" s="1"/>
  <c r="K143" i="76" s="1"/>
  <c r="K54" i="76"/>
  <c r="K53" i="76"/>
  <c r="J49" i="76"/>
  <c r="J142" i="76" s="1"/>
  <c r="I49" i="76"/>
  <c r="I142" i="76" s="1"/>
  <c r="H49" i="76"/>
  <c r="G49" i="76"/>
  <c r="F49" i="76"/>
  <c r="F142" i="76" s="1"/>
  <c r="K47" i="76"/>
  <c r="K46" i="76"/>
  <c r="K45" i="76"/>
  <c r="K44" i="76"/>
  <c r="K43" i="76"/>
  <c r="K42" i="76"/>
  <c r="K41" i="76"/>
  <c r="K40" i="76"/>
  <c r="K49" i="76" s="1"/>
  <c r="K142" i="76" s="1"/>
  <c r="J36" i="76"/>
  <c r="H36" i="76"/>
  <c r="H141" i="76" s="1"/>
  <c r="H152" i="76" s="1"/>
  <c r="G36" i="76"/>
  <c r="G141" i="76" s="1"/>
  <c r="F36" i="76"/>
  <c r="I34" i="76"/>
  <c r="K34" i="76" s="1"/>
  <c r="I33" i="76"/>
  <c r="K33" i="76" s="1"/>
  <c r="K32" i="76"/>
  <c r="K31" i="76"/>
  <c r="K30" i="76"/>
  <c r="K29" i="76"/>
  <c r="I28" i="76"/>
  <c r="K28" i="76" s="1"/>
  <c r="I27" i="76"/>
  <c r="K27" i="76" s="1"/>
  <c r="I26" i="76"/>
  <c r="K26" i="76" s="1"/>
  <c r="I25" i="76"/>
  <c r="K25" i="76" s="1"/>
  <c r="K24" i="76"/>
  <c r="K23" i="76"/>
  <c r="I23" i="76"/>
  <c r="K22" i="76"/>
  <c r="K21" i="76"/>
  <c r="K108" i="76" l="1"/>
  <c r="K147" i="76" s="1"/>
  <c r="F152" i="76"/>
  <c r="K98" i="76"/>
  <c r="K146" i="76" s="1"/>
  <c r="K36" i="76"/>
  <c r="K141" i="76" s="1"/>
  <c r="G152" i="76"/>
  <c r="J152" i="76"/>
  <c r="I36" i="76"/>
  <c r="I141" i="76" s="1"/>
  <c r="I152" i="76" s="1"/>
  <c r="K105" i="76"/>
  <c r="K152" i="76" l="1"/>
  <c r="F154" i="76" l="1"/>
  <c r="F155" i="76"/>
  <c r="J150" i="110" l="1"/>
  <c r="I150" i="110"/>
  <c r="H150" i="110"/>
  <c r="G149" i="110"/>
  <c r="K148" i="110"/>
  <c r="J147" i="110"/>
  <c r="F147" i="110"/>
  <c r="J145" i="110"/>
  <c r="F145" i="110"/>
  <c r="H144" i="110"/>
  <c r="J143" i="110"/>
  <c r="F143" i="110"/>
  <c r="H142" i="110"/>
  <c r="J141" i="110"/>
  <c r="F141" i="110"/>
  <c r="J137" i="110"/>
  <c r="J149" i="110" s="1"/>
  <c r="I137" i="110"/>
  <c r="I149" i="110" s="1"/>
  <c r="H137" i="110"/>
  <c r="G137" i="110"/>
  <c r="F137" i="110"/>
  <c r="F149" i="110" s="1"/>
  <c r="K135" i="110"/>
  <c r="K134" i="110"/>
  <c r="K133" i="110"/>
  <c r="K132" i="110"/>
  <c r="K131" i="110"/>
  <c r="K137" i="110" s="1"/>
  <c r="K149" i="110" s="1"/>
  <c r="F119" i="110"/>
  <c r="J108" i="110"/>
  <c r="H108" i="110"/>
  <c r="H147" i="110" s="1"/>
  <c r="G108" i="110"/>
  <c r="G147" i="110" s="1"/>
  <c r="F108" i="110"/>
  <c r="I106" i="110"/>
  <c r="K106" i="110" s="1"/>
  <c r="I105" i="110"/>
  <c r="K105" i="110" s="1"/>
  <c r="I104" i="110"/>
  <c r="K104" i="110" s="1"/>
  <c r="I103" i="110"/>
  <c r="K103" i="110" s="1"/>
  <c r="I102" i="110"/>
  <c r="I108" i="110" s="1"/>
  <c r="I147" i="110" s="1"/>
  <c r="J98" i="110"/>
  <c r="J146" i="110" s="1"/>
  <c r="H98" i="110"/>
  <c r="H146" i="110" s="1"/>
  <c r="G98" i="110"/>
  <c r="G146" i="110" s="1"/>
  <c r="F98" i="110"/>
  <c r="F146" i="110" s="1"/>
  <c r="I96" i="110"/>
  <c r="K96" i="110" s="1"/>
  <c r="I95" i="110"/>
  <c r="K95" i="110" s="1"/>
  <c r="I94" i="110"/>
  <c r="K94" i="110" s="1"/>
  <c r="I93" i="110"/>
  <c r="K93" i="110" s="1"/>
  <c r="I92" i="110"/>
  <c r="K92" i="110" s="1"/>
  <c r="I91" i="110"/>
  <c r="K91" i="110" s="1"/>
  <c r="I90" i="110"/>
  <c r="K90" i="110" s="1"/>
  <c r="I89" i="110"/>
  <c r="K89" i="110" s="1"/>
  <c r="I88" i="110"/>
  <c r="K88" i="110" s="1"/>
  <c r="I87" i="110"/>
  <c r="K87" i="110" s="1"/>
  <c r="I86" i="110"/>
  <c r="I98" i="110" s="1"/>
  <c r="I146" i="110" s="1"/>
  <c r="J82" i="110"/>
  <c r="I82" i="110"/>
  <c r="I145" i="110" s="1"/>
  <c r="H82" i="110"/>
  <c r="H145" i="110" s="1"/>
  <c r="G82" i="110"/>
  <c r="G145" i="110" s="1"/>
  <c r="F82" i="110"/>
  <c r="K80" i="110"/>
  <c r="K79" i="110"/>
  <c r="K78" i="110"/>
  <c r="K77" i="110"/>
  <c r="K82" i="110" s="1"/>
  <c r="K145" i="110" s="1"/>
  <c r="J74" i="110"/>
  <c r="J144" i="110" s="1"/>
  <c r="I74" i="110"/>
  <c r="I144" i="110" s="1"/>
  <c r="H74" i="110"/>
  <c r="G74" i="110"/>
  <c r="G144" i="110" s="1"/>
  <c r="F74" i="110"/>
  <c r="F144" i="110" s="1"/>
  <c r="K72" i="110"/>
  <c r="K71" i="110"/>
  <c r="K70" i="110"/>
  <c r="K69" i="110"/>
  <c r="K68" i="110"/>
  <c r="K74" i="110" s="1"/>
  <c r="K144" i="110" s="1"/>
  <c r="J64" i="110"/>
  <c r="I64" i="110"/>
  <c r="I143" i="110" s="1"/>
  <c r="H64" i="110"/>
  <c r="H143" i="110" s="1"/>
  <c r="G64" i="110"/>
  <c r="G143" i="110" s="1"/>
  <c r="F64" i="110"/>
  <c r="K62" i="110"/>
  <c r="K61" i="110"/>
  <c r="K60" i="110"/>
  <c r="K59" i="110"/>
  <c r="K58" i="110"/>
  <c r="K57" i="110"/>
  <c r="K56" i="110"/>
  <c r="K55" i="110"/>
  <c r="K54" i="110"/>
  <c r="K53" i="110"/>
  <c r="K64" i="110" s="1"/>
  <c r="K143" i="110" s="1"/>
  <c r="J49" i="110"/>
  <c r="J142" i="110" s="1"/>
  <c r="I49" i="110"/>
  <c r="I142" i="110" s="1"/>
  <c r="H49" i="110"/>
  <c r="G49" i="110"/>
  <c r="G142" i="110" s="1"/>
  <c r="F49" i="110"/>
  <c r="F142" i="110" s="1"/>
  <c r="K47" i="110"/>
  <c r="K46" i="110"/>
  <c r="K45" i="110"/>
  <c r="K44" i="110"/>
  <c r="K43" i="110"/>
  <c r="K42" i="110"/>
  <c r="K41" i="110"/>
  <c r="K40" i="110"/>
  <c r="K49" i="110" s="1"/>
  <c r="K142" i="110" s="1"/>
  <c r="J36" i="110"/>
  <c r="H36" i="110"/>
  <c r="H141" i="110" s="1"/>
  <c r="G36" i="110"/>
  <c r="G141" i="110" s="1"/>
  <c r="F36" i="110"/>
  <c r="I34" i="110"/>
  <c r="K34" i="110" s="1"/>
  <c r="K33" i="110"/>
  <c r="I33" i="110"/>
  <c r="I32" i="110"/>
  <c r="K32" i="110" s="1"/>
  <c r="K31" i="110"/>
  <c r="I31" i="110"/>
  <c r="I30" i="110"/>
  <c r="K30" i="110" s="1"/>
  <c r="K29" i="110"/>
  <c r="I29" i="110"/>
  <c r="I28" i="110"/>
  <c r="K28" i="110" s="1"/>
  <c r="K27" i="110"/>
  <c r="I27" i="110"/>
  <c r="I26" i="110"/>
  <c r="K26" i="110" s="1"/>
  <c r="K25" i="110"/>
  <c r="I25" i="110"/>
  <c r="I24" i="110"/>
  <c r="K24" i="110" s="1"/>
  <c r="K23" i="110"/>
  <c r="I23" i="110"/>
  <c r="I22" i="110"/>
  <c r="K22" i="110" s="1"/>
  <c r="K21" i="110"/>
  <c r="I21" i="110"/>
  <c r="I36" i="110" s="1"/>
  <c r="I141" i="110" s="1"/>
  <c r="K18" i="110"/>
  <c r="K150" i="110" s="1"/>
  <c r="G152" i="110" l="1"/>
  <c r="H152" i="110"/>
  <c r="F152" i="110"/>
  <c r="K36" i="110"/>
  <c r="K141" i="110" s="1"/>
  <c r="I152" i="110"/>
  <c r="J152" i="110"/>
  <c r="K86" i="110"/>
  <c r="K98" i="110" s="1"/>
  <c r="K146" i="110" s="1"/>
  <c r="K102" i="110"/>
  <c r="K108" i="110" s="1"/>
  <c r="K147" i="110" s="1"/>
  <c r="K152" i="110" l="1"/>
  <c r="F155" i="110" l="1"/>
  <c r="F154" i="110"/>
  <c r="J150" i="68" l="1"/>
  <c r="I150" i="68"/>
  <c r="H150" i="68"/>
  <c r="H149" i="68"/>
  <c r="K148" i="68"/>
  <c r="J146" i="68"/>
  <c r="F146" i="68"/>
  <c r="G143" i="68"/>
  <c r="J142" i="68"/>
  <c r="F142" i="68"/>
  <c r="G141" i="68"/>
  <c r="J137" i="68"/>
  <c r="J149" i="68" s="1"/>
  <c r="I137" i="68"/>
  <c r="I149" i="68" s="1"/>
  <c r="H137" i="68"/>
  <c r="G137" i="68"/>
  <c r="G149" i="68" s="1"/>
  <c r="F137" i="68"/>
  <c r="F149" i="68" s="1"/>
  <c r="K135" i="68"/>
  <c r="K134" i="68"/>
  <c r="K133" i="68"/>
  <c r="K132" i="68"/>
  <c r="K131" i="68"/>
  <c r="K137" i="68" s="1"/>
  <c r="K149" i="68" s="1"/>
  <c r="F119" i="68"/>
  <c r="F123" i="68" s="1"/>
  <c r="F127" i="68" s="1"/>
  <c r="J108" i="68"/>
  <c r="J147" i="68" s="1"/>
  <c r="H108" i="68"/>
  <c r="H147" i="68" s="1"/>
  <c r="G108" i="68"/>
  <c r="G147" i="68" s="1"/>
  <c r="F108" i="68"/>
  <c r="F147" i="68" s="1"/>
  <c r="I106" i="68"/>
  <c r="K106" i="68" s="1"/>
  <c r="K105" i="68"/>
  <c r="I105" i="68"/>
  <c r="I104" i="68"/>
  <c r="K104" i="68" s="1"/>
  <c r="K103" i="68"/>
  <c r="I103" i="68"/>
  <c r="I102" i="68"/>
  <c r="I108" i="68" s="1"/>
  <c r="I147" i="68" s="1"/>
  <c r="J98" i="68"/>
  <c r="H98" i="68"/>
  <c r="H146" i="68" s="1"/>
  <c r="G98" i="68"/>
  <c r="G146" i="68" s="1"/>
  <c r="F98" i="68"/>
  <c r="I96" i="68"/>
  <c r="K96" i="68" s="1"/>
  <c r="K95" i="68"/>
  <c r="I95" i="68"/>
  <c r="I94" i="68"/>
  <c r="K94" i="68" s="1"/>
  <c r="K93" i="68"/>
  <c r="I93" i="68"/>
  <c r="I92" i="68"/>
  <c r="K92" i="68" s="1"/>
  <c r="K91" i="68"/>
  <c r="I91" i="68"/>
  <c r="I90" i="68"/>
  <c r="K90" i="68" s="1"/>
  <c r="K89" i="68"/>
  <c r="I89" i="68"/>
  <c r="I88" i="68"/>
  <c r="K88" i="68" s="1"/>
  <c r="K87" i="68"/>
  <c r="I87" i="68"/>
  <c r="I86" i="68"/>
  <c r="I98" i="68" s="1"/>
  <c r="I146" i="68" s="1"/>
  <c r="J82" i="68"/>
  <c r="J145" i="68" s="1"/>
  <c r="I82" i="68"/>
  <c r="I145" i="68" s="1"/>
  <c r="H82" i="68"/>
  <c r="H145" i="68" s="1"/>
  <c r="G82" i="68"/>
  <c r="G145" i="68" s="1"/>
  <c r="F82" i="68"/>
  <c r="F145" i="68" s="1"/>
  <c r="K80" i="68"/>
  <c r="K79" i="68"/>
  <c r="K78" i="68"/>
  <c r="K82" i="68" s="1"/>
  <c r="K145" i="68" s="1"/>
  <c r="K77" i="68"/>
  <c r="J74" i="68"/>
  <c r="J144" i="68" s="1"/>
  <c r="I74" i="68"/>
  <c r="I144" i="68" s="1"/>
  <c r="H74" i="68"/>
  <c r="H144" i="68" s="1"/>
  <c r="G74" i="68"/>
  <c r="G144" i="68" s="1"/>
  <c r="F74" i="68"/>
  <c r="F144" i="68" s="1"/>
  <c r="K72" i="68"/>
  <c r="K71" i="68"/>
  <c r="K70" i="68"/>
  <c r="K69" i="68"/>
  <c r="K68" i="68"/>
  <c r="K74" i="68" s="1"/>
  <c r="K144" i="68" s="1"/>
  <c r="J64" i="68"/>
  <c r="J143" i="68" s="1"/>
  <c r="H64" i="68"/>
  <c r="H143" i="68" s="1"/>
  <c r="G64" i="68"/>
  <c r="F64" i="68"/>
  <c r="F143" i="68" s="1"/>
  <c r="K62" i="68"/>
  <c r="K61" i="68"/>
  <c r="K60" i="68"/>
  <c r="K59" i="68"/>
  <c r="K58" i="68"/>
  <c r="K57" i="68"/>
  <c r="K56" i="68"/>
  <c r="I55" i="68"/>
  <c r="K55" i="68" s="1"/>
  <c r="K54" i="68"/>
  <c r="I54" i="68"/>
  <c r="I53" i="68"/>
  <c r="K53" i="68" s="1"/>
  <c r="J49" i="68"/>
  <c r="H49" i="68"/>
  <c r="H142" i="68" s="1"/>
  <c r="G49" i="68"/>
  <c r="G142" i="68" s="1"/>
  <c r="F49" i="68"/>
  <c r="K47" i="68"/>
  <c r="K46" i="68"/>
  <c r="K45" i="68"/>
  <c r="K44" i="68"/>
  <c r="K43" i="68"/>
  <c r="K42" i="68"/>
  <c r="H41" i="68"/>
  <c r="I41" i="68" s="1"/>
  <c r="K41" i="68" s="1"/>
  <c r="I40" i="68"/>
  <c r="J36" i="68"/>
  <c r="J141" i="68" s="1"/>
  <c r="H36" i="68"/>
  <c r="H141" i="68" s="1"/>
  <c r="G36" i="68"/>
  <c r="F36" i="68"/>
  <c r="F141" i="68" s="1"/>
  <c r="I34" i="68"/>
  <c r="K34" i="68" s="1"/>
  <c r="I33" i="68"/>
  <c r="K33" i="68" s="1"/>
  <c r="I32" i="68"/>
  <c r="K32" i="68" s="1"/>
  <c r="I31" i="68"/>
  <c r="K31" i="68" s="1"/>
  <c r="I30" i="68"/>
  <c r="K30" i="68" s="1"/>
  <c r="I29" i="68"/>
  <c r="K29" i="68" s="1"/>
  <c r="I28" i="68"/>
  <c r="K28" i="68" s="1"/>
  <c r="I27" i="68"/>
  <c r="K27" i="68" s="1"/>
  <c r="I26" i="68"/>
  <c r="K26" i="68" s="1"/>
  <c r="I25" i="68"/>
  <c r="K25" i="68" s="1"/>
  <c r="I24" i="68"/>
  <c r="K24" i="68" s="1"/>
  <c r="I23" i="68"/>
  <c r="K23" i="68" s="1"/>
  <c r="I22" i="68"/>
  <c r="I21" i="68"/>
  <c r="K21" i="68" s="1"/>
  <c r="K18" i="68"/>
  <c r="K150" i="68" s="1"/>
  <c r="H152" i="68" l="1"/>
  <c r="K64" i="68"/>
  <c r="K143" i="68" s="1"/>
  <c r="I36" i="68"/>
  <c r="I141" i="68" s="1"/>
  <c r="K22" i="68"/>
  <c r="K36" i="68" s="1"/>
  <c r="K141" i="68" s="1"/>
  <c r="K152" i="68" s="1"/>
  <c r="J152" i="68"/>
  <c r="F152" i="68"/>
  <c r="I49" i="68"/>
  <c r="I142" i="68" s="1"/>
  <c r="K40" i="68"/>
  <c r="K49" i="68" s="1"/>
  <c r="K142" i="68" s="1"/>
  <c r="G152" i="68"/>
  <c r="I64" i="68"/>
  <c r="I143" i="68" s="1"/>
  <c r="K86" i="68"/>
  <c r="K98" i="68" s="1"/>
  <c r="K146" i="68" s="1"/>
  <c r="K102" i="68"/>
  <c r="K108" i="68" s="1"/>
  <c r="K147" i="68" s="1"/>
  <c r="F155" i="68" l="1"/>
  <c r="F154" i="68"/>
  <c r="I152" i="68"/>
  <c r="K150" i="67" l="1"/>
  <c r="J150" i="67"/>
  <c r="I150" i="67"/>
  <c r="H150" i="67"/>
  <c r="J149" i="67"/>
  <c r="F149" i="67"/>
  <c r="K148" i="67"/>
  <c r="J147" i="67"/>
  <c r="F147" i="67"/>
  <c r="J145" i="67"/>
  <c r="I145" i="67"/>
  <c r="F145" i="67"/>
  <c r="H144" i="67"/>
  <c r="G144" i="67"/>
  <c r="J143" i="67"/>
  <c r="I143" i="67"/>
  <c r="F143" i="67"/>
  <c r="J137" i="67"/>
  <c r="I137" i="67"/>
  <c r="I149" i="67" s="1"/>
  <c r="H137" i="67"/>
  <c r="H149" i="67" s="1"/>
  <c r="G137" i="67"/>
  <c r="G149" i="67" s="1"/>
  <c r="F137" i="67"/>
  <c r="K135" i="67"/>
  <c r="K134" i="67"/>
  <c r="K133" i="67"/>
  <c r="K137" i="67" s="1"/>
  <c r="K149" i="67" s="1"/>
  <c r="K132" i="67"/>
  <c r="K131" i="67"/>
  <c r="F119" i="67"/>
  <c r="J108" i="67"/>
  <c r="H108" i="67"/>
  <c r="H147" i="67" s="1"/>
  <c r="G108" i="67"/>
  <c r="G147" i="67" s="1"/>
  <c r="F108" i="67"/>
  <c r="I106" i="67"/>
  <c r="K106" i="67" s="1"/>
  <c r="K105" i="67"/>
  <c r="I105" i="67"/>
  <c r="I104" i="67"/>
  <c r="K104" i="67" s="1"/>
  <c r="K103" i="67"/>
  <c r="I103" i="67"/>
  <c r="I102" i="67"/>
  <c r="I108" i="67" s="1"/>
  <c r="I147" i="67" s="1"/>
  <c r="J98" i="67"/>
  <c r="J146" i="67" s="1"/>
  <c r="H98" i="67"/>
  <c r="H146" i="67" s="1"/>
  <c r="G98" i="67"/>
  <c r="G146" i="67" s="1"/>
  <c r="F98" i="67"/>
  <c r="F146" i="67" s="1"/>
  <c r="I96" i="67"/>
  <c r="K96" i="67" s="1"/>
  <c r="K95" i="67"/>
  <c r="I95" i="67"/>
  <c r="I94" i="67"/>
  <c r="K94" i="67" s="1"/>
  <c r="K93" i="67"/>
  <c r="I93" i="67"/>
  <c r="I92" i="67"/>
  <c r="K92" i="67" s="1"/>
  <c r="K91" i="67"/>
  <c r="I91" i="67"/>
  <c r="I90" i="67"/>
  <c r="K90" i="67" s="1"/>
  <c r="K89" i="67"/>
  <c r="I89" i="67"/>
  <c r="I88" i="67"/>
  <c r="K88" i="67" s="1"/>
  <c r="K87" i="67"/>
  <c r="I87" i="67"/>
  <c r="I86" i="67"/>
  <c r="I98" i="67" s="1"/>
  <c r="I146" i="67" s="1"/>
  <c r="J82" i="67"/>
  <c r="I82" i="67"/>
  <c r="H82" i="67"/>
  <c r="H145" i="67" s="1"/>
  <c r="G82" i="67"/>
  <c r="G145" i="67" s="1"/>
  <c r="F82" i="67"/>
  <c r="K80" i="67"/>
  <c r="K79" i="67"/>
  <c r="K78" i="67"/>
  <c r="K82" i="67" s="1"/>
  <c r="K145" i="67" s="1"/>
  <c r="K77" i="67"/>
  <c r="J74" i="67"/>
  <c r="J144" i="67" s="1"/>
  <c r="I74" i="67"/>
  <c r="I144" i="67" s="1"/>
  <c r="H74" i="67"/>
  <c r="G74" i="67"/>
  <c r="F74" i="67"/>
  <c r="F144" i="67" s="1"/>
  <c r="K72" i="67"/>
  <c r="K71" i="67"/>
  <c r="K70" i="67"/>
  <c r="K69" i="67"/>
  <c r="K68" i="67"/>
  <c r="K74" i="67" s="1"/>
  <c r="K144" i="67" s="1"/>
  <c r="J64" i="67"/>
  <c r="I64" i="67"/>
  <c r="H64" i="67"/>
  <c r="H143" i="67" s="1"/>
  <c r="G64" i="67"/>
  <c r="G143" i="67" s="1"/>
  <c r="F64" i="67"/>
  <c r="K62" i="67"/>
  <c r="K61" i="67"/>
  <c r="K60" i="67"/>
  <c r="K58" i="67"/>
  <c r="K57" i="67"/>
  <c r="K56" i="67"/>
  <c r="K55" i="67"/>
  <c r="K54" i="67"/>
  <c r="K53" i="67"/>
  <c r="K64" i="67" s="1"/>
  <c r="K143" i="67" s="1"/>
  <c r="J49" i="67"/>
  <c r="J142" i="67" s="1"/>
  <c r="I49" i="67"/>
  <c r="I142" i="67" s="1"/>
  <c r="H49" i="67"/>
  <c r="H142" i="67" s="1"/>
  <c r="G49" i="67"/>
  <c r="G142" i="67" s="1"/>
  <c r="F49" i="67"/>
  <c r="F142" i="67" s="1"/>
  <c r="K47" i="67"/>
  <c r="K46" i="67"/>
  <c r="K45" i="67"/>
  <c r="K44" i="67"/>
  <c r="K43" i="67"/>
  <c r="K42" i="67"/>
  <c r="K41" i="67"/>
  <c r="K49" i="67" s="1"/>
  <c r="K142" i="67" s="1"/>
  <c r="K40" i="67"/>
  <c r="J36" i="67"/>
  <c r="J141" i="67" s="1"/>
  <c r="J152" i="67" s="1"/>
  <c r="I36" i="67"/>
  <c r="I141" i="67" s="1"/>
  <c r="H36" i="67"/>
  <c r="H141" i="67" s="1"/>
  <c r="F36" i="67"/>
  <c r="F141" i="67" s="1"/>
  <c r="F152" i="67" s="1"/>
  <c r="K34" i="67"/>
  <c r="I34" i="67"/>
  <c r="I33" i="67"/>
  <c r="K33" i="67" s="1"/>
  <c r="K32" i="67"/>
  <c r="I32" i="67"/>
  <c r="I31" i="67"/>
  <c r="K31" i="67" s="1"/>
  <c r="K30" i="67"/>
  <c r="I30" i="67"/>
  <c r="I29" i="67"/>
  <c r="K29" i="67" s="1"/>
  <c r="K28" i="67"/>
  <c r="I28" i="67"/>
  <c r="I27" i="67"/>
  <c r="K27" i="67" s="1"/>
  <c r="K26" i="67"/>
  <c r="I26" i="67"/>
  <c r="I25" i="67"/>
  <c r="K25" i="67" s="1"/>
  <c r="K24" i="67"/>
  <c r="I24" i="67"/>
  <c r="I23" i="67"/>
  <c r="K23" i="67" s="1"/>
  <c r="K22" i="67"/>
  <c r="I22" i="67"/>
  <c r="I21" i="67"/>
  <c r="K21" i="67" s="1"/>
  <c r="K36" i="67" s="1"/>
  <c r="K141" i="67" s="1"/>
  <c r="G21" i="67"/>
  <c r="G36" i="67" s="1"/>
  <c r="G141" i="67" s="1"/>
  <c r="K18" i="67"/>
  <c r="H152" i="67" l="1"/>
  <c r="G152" i="67"/>
  <c r="I152" i="67"/>
  <c r="K86" i="67"/>
  <c r="K98" i="67" s="1"/>
  <c r="K146" i="67" s="1"/>
  <c r="K152" i="67" s="1"/>
  <c r="K102" i="67"/>
  <c r="K108" i="67" s="1"/>
  <c r="K147" i="67" s="1"/>
  <c r="F155" i="67" l="1"/>
  <c r="F154" i="67"/>
  <c r="C53" i="127" l="1"/>
  <c r="E53" i="3"/>
  <c r="D53" i="3"/>
  <c r="C53" i="3"/>
  <c r="C64" i="6" l="1"/>
  <c r="B64" i="6"/>
  <c r="D29" i="6"/>
  <c r="C29" i="6"/>
  <c r="B29" i="6"/>
  <c r="E39" i="6"/>
  <c r="D41" i="6"/>
  <c r="D31" i="6" s="1"/>
  <c r="C41" i="6"/>
  <c r="C31" i="6" s="1"/>
  <c r="B41" i="6"/>
  <c r="B31" i="6" s="1"/>
  <c r="E29" i="6" l="1"/>
  <c r="D64" i="6" s="1"/>
  <c r="C52" i="6" s="1"/>
  <c r="E31" i="6"/>
  <c r="B52" i="6"/>
  <c r="B76" i="6"/>
  <c r="F52" i="4"/>
  <c r="H52" i="126" s="1"/>
  <c r="F51" i="4"/>
  <c r="H51" i="126" s="1"/>
  <c r="F50" i="4"/>
  <c r="H50" i="126" s="1"/>
  <c r="F49" i="4"/>
  <c r="H49" i="126" s="1"/>
  <c r="F48" i="4"/>
  <c r="H48" i="126" s="1"/>
  <c r="F47" i="4"/>
  <c r="H47" i="126" s="1"/>
  <c r="F46" i="4"/>
  <c r="H46" i="126" s="1"/>
  <c r="F45" i="4"/>
  <c r="H45" i="126" s="1"/>
  <c r="F44" i="4"/>
  <c r="H44" i="126" s="1"/>
  <c r="F43" i="4"/>
  <c r="H43" i="126" s="1"/>
  <c r="F42" i="4"/>
  <c r="H42" i="126" s="1"/>
  <c r="F41" i="4"/>
  <c r="H41" i="126" s="1"/>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3" i="4"/>
  <c r="C76" i="6" l="1"/>
  <c r="F4" i="4"/>
  <c r="F53" i="4"/>
  <c r="F20" i="126" l="1"/>
  <c r="E11" i="126" l="1"/>
  <c r="F31" i="126" l="1"/>
  <c r="G16" i="60" l="1"/>
  <c r="G14" i="60"/>
  <c r="G11" i="60"/>
  <c r="D28" i="6" l="1"/>
  <c r="C28" i="6"/>
  <c r="E38" i="6"/>
  <c r="C63" i="6"/>
  <c r="B51" i="6" s="1"/>
  <c r="B63" i="6"/>
  <c r="B75" i="6" l="1"/>
  <c r="B28" i="6"/>
  <c r="E28" i="6" s="1"/>
  <c r="D63" i="6" s="1"/>
  <c r="C51" i="6" s="1"/>
  <c r="C75" i="6" l="1"/>
  <c r="E19" i="126" l="1"/>
  <c r="K19" i="126"/>
  <c r="K31" i="126"/>
  <c r="E31" i="126" l="1"/>
  <c r="D31" i="126"/>
  <c r="E20" i="126"/>
  <c r="E38" i="126"/>
  <c r="G100" i="60" l="1"/>
  <c r="H100" i="60"/>
  <c r="I100" i="60"/>
  <c r="K100" i="60"/>
  <c r="G101" i="60"/>
  <c r="H101" i="60"/>
  <c r="I101" i="60"/>
  <c r="K101" i="60"/>
  <c r="G102" i="60"/>
  <c r="H102" i="60"/>
  <c r="I102" i="60"/>
  <c r="K102" i="60"/>
  <c r="G103" i="60"/>
  <c r="H103" i="60"/>
  <c r="I103" i="60"/>
  <c r="K103" i="60"/>
  <c r="H99" i="60"/>
  <c r="I99" i="60"/>
  <c r="K99" i="60"/>
  <c r="H85" i="60"/>
  <c r="K68" i="60"/>
  <c r="H72" i="60"/>
  <c r="K72" i="60"/>
  <c r="G76" i="60"/>
  <c r="H76" i="60"/>
  <c r="I76" i="60"/>
  <c r="K76" i="60"/>
  <c r="H66" i="60"/>
  <c r="K66" i="60"/>
  <c r="G66" i="60"/>
  <c r="G56" i="60" l="1"/>
  <c r="H56" i="60"/>
  <c r="I56" i="60"/>
  <c r="K56" i="60"/>
  <c r="K57" i="60"/>
  <c r="G58" i="60"/>
  <c r="H58" i="60"/>
  <c r="I58" i="60"/>
  <c r="K58" i="60"/>
  <c r="G48" i="60"/>
  <c r="H48" i="60"/>
  <c r="K48" i="60"/>
  <c r="G49" i="60"/>
  <c r="H49" i="60"/>
  <c r="I49" i="60"/>
  <c r="K49" i="60"/>
  <c r="H47" i="60"/>
  <c r="K30" i="60"/>
  <c r="G32" i="60"/>
  <c r="H32" i="60"/>
  <c r="I32" i="60"/>
  <c r="K32" i="60"/>
  <c r="G33" i="60"/>
  <c r="H33" i="60"/>
  <c r="I33" i="60"/>
  <c r="K33" i="60"/>
  <c r="G34" i="60"/>
  <c r="H34" i="60"/>
  <c r="I34" i="60"/>
  <c r="K34" i="60"/>
  <c r="G35" i="60"/>
  <c r="H35" i="60"/>
  <c r="I35" i="60"/>
  <c r="K35" i="60"/>
  <c r="G36" i="60"/>
  <c r="H36" i="60"/>
  <c r="I36" i="60"/>
  <c r="K36" i="60"/>
  <c r="H6" i="60"/>
  <c r="J6" i="60"/>
  <c r="G6" i="60"/>
  <c r="H37" i="60" l="1"/>
  <c r="G37" i="60"/>
  <c r="K37" i="60"/>
  <c r="I37" i="60"/>
  <c r="G99" i="60"/>
  <c r="K22" i="60"/>
  <c r="I22" i="60"/>
  <c r="H22" i="60"/>
  <c r="G22" i="60"/>
  <c r="K21" i="60"/>
  <c r="I21" i="60"/>
  <c r="H21" i="60"/>
  <c r="G21" i="60"/>
  <c r="K20" i="60"/>
  <c r="H20" i="60"/>
  <c r="K19" i="60"/>
  <c r="I19" i="60"/>
  <c r="H19" i="60"/>
  <c r="G19" i="60"/>
  <c r="H18" i="60"/>
  <c r="H17" i="60"/>
  <c r="K16" i="60"/>
  <c r="H16" i="60"/>
  <c r="K15" i="60"/>
  <c r="I15" i="60"/>
  <c r="H15" i="60"/>
  <c r="G15" i="60"/>
  <c r="H14" i="60"/>
  <c r="I12" i="60" l="1"/>
  <c r="L10" i="60" l="1"/>
  <c r="L13" i="60"/>
  <c r="L11" i="60"/>
  <c r="L9" i="60"/>
  <c r="L15" i="60"/>
  <c r="J101" i="60" l="1"/>
  <c r="J99" i="60"/>
  <c r="J100" i="60" l="1"/>
  <c r="J102" i="60"/>
  <c r="K12" i="60"/>
  <c r="J103" i="60"/>
  <c r="I16" i="60" l="1"/>
  <c r="K14" i="60"/>
  <c r="I14" i="60"/>
  <c r="J58" i="60" l="1"/>
  <c r="J56" i="60"/>
  <c r="J49" i="60"/>
  <c r="D30" i="126" l="1"/>
  <c r="G87" i="60" l="1"/>
  <c r="G86" i="60"/>
  <c r="G75" i="60"/>
  <c r="G74" i="60"/>
  <c r="H70" i="60"/>
  <c r="G69" i="60"/>
  <c r="H86" i="60" l="1"/>
  <c r="H69" i="60"/>
  <c r="I70" i="60"/>
  <c r="H75" i="60"/>
  <c r="H74" i="60"/>
  <c r="I86" i="60" l="1"/>
  <c r="H87" i="60"/>
  <c r="I69" i="60"/>
  <c r="I75" i="60"/>
  <c r="I74" i="60"/>
  <c r="K70" i="60"/>
  <c r="I87" i="60" l="1"/>
  <c r="K69" i="60"/>
  <c r="K75" i="60"/>
  <c r="K74" i="60"/>
  <c r="K86" i="60" l="1"/>
  <c r="K87" i="60"/>
  <c r="D19" i="126" l="1"/>
  <c r="K55" i="60"/>
  <c r="H55" i="60"/>
  <c r="F19" i="126" l="1"/>
  <c r="K85" i="60" l="1"/>
  <c r="I85" i="60"/>
  <c r="G85" i="60"/>
  <c r="I72" i="60"/>
  <c r="G72" i="60"/>
  <c r="G70" i="60"/>
  <c r="I68" i="60"/>
  <c r="H68" i="60"/>
  <c r="G68" i="60"/>
  <c r="I66" i="60"/>
  <c r="I57" i="60"/>
  <c r="H57" i="60"/>
  <c r="G57" i="60"/>
  <c r="I55" i="60"/>
  <c r="G55" i="60"/>
  <c r="I48" i="60"/>
  <c r="K47" i="60"/>
  <c r="I47" i="60"/>
  <c r="G47" i="60"/>
  <c r="K31" i="60"/>
  <c r="I31" i="60"/>
  <c r="H31" i="60"/>
  <c r="G31" i="60"/>
  <c r="K29" i="60"/>
  <c r="H29" i="60"/>
  <c r="G29" i="60"/>
  <c r="K18" i="60"/>
  <c r="I18" i="60"/>
  <c r="G18" i="60"/>
  <c r="G17" i="60"/>
  <c r="H12" i="60"/>
  <c r="G12" i="60"/>
  <c r="J36" i="60" l="1"/>
  <c r="J35" i="60"/>
  <c r="J34" i="60"/>
  <c r="J33" i="60"/>
  <c r="J32" i="60"/>
  <c r="K17" i="60"/>
  <c r="J37" i="60" l="1"/>
  <c r="K84" i="60"/>
  <c r="I84" i="60"/>
  <c r="H84" i="60"/>
  <c r="G84" i="60"/>
  <c r="K83" i="60"/>
  <c r="I83" i="60"/>
  <c r="H83" i="60"/>
  <c r="G83" i="60"/>
  <c r="K73" i="60"/>
  <c r="I73" i="60"/>
  <c r="H73" i="60"/>
  <c r="G73" i="60"/>
  <c r="K71" i="60"/>
  <c r="I71" i="60"/>
  <c r="H71" i="60"/>
  <c r="G71" i="60"/>
  <c r="K67" i="60"/>
  <c r="I67" i="60"/>
  <c r="H67" i="60"/>
  <c r="G67" i="60"/>
  <c r="I30" i="60"/>
  <c r="H30" i="60"/>
  <c r="G30" i="60"/>
  <c r="G38" i="60" s="1"/>
  <c r="K13" i="60"/>
  <c r="I13" i="60"/>
  <c r="H13" i="60"/>
  <c r="G13" i="60"/>
  <c r="K11" i="60"/>
  <c r="I11" i="60"/>
  <c r="H11" i="60"/>
  <c r="K10" i="60"/>
  <c r="K6" i="60"/>
  <c r="I6" i="60"/>
  <c r="J57" i="60" l="1"/>
  <c r="J55" i="60"/>
  <c r="J48" i="60"/>
  <c r="J31" i="60"/>
  <c r="J30" i="60"/>
  <c r="J29" i="60"/>
  <c r="G20" i="60"/>
  <c r="K9" i="60"/>
  <c r="H9" i="60"/>
  <c r="I10" i="60" l="1"/>
  <c r="I20" i="60"/>
  <c r="G9" i="60"/>
  <c r="I9" i="60"/>
  <c r="J47" i="60" l="1"/>
  <c r="D6" i="126" l="1"/>
  <c r="I29" i="60" l="1"/>
  <c r="I17" i="60"/>
  <c r="H10" i="60"/>
  <c r="G10" i="60"/>
  <c r="J84" i="60" l="1"/>
  <c r="J83" i="60"/>
  <c r="J73" i="60"/>
  <c r="J72" i="60"/>
  <c r="J71" i="60"/>
  <c r="J68" i="60"/>
  <c r="J67" i="60"/>
  <c r="J17" i="60"/>
  <c r="J14" i="60"/>
  <c r="J13" i="60"/>
  <c r="J10" i="60"/>
  <c r="J9" i="60" l="1"/>
  <c r="M9" i="60" s="1"/>
  <c r="L103" i="60"/>
  <c r="L102" i="60"/>
  <c r="L101" i="60"/>
  <c r="L100" i="60"/>
  <c r="L99" i="60"/>
  <c r="J87" i="60"/>
  <c r="J85" i="60"/>
  <c r="L83" i="60"/>
  <c r="J76" i="60"/>
  <c r="J75" i="60"/>
  <c r="J74" i="60"/>
  <c r="L73" i="60"/>
  <c r="L72" i="60"/>
  <c r="M72" i="60" s="1"/>
  <c r="L71" i="60"/>
  <c r="J70" i="60"/>
  <c r="J69" i="60"/>
  <c r="L68" i="60"/>
  <c r="L67" i="60"/>
  <c r="J66" i="60"/>
  <c r="L58" i="60"/>
  <c r="L57" i="60"/>
  <c r="L56" i="60"/>
  <c r="L55" i="60"/>
  <c r="L49" i="60"/>
  <c r="L48" i="60"/>
  <c r="L47" i="60"/>
  <c r="K43" i="60"/>
  <c r="J43" i="60"/>
  <c r="I43" i="60"/>
  <c r="H43" i="60"/>
  <c r="G43" i="60"/>
  <c r="L36" i="60"/>
  <c r="L35" i="60"/>
  <c r="L34" i="60"/>
  <c r="L33" i="60"/>
  <c r="L32" i="60"/>
  <c r="L31" i="60"/>
  <c r="L30" i="60"/>
  <c r="L29" i="60"/>
  <c r="L17" i="60"/>
  <c r="L14" i="60"/>
  <c r="J11" i="60"/>
  <c r="L37" i="60" l="1"/>
  <c r="L12" i="60"/>
  <c r="J12" i="60"/>
  <c r="L21" i="60"/>
  <c r="J21" i="60"/>
  <c r="L22" i="60"/>
  <c r="J22" i="60"/>
  <c r="J15" i="60"/>
  <c r="L6" i="60"/>
  <c r="M6" i="60" s="1"/>
  <c r="L16" i="60"/>
  <c r="J16" i="60"/>
  <c r="L18" i="60"/>
  <c r="J18" i="60"/>
  <c r="L84" i="60"/>
  <c r="L19" i="60"/>
  <c r="J19" i="60"/>
  <c r="L20" i="60"/>
  <c r="J20" i="60"/>
  <c r="L86" i="60"/>
  <c r="J86" i="60"/>
  <c r="L74" i="60"/>
  <c r="L66" i="60"/>
  <c r="L70" i="60"/>
  <c r="L75" i="60"/>
  <c r="L87" i="60"/>
  <c r="L76" i="60"/>
  <c r="L43" i="60"/>
  <c r="L69" i="60"/>
  <c r="L85" i="60"/>
  <c r="M11" i="60"/>
  <c r="M43" i="60" l="1"/>
  <c r="B27" i="6" l="1"/>
  <c r="C27" i="6"/>
  <c r="D27" i="6"/>
  <c r="E37" i="6"/>
  <c r="E27" i="6" l="1"/>
  <c r="K3" i="126" l="1"/>
  <c r="F3" i="126"/>
  <c r="D3" i="126"/>
  <c r="K25" i="126"/>
  <c r="F25" i="126"/>
  <c r="E25" i="126"/>
  <c r="D25" i="126"/>
  <c r="K20" i="126"/>
  <c r="D20" i="126"/>
  <c r="K15" i="126"/>
  <c r="F15" i="126"/>
  <c r="F14" i="126"/>
  <c r="E15" i="126"/>
  <c r="E14" i="126"/>
  <c r="D15" i="126"/>
  <c r="D14" i="126"/>
  <c r="K21" i="126"/>
  <c r="F21" i="126"/>
  <c r="E21" i="126"/>
  <c r="D21" i="126"/>
  <c r="C21" i="126"/>
  <c r="C20" i="126"/>
  <c r="C3" i="126"/>
  <c r="C62" i="6" l="1"/>
  <c r="D62" i="6" s="1"/>
  <c r="B62" i="6"/>
  <c r="K49" i="126"/>
  <c r="K48" i="126"/>
  <c r="B74" i="6" l="1"/>
  <c r="B50" i="6"/>
  <c r="C50" i="6" l="1"/>
  <c r="C74" i="6" l="1"/>
  <c r="K50" i="126" l="1"/>
  <c r="K51" i="126"/>
  <c r="F50" i="126"/>
  <c r="I50" i="126" s="1"/>
  <c r="F51" i="126"/>
  <c r="E50" i="126"/>
  <c r="E51" i="126"/>
  <c r="D50" i="126"/>
  <c r="D51" i="126"/>
  <c r="C50" i="126"/>
  <c r="C51" i="126"/>
  <c r="C52" i="126"/>
  <c r="C42" i="126"/>
  <c r="K41" i="126"/>
  <c r="F41" i="126"/>
  <c r="E41" i="126"/>
  <c r="D41" i="126"/>
  <c r="C41" i="126"/>
  <c r="K43" i="126"/>
  <c r="F43" i="126"/>
  <c r="E43" i="126"/>
  <c r="D43" i="126"/>
  <c r="C43" i="126"/>
  <c r="F49" i="126"/>
  <c r="E49" i="126"/>
  <c r="D49" i="126"/>
  <c r="C49" i="126"/>
  <c r="F48" i="126"/>
  <c r="E48" i="126"/>
  <c r="D48" i="126"/>
  <c r="C48" i="126"/>
  <c r="K47" i="126"/>
  <c r="F47" i="126"/>
  <c r="E47" i="126"/>
  <c r="D47" i="126"/>
  <c r="C47" i="126"/>
  <c r="K46" i="126"/>
  <c r="F46" i="126"/>
  <c r="E46" i="126"/>
  <c r="D46" i="126"/>
  <c r="C46" i="126"/>
  <c r="K45" i="126"/>
  <c r="F45" i="126"/>
  <c r="E45" i="126"/>
  <c r="D45" i="126"/>
  <c r="C45" i="126"/>
  <c r="K44" i="126"/>
  <c r="E44" i="126"/>
  <c r="D44" i="126"/>
  <c r="C44" i="126"/>
  <c r="K40" i="126"/>
  <c r="F40" i="126"/>
  <c r="E40" i="126"/>
  <c r="D40" i="126"/>
  <c r="C40" i="126"/>
  <c r="K39" i="126"/>
  <c r="F39" i="126"/>
  <c r="E39" i="126"/>
  <c r="D39" i="126"/>
  <c r="C39" i="126"/>
  <c r="C38" i="126"/>
  <c r="K37" i="126"/>
  <c r="F37" i="126"/>
  <c r="E37" i="126"/>
  <c r="D37" i="126"/>
  <c r="C37" i="126"/>
  <c r="K36" i="126"/>
  <c r="E36" i="126"/>
  <c r="D36" i="126"/>
  <c r="C36" i="126"/>
  <c r="K35" i="126"/>
  <c r="F35" i="126"/>
  <c r="E35" i="126"/>
  <c r="D35" i="126"/>
  <c r="C35" i="126"/>
  <c r="K34" i="126"/>
  <c r="F34" i="126"/>
  <c r="E34" i="126"/>
  <c r="D34" i="126"/>
  <c r="C34" i="126"/>
  <c r="K33" i="126"/>
  <c r="F33" i="126"/>
  <c r="E33" i="126"/>
  <c r="D33" i="126"/>
  <c r="C33" i="126"/>
  <c r="K32" i="126"/>
  <c r="E32" i="126"/>
  <c r="C32" i="126"/>
  <c r="K30" i="126"/>
  <c r="E30" i="126"/>
  <c r="C30" i="126"/>
  <c r="K29" i="126"/>
  <c r="F29" i="126"/>
  <c r="E29" i="126"/>
  <c r="D29" i="126"/>
  <c r="C29" i="126"/>
  <c r="K28" i="126"/>
  <c r="F28" i="126"/>
  <c r="E28" i="126"/>
  <c r="D28" i="126"/>
  <c r="C28" i="126"/>
  <c r="K27" i="126"/>
  <c r="F27" i="126"/>
  <c r="E27" i="126"/>
  <c r="D27" i="126"/>
  <c r="C27" i="126"/>
  <c r="C25" i="126"/>
  <c r="K24" i="126"/>
  <c r="F24" i="126"/>
  <c r="E24" i="126"/>
  <c r="D24" i="126"/>
  <c r="C24" i="126"/>
  <c r="K23" i="126"/>
  <c r="F23" i="126"/>
  <c r="E23" i="126"/>
  <c r="D23" i="126"/>
  <c r="C23" i="126"/>
  <c r="K22" i="126"/>
  <c r="F22" i="126"/>
  <c r="E22" i="126"/>
  <c r="D22" i="126"/>
  <c r="C22" i="126"/>
  <c r="C19" i="126"/>
  <c r="K18" i="126"/>
  <c r="F18" i="126"/>
  <c r="E18" i="126"/>
  <c r="D18" i="126"/>
  <c r="C18" i="126"/>
  <c r="K17" i="126"/>
  <c r="E17" i="126"/>
  <c r="D17" i="126"/>
  <c r="C17" i="126"/>
  <c r="C16" i="126"/>
  <c r="C15" i="126"/>
  <c r="K14" i="126"/>
  <c r="C14" i="126"/>
  <c r="K13" i="126"/>
  <c r="F13" i="126"/>
  <c r="E13" i="126"/>
  <c r="D13" i="126"/>
  <c r="C13" i="126"/>
  <c r="K12" i="126"/>
  <c r="F12" i="126"/>
  <c r="E12" i="126"/>
  <c r="D12" i="126"/>
  <c r="C12" i="126"/>
  <c r="K10" i="126"/>
  <c r="F10" i="126"/>
  <c r="E10" i="126"/>
  <c r="D10" i="126"/>
  <c r="C10" i="126"/>
  <c r="K9" i="126"/>
  <c r="F9" i="126"/>
  <c r="E9" i="126"/>
  <c r="D9" i="126"/>
  <c r="C9" i="126"/>
  <c r="K8" i="126"/>
  <c r="F8" i="126"/>
  <c r="E8" i="126"/>
  <c r="D8" i="126"/>
  <c r="C8" i="126"/>
  <c r="K7" i="126"/>
  <c r="F7" i="126"/>
  <c r="E7" i="126"/>
  <c r="D7" i="126"/>
  <c r="C7" i="126"/>
  <c r="K6" i="126"/>
  <c r="F6" i="126"/>
  <c r="E6" i="126"/>
  <c r="C6" i="126"/>
  <c r="K5" i="126"/>
  <c r="F5" i="126"/>
  <c r="E5" i="126"/>
  <c r="D5" i="126"/>
  <c r="C5" i="126"/>
  <c r="C4" i="126"/>
  <c r="E3" i="126"/>
  <c r="G3" i="126" s="1"/>
  <c r="G29" i="126" l="1"/>
  <c r="G51" i="126"/>
  <c r="G50" i="126"/>
  <c r="G19" i="126"/>
  <c r="G27" i="126"/>
  <c r="G35" i="126"/>
  <c r="G45" i="126"/>
  <c r="G10" i="126"/>
  <c r="G7" i="126"/>
  <c r="G9" i="126"/>
  <c r="G47" i="126"/>
  <c r="G6" i="126"/>
  <c r="G18" i="126"/>
  <c r="G37" i="126"/>
  <c r="G15" i="126"/>
  <c r="G5" i="126"/>
  <c r="G23" i="126"/>
  <c r="G25" i="126"/>
  <c r="G33" i="126"/>
  <c r="G39" i="126"/>
  <c r="G49" i="126"/>
  <c r="G41" i="126"/>
  <c r="G13" i="126"/>
  <c r="G34" i="126"/>
  <c r="G14" i="126"/>
  <c r="G22" i="126"/>
  <c r="G48" i="126"/>
  <c r="G28" i="126"/>
  <c r="G40" i="126"/>
  <c r="G8" i="126"/>
  <c r="G12" i="126"/>
  <c r="G24" i="126"/>
  <c r="G46" i="126"/>
  <c r="G43" i="126"/>
  <c r="G21" i="126" l="1"/>
  <c r="G20" i="126" l="1"/>
  <c r="K52" i="126" l="1"/>
  <c r="E52" i="126"/>
  <c r="D52" i="126" l="1"/>
  <c r="F36" i="126" l="1"/>
  <c r="G36" i="126" l="1"/>
  <c r="F52" i="126"/>
  <c r="G52" i="126" l="1"/>
  <c r="E42" i="126" l="1"/>
  <c r="K42" i="126"/>
  <c r="K16" i="126" l="1"/>
  <c r="E16" i="126"/>
  <c r="D42" i="126"/>
  <c r="D16" i="126" l="1"/>
  <c r="F42" i="126" l="1"/>
  <c r="F16" i="126" l="1"/>
  <c r="G42" i="126"/>
  <c r="G16" i="126" l="1"/>
  <c r="C31" i="126" l="1"/>
  <c r="G31" i="126" l="1"/>
  <c r="K11" i="126" l="1"/>
  <c r="C11" i="126"/>
  <c r="D11" i="126" l="1"/>
  <c r="F11" i="126" l="1"/>
  <c r="G11" i="126" l="1"/>
  <c r="K26" i="126" l="1"/>
  <c r="E26" i="126"/>
  <c r="D26" i="126"/>
  <c r="C26" i="126"/>
  <c r="C55" i="126" s="1"/>
  <c r="C57" i="126" l="1"/>
  <c r="F26" i="126" l="1"/>
  <c r="G26" i="126" l="1"/>
  <c r="F44" i="126" l="1"/>
  <c r="G44" i="126" l="1"/>
  <c r="K38" i="126" l="1"/>
  <c r="D38" i="126"/>
  <c r="F38" i="126" l="1"/>
  <c r="G38" i="126" l="1"/>
  <c r="F30" i="126"/>
  <c r="G30" i="126" l="1"/>
  <c r="F17" i="126"/>
  <c r="G17" i="126" l="1"/>
  <c r="D32" i="126" l="1"/>
  <c r="G93" i="60"/>
  <c r="I116" i="60" s="1"/>
  <c r="G122" i="60"/>
  <c r="M116" i="60" l="1"/>
  <c r="L116" i="60"/>
  <c r="K4" i="126"/>
  <c r="F32" i="126"/>
  <c r="E4" i="126"/>
  <c r="K55" i="126" l="1"/>
  <c r="K57" i="126"/>
  <c r="E55" i="126"/>
  <c r="B90" i="6" s="1"/>
  <c r="B66" i="6" s="1"/>
  <c r="E57" i="126"/>
  <c r="D4" i="126"/>
  <c r="G32" i="126"/>
  <c r="B26" i="6"/>
  <c r="D57" i="126" l="1"/>
  <c r="D55" i="126"/>
  <c r="F4" i="126" l="1"/>
  <c r="B61" i="6"/>
  <c r="B60" i="6"/>
  <c r="F57" i="126" l="1"/>
  <c r="F55" i="126"/>
  <c r="C90" i="6" s="1"/>
  <c r="C66" i="6" s="1"/>
  <c r="G4" i="126"/>
  <c r="B57" i="6"/>
  <c r="B54" i="6" l="1"/>
  <c r="D66" i="6"/>
  <c r="B78" i="6"/>
  <c r="G55" i="126"/>
  <c r="B53" i="6"/>
  <c r="B77" i="6"/>
  <c r="G57" i="126"/>
  <c r="C61" i="6"/>
  <c r="C26" i="6"/>
  <c r="D26" i="6"/>
  <c r="E36" i="6"/>
  <c r="H5" i="126"/>
  <c r="I5" i="126" s="1"/>
  <c r="H6" i="126"/>
  <c r="I6" i="126" s="1"/>
  <c r="H7" i="126"/>
  <c r="I7" i="126" s="1"/>
  <c r="H8" i="126"/>
  <c r="I8" i="126" s="1"/>
  <c r="H9" i="126"/>
  <c r="I9" i="126" s="1"/>
  <c r="H10" i="126"/>
  <c r="I10" i="126" s="1"/>
  <c r="H11" i="126"/>
  <c r="I11" i="126" s="1"/>
  <c r="H12" i="126"/>
  <c r="I12" i="126" s="1"/>
  <c r="H13" i="126"/>
  <c r="I13" i="126" s="1"/>
  <c r="H14" i="126"/>
  <c r="I14" i="126" s="1"/>
  <c r="H15" i="126"/>
  <c r="I15" i="126" s="1"/>
  <c r="H16" i="126"/>
  <c r="I16" i="126" s="1"/>
  <c r="H17" i="126"/>
  <c r="I17" i="126" s="1"/>
  <c r="H18" i="126"/>
  <c r="I18" i="126" s="1"/>
  <c r="H19" i="126"/>
  <c r="I19" i="126" s="1"/>
  <c r="H20" i="126"/>
  <c r="I20" i="126" s="1"/>
  <c r="H21" i="126"/>
  <c r="I21" i="126" s="1"/>
  <c r="H22" i="126"/>
  <c r="I22" i="126" s="1"/>
  <c r="H23" i="126"/>
  <c r="I23" i="126" s="1"/>
  <c r="H24" i="126"/>
  <c r="I24" i="126" s="1"/>
  <c r="H25" i="126"/>
  <c r="I25" i="126" s="1"/>
  <c r="H26" i="126"/>
  <c r="I26" i="126" s="1"/>
  <c r="H27" i="126"/>
  <c r="I27" i="126" s="1"/>
  <c r="H28" i="126"/>
  <c r="I28" i="126" s="1"/>
  <c r="H29" i="126"/>
  <c r="I29" i="126" s="1"/>
  <c r="H30" i="126"/>
  <c r="I30" i="126" s="1"/>
  <c r="H31" i="126"/>
  <c r="I31" i="126" s="1"/>
  <c r="H32" i="126"/>
  <c r="I32" i="126" s="1"/>
  <c r="H33" i="126"/>
  <c r="I33" i="126" s="1"/>
  <c r="H34" i="126"/>
  <c r="I34" i="126" s="1"/>
  <c r="H35" i="126"/>
  <c r="I35" i="126" s="1"/>
  <c r="H36" i="126"/>
  <c r="I36" i="126" s="1"/>
  <c r="H37" i="126"/>
  <c r="I37" i="126" s="1"/>
  <c r="H38" i="126"/>
  <c r="I38" i="126" s="1"/>
  <c r="H39" i="126"/>
  <c r="I39" i="126" s="1"/>
  <c r="H40" i="126"/>
  <c r="I40" i="126" s="1"/>
  <c r="I45" i="126"/>
  <c r="I44" i="126"/>
  <c r="I46" i="126"/>
  <c r="I41" i="126"/>
  <c r="I42" i="126"/>
  <c r="I48" i="126"/>
  <c r="I43" i="126"/>
  <c r="I49" i="126"/>
  <c r="C54" i="6" l="1"/>
  <c r="C78" i="6"/>
  <c r="J42" i="126"/>
  <c r="J45" i="126"/>
  <c r="J34" i="126"/>
  <c r="J26" i="126"/>
  <c r="J14" i="126"/>
  <c r="J10" i="126"/>
  <c r="J33" i="126"/>
  <c r="J25" i="126"/>
  <c r="J13" i="126"/>
  <c r="J44" i="126"/>
  <c r="J39" i="126"/>
  <c r="J35" i="126"/>
  <c r="J31" i="126"/>
  <c r="J27" i="126"/>
  <c r="J23" i="126"/>
  <c r="J19" i="126"/>
  <c r="J15" i="126"/>
  <c r="J11" i="126"/>
  <c r="J7" i="126"/>
  <c r="J38" i="126"/>
  <c r="J30" i="126"/>
  <c r="J22" i="126"/>
  <c r="J18" i="126"/>
  <c r="J6" i="126"/>
  <c r="J37" i="126"/>
  <c r="J29" i="126"/>
  <c r="J21" i="126"/>
  <c r="J17" i="126"/>
  <c r="J9" i="126"/>
  <c r="J5" i="126"/>
  <c r="J46" i="126"/>
  <c r="J40" i="126"/>
  <c r="J36" i="126"/>
  <c r="J32" i="126"/>
  <c r="J28" i="126"/>
  <c r="J24" i="126"/>
  <c r="J20" i="126"/>
  <c r="J16" i="126"/>
  <c r="J12" i="126"/>
  <c r="J8" i="126"/>
  <c r="B49" i="6"/>
  <c r="J50" i="126"/>
  <c r="H3" i="126"/>
  <c r="I3" i="126" s="1"/>
  <c r="J49" i="126"/>
  <c r="J41" i="126"/>
  <c r="J48" i="126"/>
  <c r="J43" i="126"/>
  <c r="B73" i="6"/>
  <c r="E26" i="6"/>
  <c r="I47" i="126" l="1"/>
  <c r="J47" i="126" s="1"/>
  <c r="I52" i="126"/>
  <c r="J52" i="126" s="1"/>
  <c r="I51" i="126"/>
  <c r="J51" i="126" s="1"/>
  <c r="D61" i="6"/>
  <c r="C73" i="6" s="1"/>
  <c r="J3" i="126"/>
  <c r="C49" i="6" l="1"/>
  <c r="M83" i="60"/>
  <c r="M99" i="60"/>
  <c r="M57" i="60"/>
  <c r="M103" i="60"/>
  <c r="M102" i="60"/>
  <c r="M100" i="60"/>
  <c r="M101" i="60"/>
  <c r="M19" i="60" l="1"/>
  <c r="M18" i="60"/>
  <c r="M17" i="60"/>
  <c r="M14" i="60"/>
  <c r="M13" i="60"/>
  <c r="M10" i="60"/>
  <c r="M35" i="60"/>
  <c r="M31" i="60"/>
  <c r="M36" i="60"/>
  <c r="M49" i="60"/>
  <c r="M16" i="60"/>
  <c r="G24" i="60" l="1"/>
  <c r="B12" i="5"/>
  <c r="J104" i="60"/>
  <c r="J117" i="60" s="1"/>
  <c r="K104" i="60"/>
  <c r="K117" i="60" s="1"/>
  <c r="H104" i="60"/>
  <c r="H117" i="60" s="1"/>
  <c r="G104" i="60"/>
  <c r="G117" i="60" s="1"/>
  <c r="B11" i="5" s="1"/>
  <c r="K89" i="60"/>
  <c r="K115" i="60" s="1"/>
  <c r="G78" i="60"/>
  <c r="G114" i="60" s="1"/>
  <c r="B9" i="5" s="1"/>
  <c r="H60" i="60"/>
  <c r="H113" i="60" s="1"/>
  <c r="G60" i="60"/>
  <c r="G113" i="60" s="1"/>
  <c r="B8" i="5" s="1"/>
  <c r="H51" i="60"/>
  <c r="H112" i="60" s="1"/>
  <c r="G51" i="60"/>
  <c r="G112" i="60" s="1"/>
  <c r="B7" i="5" s="1"/>
  <c r="K111" i="60"/>
  <c r="J111" i="60"/>
  <c r="I111" i="60"/>
  <c r="H111" i="60"/>
  <c r="G111" i="60"/>
  <c r="B6" i="5" s="1"/>
  <c r="G118" i="60" l="1"/>
  <c r="B3" i="5"/>
  <c r="C12" i="5"/>
  <c r="K60" i="60"/>
  <c r="K113" i="60" s="1"/>
  <c r="K51" i="60"/>
  <c r="K112" i="60" s="1"/>
  <c r="C8" i="5"/>
  <c r="C7" i="5"/>
  <c r="C11" i="5"/>
  <c r="C6" i="5"/>
  <c r="G109" i="60"/>
  <c r="B4" i="5" s="1"/>
  <c r="G110" i="60"/>
  <c r="B5" i="5" s="1"/>
  <c r="J118" i="60"/>
  <c r="M111" i="60"/>
  <c r="L111" i="60"/>
  <c r="D6" i="5" s="1"/>
  <c r="F6" i="5" s="1"/>
  <c r="M104" i="60"/>
  <c r="L104" i="60"/>
  <c r="I104" i="60"/>
  <c r="I117" i="60" s="1"/>
  <c r="J60" i="60" l="1"/>
  <c r="J113" i="60" s="1"/>
  <c r="M117" i="60"/>
  <c r="L117" i="60"/>
  <c r="D11" i="5" s="1"/>
  <c r="F11" i="5" s="1"/>
  <c r="M12" i="60" l="1"/>
  <c r="K118" i="60" l="1"/>
  <c r="J38" i="60" l="1"/>
  <c r="J110" i="60" l="1"/>
  <c r="B22" i="6" l="1"/>
  <c r="C22" i="6"/>
  <c r="D22" i="6"/>
  <c r="B23" i="6"/>
  <c r="C23" i="6"/>
  <c r="D23" i="6"/>
  <c r="B24" i="6"/>
  <c r="C24" i="6"/>
  <c r="D24" i="6"/>
  <c r="B25" i="6"/>
  <c r="C25" i="6"/>
  <c r="D25" i="6"/>
  <c r="E32" i="6"/>
  <c r="E33" i="6"/>
  <c r="E34" i="6"/>
  <c r="E35" i="6"/>
  <c r="C57" i="6"/>
  <c r="B58" i="6"/>
  <c r="C58" i="6"/>
  <c r="B59" i="6"/>
  <c r="C59" i="6"/>
  <c r="C60" i="6"/>
  <c r="B47" i="6" l="1"/>
  <c r="B46" i="6"/>
  <c r="B48" i="6"/>
  <c r="E24" i="6"/>
  <c r="D59" i="6" s="1"/>
  <c r="B70" i="6"/>
  <c r="B72" i="6"/>
  <c r="B71" i="6"/>
  <c r="E25" i="6"/>
  <c r="D60" i="6" s="1"/>
  <c r="E22" i="6"/>
  <c r="E23" i="6"/>
  <c r="D58" i="6" s="1"/>
  <c r="B69" i="6"/>
  <c r="B45" i="6"/>
  <c r="D57" i="6" l="1"/>
  <c r="C69" i="6" s="1"/>
  <c r="C72" i="6"/>
  <c r="C46" i="6"/>
  <c r="C70" i="6"/>
  <c r="C47" i="6"/>
  <c r="C71" i="6"/>
  <c r="H118" i="60"/>
  <c r="C48" i="6"/>
  <c r="C45" i="6" l="1"/>
  <c r="H38" i="60"/>
  <c r="H110" i="60" s="1"/>
  <c r="C5" i="5" s="1"/>
  <c r="H24" i="60"/>
  <c r="H109" i="60" s="1"/>
  <c r="C4" i="5" s="1"/>
  <c r="C3" i="5"/>
  <c r="M20" i="60" l="1"/>
  <c r="H89" i="60" l="1"/>
  <c r="H115" i="60" s="1"/>
  <c r="C10" i="5" s="1"/>
  <c r="M22" i="60"/>
  <c r="M21" i="60"/>
  <c r="K78" i="60"/>
  <c r="K114" i="60" s="1"/>
  <c r="D12" i="5"/>
  <c r="F12" i="5" s="1"/>
  <c r="M76" i="60" l="1"/>
  <c r="M75" i="60"/>
  <c r="M87" i="60"/>
  <c r="I118" i="60" l="1"/>
  <c r="K24" i="60"/>
  <c r="K109" i="60" s="1"/>
  <c r="H78" i="60"/>
  <c r="H114" i="60" s="1"/>
  <c r="H120" i="60" s="1"/>
  <c r="I24" i="60"/>
  <c r="I109" i="60" s="1"/>
  <c r="G89" i="60" l="1"/>
  <c r="G115" i="60" s="1"/>
  <c r="G120" i="60" s="1"/>
  <c r="M109" i="60"/>
  <c r="I51" i="60"/>
  <c r="I112" i="60" s="1"/>
  <c r="M112" i="60" s="1"/>
  <c r="K38" i="60"/>
  <c r="K110" i="60" s="1"/>
  <c r="K120" i="60" s="1"/>
  <c r="C9" i="5"/>
  <c r="C13" i="5" s="1"/>
  <c r="M118" i="60"/>
  <c r="L118" i="60"/>
  <c r="D3" i="5" s="1"/>
  <c r="M58" i="60"/>
  <c r="I78" i="60"/>
  <c r="M34" i="60"/>
  <c r="J24" i="60"/>
  <c r="J109" i="60" s="1"/>
  <c r="L109" i="60" s="1"/>
  <c r="I38" i="60"/>
  <c r="I110" i="60" s="1"/>
  <c r="M33" i="60"/>
  <c r="I60" i="60"/>
  <c r="I113" i="60" s="1"/>
  <c r="M32" i="60"/>
  <c r="I89" i="60"/>
  <c r="I115" i="60" s="1"/>
  <c r="M56" i="60"/>
  <c r="I114" i="60" l="1"/>
  <c r="I120" i="60" s="1"/>
  <c r="B10" i="5"/>
  <c r="B13" i="5" s="1"/>
  <c r="M115" i="60"/>
  <c r="D4" i="5"/>
  <c r="F4" i="5" s="1"/>
  <c r="J51" i="60"/>
  <c r="J112" i="60" s="1"/>
  <c r="L112" i="60" s="1"/>
  <c r="D7" i="5" s="1"/>
  <c r="F7" i="5" s="1"/>
  <c r="J78" i="60"/>
  <c r="J114" i="60" s="1"/>
  <c r="M110" i="60"/>
  <c r="L110" i="60"/>
  <c r="D5" i="5" s="1"/>
  <c r="F5" i="5" s="1"/>
  <c r="M86" i="60"/>
  <c r="M74" i="60"/>
  <c r="J89" i="60"/>
  <c r="J115" i="60" s="1"/>
  <c r="L115" i="60" s="1"/>
  <c r="D10" i="5" s="1"/>
  <c r="M69" i="60"/>
  <c r="M67" i="60"/>
  <c r="M30" i="60"/>
  <c r="M48" i="60"/>
  <c r="M68" i="60"/>
  <c r="M113" i="60"/>
  <c r="L113" i="60"/>
  <c r="D8" i="5" s="1"/>
  <c r="M70" i="60"/>
  <c r="M29" i="60"/>
  <c r="M71" i="60"/>
  <c r="M73" i="60"/>
  <c r="M114" i="60" l="1"/>
  <c r="M120" i="60" s="1"/>
  <c r="G126" i="60" s="1"/>
  <c r="F3" i="5"/>
  <c r="L114" i="60"/>
  <c r="D9" i="5" s="1"/>
  <c r="D13" i="5" s="1"/>
  <c r="F10" i="5"/>
  <c r="M84" i="60"/>
  <c r="J120" i="60"/>
  <c r="M15" i="60"/>
  <c r="L24" i="60"/>
  <c r="M24" i="60" s="1"/>
  <c r="L38" i="60"/>
  <c r="M38" i="60" s="1"/>
  <c r="M47" i="60"/>
  <c r="M51" i="60" s="1"/>
  <c r="L51" i="60"/>
  <c r="M55" i="60"/>
  <c r="M60" i="60" s="1"/>
  <c r="L60" i="60"/>
  <c r="F8" i="5"/>
  <c r="M85" i="60"/>
  <c r="M66" i="60"/>
  <c r="M78" i="60" s="1"/>
  <c r="L78" i="60"/>
  <c r="F9" i="5" l="1"/>
  <c r="L120" i="60"/>
  <c r="E12" i="5"/>
  <c r="B3" i="6" s="1"/>
  <c r="E8" i="5"/>
  <c r="B9" i="6" s="1"/>
  <c r="E9" i="5"/>
  <c r="B8" i="6" s="1"/>
  <c r="E11" i="5"/>
  <c r="E5" i="5"/>
  <c r="B5" i="6" s="1"/>
  <c r="E4" i="5"/>
  <c r="B6" i="6" s="1"/>
  <c r="L89" i="60"/>
  <c r="M89" i="60"/>
  <c r="G124" i="60" l="1"/>
  <c r="E7" i="5"/>
  <c r="B10" i="6" s="1"/>
  <c r="E10" i="5"/>
  <c r="B11" i="6" s="1"/>
  <c r="E6" i="5"/>
  <c r="B4" i="6" s="1"/>
  <c r="E3" i="5"/>
  <c r="E13" i="5" l="1"/>
  <c r="B7" i="6"/>
  <c r="B12" i="6" s="1"/>
  <c r="F13" i="5"/>
  <c r="G5" i="5" l="1"/>
  <c r="C5" i="6" s="1"/>
  <c r="G11" i="5" l="1"/>
  <c r="G9" i="5"/>
  <c r="C8" i="6" s="1"/>
  <c r="G6" i="5"/>
  <c r="C4" i="6" s="1"/>
  <c r="G3" i="5"/>
  <c r="G8" i="5"/>
  <c r="C9" i="6" s="1"/>
  <c r="G4" i="5"/>
  <c r="C6" i="6" s="1"/>
  <c r="G12" i="5"/>
  <c r="C3" i="6" s="1"/>
  <c r="G10" i="5"/>
  <c r="C11" i="6" s="1"/>
  <c r="G7" i="5"/>
  <c r="C10" i="6" s="1"/>
  <c r="G13" i="5" l="1"/>
  <c r="E30" i="6"/>
  <c r="D65" i="6" s="1"/>
  <c r="C53" i="6" s="1"/>
  <c r="E41" i="6"/>
  <c r="H4" i="126"/>
  <c r="I4" i="126" s="1"/>
  <c r="C7" i="6"/>
  <c r="C12" i="6" s="1"/>
  <c r="H55" i="126" l="1"/>
  <c r="C77" i="6"/>
  <c r="I55" i="126" l="1"/>
  <c r="J55" i="126" s="1"/>
  <c r="J4" i="126"/>
  <c r="I57" i="126" s="1"/>
</calcChain>
</file>

<file path=xl/comments1.xml><?xml version="1.0" encoding="utf-8"?>
<comments xmlns="http://schemas.openxmlformats.org/spreadsheetml/2006/main">
  <authors>
    <author>Carl Prazenica</author>
  </authors>
  <commentList>
    <comment ref="J79" authorId="0" shapeId="0">
      <text>
        <r>
          <rPr>
            <b/>
            <sz val="9"/>
            <color indexed="81"/>
            <rFont val="Tahoma"/>
            <family val="2"/>
          </rPr>
          <t>Carl Prazenica:</t>
        </r>
        <r>
          <rPr>
            <sz val="9"/>
            <color indexed="81"/>
            <rFont val="Tahoma"/>
            <family val="2"/>
          </rPr>
          <t xml:space="preserve">
no offsetting</t>
        </r>
      </text>
    </comment>
  </commentList>
</comments>
</file>

<file path=xl/comments2.xml><?xml version="1.0" encoding="utf-8"?>
<comments xmlns="http://schemas.openxmlformats.org/spreadsheetml/2006/main">
  <authors>
    <author>Camesha Spence</author>
  </authors>
  <commentList>
    <comment ref="G40" authorId="0" shapeId="0">
      <text>
        <r>
          <rPr>
            <b/>
            <sz val="9"/>
            <color indexed="81"/>
            <rFont val="Tahoma"/>
            <family val="2"/>
          </rPr>
          <t>Camesha Spence:</t>
        </r>
        <r>
          <rPr>
            <sz val="9"/>
            <color indexed="81"/>
            <rFont val="Tahoma"/>
            <family val="2"/>
          </rPr>
          <t xml:space="preserve">
Total of 3 students
</t>
        </r>
      </text>
    </comment>
  </commentList>
</comments>
</file>

<file path=xl/sharedStrings.xml><?xml version="1.0" encoding="utf-8"?>
<sst xmlns="http://schemas.openxmlformats.org/spreadsheetml/2006/main" count="14819" uniqueCount="1020">
  <si>
    <t>GENERAL INFORMATION</t>
  </si>
  <si>
    <t>Contact Person:</t>
  </si>
  <si>
    <t>Contact Number:</t>
  </si>
  <si>
    <t>HSCRC Hospital ID #:</t>
  </si>
  <si>
    <t># of Employees:</t>
  </si>
  <si>
    <t>Screenings</t>
  </si>
  <si>
    <t>Support Groups</t>
  </si>
  <si>
    <t>TOTAL</t>
  </si>
  <si>
    <t>COMMUNITY BENEFIT ACTIVITES</t>
  </si>
  <si>
    <t># OF STAFF HOURS</t>
  </si>
  <si>
    <t>Scholarships/Funding for Professional Education</t>
  </si>
  <si>
    <t>Other Health Professionals</t>
  </si>
  <si>
    <t>RESEARCH</t>
  </si>
  <si>
    <t>In-Kind Donations</t>
  </si>
  <si>
    <t>Economic Development</t>
  </si>
  <si>
    <t>FINANCIAL DATA</t>
  </si>
  <si>
    <t>OPERATING REVENUE</t>
  </si>
  <si>
    <t>Net Patient Service Revenue</t>
  </si>
  <si>
    <t>Other Revenue</t>
  </si>
  <si>
    <t>Total Revenue</t>
  </si>
  <si>
    <t>NET REVENUE (LOSS) FROM OPERATIONS</t>
  </si>
  <si>
    <t>NON-OPERATING GAINS (LOSSES)</t>
  </si>
  <si>
    <t>NET REVENUE (LOSS)</t>
  </si>
  <si>
    <t>FOUNDATION COMMUNITY BENEFIT</t>
  </si>
  <si>
    <t>Community Services</t>
  </si>
  <si>
    <t>Community Building</t>
  </si>
  <si>
    <t>TOTAL HOSPITAL COMMUNITY BENEFIT</t>
  </si>
  <si>
    <t>TOTAL FOUNDATION COMMUNITY BENEFIT</t>
  </si>
  <si>
    <t>% OF OPERATING EXPENSES</t>
  </si>
  <si>
    <t>DIRECT COST($)</t>
  </si>
  <si>
    <t>INDIRECT COST($)</t>
  </si>
  <si>
    <t>Physicians/Medical Students</t>
  </si>
  <si>
    <t>Contact Email:</t>
  </si>
  <si>
    <t>OFFSETTING REVENUE($)</t>
  </si>
  <si>
    <t>NET COMMUNITY BENEFIT</t>
  </si>
  <si>
    <t>INDIRECT COST RATIO</t>
  </si>
  <si>
    <t>TOTAL OPERATING EXPENSES</t>
  </si>
  <si>
    <t># OF ENCOUNTERS</t>
  </si>
  <si>
    <t>MISSION DRIVEN HEALTH SERVICES (please list)</t>
  </si>
  <si>
    <t>CHARITY CARE (report total only)</t>
  </si>
  <si>
    <t>Hospital Name:</t>
  </si>
  <si>
    <t>COMMUNITY HEALTH SERVICES</t>
  </si>
  <si>
    <t>Community Health Education</t>
  </si>
  <si>
    <t>Self-Help</t>
  </si>
  <si>
    <t>Community-Based Clinical Services</t>
  </si>
  <si>
    <t>One-Time/Occasionally Held Clinics</t>
  </si>
  <si>
    <t>Free Clinics</t>
  </si>
  <si>
    <t>Mobile Units</t>
  </si>
  <si>
    <t>Health Care Support Services</t>
  </si>
  <si>
    <t>HEALTH PROFESSIONS EDUCATION</t>
  </si>
  <si>
    <t>Nurses/Nursing Students</t>
  </si>
  <si>
    <t>C10</t>
  </si>
  <si>
    <t>Clinical Research</t>
  </si>
  <si>
    <t>Community Health Research</t>
  </si>
  <si>
    <t>Cash Donations</t>
  </si>
  <si>
    <t>Grants</t>
  </si>
  <si>
    <t>Cost of Fund Raising for Community Programs</t>
  </si>
  <si>
    <t>COMMUNITY BUILDING ACTIVITIES</t>
  </si>
  <si>
    <t>Environmental Improvements</t>
  </si>
  <si>
    <t>Leadership Development/Training for Community Members</t>
  </si>
  <si>
    <t>Coalition Building</t>
  </si>
  <si>
    <t>Community Benefit Operations</t>
  </si>
  <si>
    <t>Community health/health assets assessments</t>
  </si>
  <si>
    <t>COMMUNITY BENEFIT OPERATIONS</t>
  </si>
  <si>
    <t>Community Health Services</t>
  </si>
  <si>
    <t>Health Professions Education</t>
  </si>
  <si>
    <t>Mission Driven Health Care Services</t>
  </si>
  <si>
    <t>Research</t>
  </si>
  <si>
    <t>Financial Contributions</t>
  </si>
  <si>
    <t>Community Building Activities</t>
  </si>
  <si>
    <t>Charity Care</t>
  </si>
  <si>
    <t>Foundation Funded Community Benefit</t>
  </si>
  <si>
    <t>% of NET REVENUE</t>
  </si>
  <si>
    <t>N/A</t>
  </si>
  <si>
    <t>A00.</t>
  </si>
  <si>
    <t>A10</t>
  </si>
  <si>
    <t>A11</t>
  </si>
  <si>
    <t>A12</t>
  </si>
  <si>
    <t>A20</t>
  </si>
  <si>
    <t>A21</t>
  </si>
  <si>
    <t>A22</t>
  </si>
  <si>
    <t>A23</t>
  </si>
  <si>
    <t>A24</t>
  </si>
  <si>
    <t>A30</t>
  </si>
  <si>
    <t>A40</t>
  </si>
  <si>
    <t xml:space="preserve"> </t>
  </si>
  <si>
    <t>B00</t>
  </si>
  <si>
    <t>B10</t>
  </si>
  <si>
    <t>B20</t>
  </si>
  <si>
    <t>B30</t>
  </si>
  <si>
    <t>B40</t>
  </si>
  <si>
    <t>B50</t>
  </si>
  <si>
    <t>C00</t>
  </si>
  <si>
    <t>C20</t>
  </si>
  <si>
    <t>C30</t>
  </si>
  <si>
    <t>C40</t>
  </si>
  <si>
    <t>C50</t>
  </si>
  <si>
    <t>C60</t>
  </si>
  <si>
    <t>C70</t>
  </si>
  <si>
    <t>C80</t>
  </si>
  <si>
    <t>C90</t>
  </si>
  <si>
    <t>C91</t>
  </si>
  <si>
    <t>D00</t>
  </si>
  <si>
    <t>D10</t>
  </si>
  <si>
    <t>D20</t>
  </si>
  <si>
    <t>E00</t>
  </si>
  <si>
    <t>Cash and In-Kind Contributions</t>
  </si>
  <si>
    <t>E10</t>
  </si>
  <si>
    <t>E20</t>
  </si>
  <si>
    <t>E30</t>
  </si>
  <si>
    <t>E40</t>
  </si>
  <si>
    <t>F00</t>
  </si>
  <si>
    <t>F10</t>
  </si>
  <si>
    <t>Physical Improvements and Housing</t>
  </si>
  <si>
    <t>F20</t>
  </si>
  <si>
    <t>F30</t>
  </si>
  <si>
    <t>Community Support</t>
  </si>
  <si>
    <t>F40</t>
  </si>
  <si>
    <t>F50</t>
  </si>
  <si>
    <t>F60</t>
  </si>
  <si>
    <t>F70</t>
  </si>
  <si>
    <t>Advocacy for Community Health Improvements</t>
  </si>
  <si>
    <t>F80</t>
  </si>
  <si>
    <t>Workforce Development</t>
  </si>
  <si>
    <t>F90</t>
  </si>
  <si>
    <t>F91</t>
  </si>
  <si>
    <t>F92</t>
  </si>
  <si>
    <t>G31</t>
  </si>
  <si>
    <t>G30</t>
  </si>
  <si>
    <t>G32</t>
  </si>
  <si>
    <t>G00</t>
  </si>
  <si>
    <t>G10</t>
  </si>
  <si>
    <t>G20</t>
  </si>
  <si>
    <t>A41</t>
  </si>
  <si>
    <t>A42</t>
  </si>
  <si>
    <t>A43</t>
  </si>
  <si>
    <t>A44</t>
  </si>
  <si>
    <t>A99</t>
  </si>
  <si>
    <t>Total Community Health Services</t>
  </si>
  <si>
    <t>B51</t>
  </si>
  <si>
    <t>B52</t>
  </si>
  <si>
    <t>B53</t>
  </si>
  <si>
    <t>B99</t>
  </si>
  <si>
    <t>Total Health Professions Education</t>
  </si>
  <si>
    <t>C99</t>
  </si>
  <si>
    <t>Total Mission Driven Health Services</t>
  </si>
  <si>
    <t>D99</t>
  </si>
  <si>
    <t>Total Research</t>
  </si>
  <si>
    <t>E99</t>
  </si>
  <si>
    <t>Total Cash and In-Kind Contributions</t>
  </si>
  <si>
    <t>F99</t>
  </si>
  <si>
    <t>Total Community Building Activities</t>
  </si>
  <si>
    <t>Assigned Staff</t>
  </si>
  <si>
    <t>G99</t>
  </si>
  <si>
    <t>Total Community Benefit Operations</t>
  </si>
  <si>
    <t>H99</t>
  </si>
  <si>
    <t>H00</t>
  </si>
  <si>
    <t>J00</t>
  </si>
  <si>
    <t>J10</t>
  </si>
  <si>
    <t>J20</t>
  </si>
  <si>
    <t>J30</t>
  </si>
  <si>
    <t>J31</t>
  </si>
  <si>
    <t>J32</t>
  </si>
  <si>
    <t>J99</t>
  </si>
  <si>
    <t>Total Charity Care</t>
  </si>
  <si>
    <t>K99</t>
  </si>
  <si>
    <t>K00</t>
  </si>
  <si>
    <t>S99</t>
  </si>
  <si>
    <t>U99</t>
  </si>
  <si>
    <t>V99</t>
  </si>
  <si>
    <t>I00</t>
  </si>
  <si>
    <t>I10</t>
  </si>
  <si>
    <t>I20</t>
  </si>
  <si>
    <t>I30</t>
  </si>
  <si>
    <t>I40</t>
  </si>
  <si>
    <t>I50</t>
  </si>
  <si>
    <t>I60</t>
  </si>
  <si>
    <t>I70</t>
  </si>
  <si>
    <t>D30</t>
  </si>
  <si>
    <t>D31</t>
  </si>
  <si>
    <t>D32</t>
  </si>
  <si>
    <t>UNREIMBURSED MEDICAID COST</t>
  </si>
  <si>
    <t>Medicaid Costs</t>
  </si>
  <si>
    <t>Medicaid Assessments</t>
  </si>
  <si>
    <t>T00</t>
  </si>
  <si>
    <t>T99</t>
  </si>
  <si>
    <t>Medicaid Assesments</t>
  </si>
  <si>
    <t>Hospital Based Physicians</t>
  </si>
  <si>
    <t>Non-Residential House Staff and Hospitalists</t>
  </si>
  <si>
    <t>Coverage of ED On Call</t>
  </si>
  <si>
    <t>Physician Provision of Financial Assistance</t>
  </si>
  <si>
    <t>Recruitment of Physicians to Meet Community Needs</t>
  </si>
  <si>
    <t>Fundraising support</t>
  </si>
  <si>
    <t>Immunizations</t>
  </si>
  <si>
    <t>Meritus Medical Center</t>
  </si>
  <si>
    <t>Total</t>
  </si>
  <si>
    <t>Hospital</t>
  </si>
  <si>
    <t>Hospital Name</t>
  </si>
  <si>
    <t>Levindale</t>
  </si>
  <si>
    <t>Sheppard Pratt</t>
  </si>
  <si>
    <t>DME</t>
  </si>
  <si>
    <t>Community Benefit Category</t>
  </si>
  <si>
    <t>Number of Staff Hours</t>
  </si>
  <si>
    <t>Number of Encounters</t>
  </si>
  <si>
    <t>Net Community Benefit Expense</t>
  </si>
  <si>
    <t>Percent of Total CB Expenditures</t>
  </si>
  <si>
    <t>Net Community Benefit Expense Less: Rate Support</t>
  </si>
  <si>
    <t>Percent of Total CB Expenditures w/o Rate Support</t>
  </si>
  <si>
    <t>Unreimbursed Medicaid Cost</t>
  </si>
  <si>
    <t>Health Professions Education *</t>
  </si>
  <si>
    <t>Mission Driven Health Services</t>
  </si>
  <si>
    <t>Foundation</t>
  </si>
  <si>
    <t>% of Operating Expense</t>
  </si>
  <si>
    <t>Fiscal Year</t>
  </si>
  <si>
    <t>Net Community Benefit</t>
  </si>
  <si>
    <t>Offsetting Revenue</t>
  </si>
  <si>
    <t>Total Operating Expenses</t>
  </si>
  <si>
    <t>CB Expense Less Rate Support</t>
  </si>
  <si>
    <t>CB Expense</t>
  </si>
  <si>
    <t>NSP (1)</t>
  </si>
  <si>
    <t>Category</t>
  </si>
  <si>
    <t>Total Hospital Operating Expense</t>
  </si>
  <si>
    <t>Total CB as % of Total Operating Expense</t>
  </si>
  <si>
    <t>Total Net CB(minus charity Care, DME, NSPI in Rates) as % of Operating Expense</t>
  </si>
  <si>
    <t>CB Reported Charity Care</t>
  </si>
  <si>
    <t>Totals</t>
  </si>
  <si>
    <t>Holy Cross Hospital</t>
  </si>
  <si>
    <t>Suburban Hospital</t>
  </si>
  <si>
    <t>Western Maryland Health System</t>
  </si>
  <si>
    <t>Johns Hopkins Bayview Medical Center</t>
  </si>
  <si>
    <t>Union Hospital of Cecil County</t>
  </si>
  <si>
    <t>MedStar Harbor Hospital</t>
  </si>
  <si>
    <t>Fort Washington Medical Center</t>
  </si>
  <si>
    <t>Other</t>
  </si>
  <si>
    <t xml:space="preserve">Washington Adventist Hospital </t>
  </si>
  <si>
    <t>Bob Reilly</t>
  </si>
  <si>
    <t>443-481-1308</t>
  </si>
  <si>
    <t>Pharmacy Assistance Program</t>
  </si>
  <si>
    <t>Pathways</t>
  </si>
  <si>
    <t>Anne Arundel Diagnostics</t>
  </si>
  <si>
    <t>C92</t>
  </si>
  <si>
    <t>Patient Family Centered Care Initiative</t>
  </si>
  <si>
    <t>Atlantic General Hospital</t>
  </si>
  <si>
    <t>Bruce Todd</t>
  </si>
  <si>
    <t>mtodd@atlanticgeneral.org</t>
  </si>
  <si>
    <t>B1</t>
  </si>
  <si>
    <t>B2</t>
  </si>
  <si>
    <t>B3</t>
  </si>
  <si>
    <t>B4</t>
  </si>
  <si>
    <t>Transportation</t>
  </si>
  <si>
    <t>D1</t>
  </si>
  <si>
    <t>D2</t>
  </si>
  <si>
    <t>E1</t>
  </si>
  <si>
    <t>E2</t>
  </si>
  <si>
    <t>E3</t>
  </si>
  <si>
    <t>E4</t>
  </si>
  <si>
    <t>F1</t>
  </si>
  <si>
    <t>F2</t>
  </si>
  <si>
    <t>F3</t>
  </si>
  <si>
    <t>F4</t>
  </si>
  <si>
    <t>F5</t>
  </si>
  <si>
    <t>F6</t>
  </si>
  <si>
    <t>F7</t>
  </si>
  <si>
    <t>F8</t>
  </si>
  <si>
    <t>G1</t>
  </si>
  <si>
    <t>G2</t>
  </si>
  <si>
    <t>J1</t>
  </si>
  <si>
    <t>J2</t>
  </si>
  <si>
    <t>21-0033</t>
  </si>
  <si>
    <t>Selena Brewer</t>
  </si>
  <si>
    <t>410-871-7251</t>
  </si>
  <si>
    <t>sbrewer@CarrollHospitalCenter.org</t>
  </si>
  <si>
    <t>Interpreter Services</t>
  </si>
  <si>
    <t>Forensic Nurse Examiner Program</t>
  </si>
  <si>
    <t>Job Shadow</t>
  </si>
  <si>
    <t>Physician Support</t>
  </si>
  <si>
    <t>Physician Recruitment</t>
  </si>
  <si>
    <t>301-552-8601</t>
  </si>
  <si>
    <t>240-566-3320</t>
  </si>
  <si>
    <t>301-754-7149</t>
  </si>
  <si>
    <t>mcbrik@holycrosshealth.org</t>
  </si>
  <si>
    <t>Howard County General Hospital</t>
  </si>
  <si>
    <t>21-0048</t>
  </si>
  <si>
    <t>Fran Moll</t>
  </si>
  <si>
    <t>443-997-0627</t>
  </si>
  <si>
    <t>fmoll1@jhmi.edu</t>
  </si>
  <si>
    <t>0029</t>
  </si>
  <si>
    <t>Patricia Carroll or Kim Moeller</t>
  </si>
  <si>
    <t>410-550-0289 or 443-997-0639</t>
  </si>
  <si>
    <t>pcarroll@jhmi.edu or kmoelle@jhmi.edu</t>
  </si>
  <si>
    <t xml:space="preserve">Trauma on-call </t>
  </si>
  <si>
    <t>Emergency Medicine on-call</t>
  </si>
  <si>
    <t>Teaching Community Education</t>
  </si>
  <si>
    <t>Health Education &amp; Social Services</t>
  </si>
  <si>
    <t>Other On-call Coverage</t>
  </si>
  <si>
    <t>Health Leads</t>
  </si>
  <si>
    <t>Cancer Registry</t>
  </si>
  <si>
    <t>The Johns Hopkins Hospital</t>
  </si>
  <si>
    <t>0009</t>
  </si>
  <si>
    <t>Sharon Tiebert-Maddox</t>
  </si>
  <si>
    <t>tiebert@jhu.edu</t>
  </si>
  <si>
    <t>Communiity Health Services - Other</t>
  </si>
  <si>
    <t>Health Professions  Education - Other</t>
  </si>
  <si>
    <t>Broadway Center IOP/OP Grant</t>
  </si>
  <si>
    <t>Wilson House</t>
  </si>
  <si>
    <t>Eating Disorders Day Hospital Supportive Housing</t>
  </si>
  <si>
    <t>Schizophrenia Day Hospital Housing</t>
  </si>
  <si>
    <t>Supportive Housing for Male Substance Abuse Patients</t>
  </si>
  <si>
    <t>Pain Treatment Day Hospital Housing</t>
  </si>
  <si>
    <t>Mission Driven - Other</t>
  </si>
  <si>
    <t>Community Building Activities - Other</t>
  </si>
  <si>
    <t>Office Expense</t>
  </si>
  <si>
    <t>Julie Sessa</t>
  </si>
  <si>
    <t>410-601-7238</t>
  </si>
  <si>
    <t>jsessa@lifebridgehealth.org</t>
  </si>
  <si>
    <t>Emergency and Trauma Services</t>
  </si>
  <si>
    <t>Hospital Outpatient Services</t>
  </si>
  <si>
    <t>Women's and Children's Services</t>
  </si>
  <si>
    <t>Other Resources</t>
  </si>
  <si>
    <t>G3</t>
  </si>
  <si>
    <t>D3</t>
  </si>
  <si>
    <t>F9</t>
  </si>
  <si>
    <t>G4</t>
  </si>
  <si>
    <t>G5</t>
  </si>
  <si>
    <t>Subsidized Continuing Care</t>
  </si>
  <si>
    <t>#0008</t>
  </si>
  <si>
    <t>Justin Deibel</t>
  </si>
  <si>
    <t>jdeibel@mdmercy.com</t>
  </si>
  <si>
    <t>Physician Charity Care</t>
  </si>
  <si>
    <t>Healthcare for the Homeless</t>
  </si>
  <si>
    <t>The Medication Assistance Center</t>
  </si>
  <si>
    <t>Mt. Washington Pediatric Hospital</t>
  </si>
  <si>
    <t>Weigh Smart Childhood Obesity Program</t>
  </si>
  <si>
    <t>Anesthesia</t>
  </si>
  <si>
    <t>Hospitalists</t>
  </si>
  <si>
    <t>Trauma On-Call</t>
  </si>
  <si>
    <t>West Baltimore Care (Health Enterprise Zone)</t>
  </si>
  <si>
    <t>Morrell Park</t>
  </si>
  <si>
    <t>Community Care Center</t>
  </si>
  <si>
    <t>Physician Emergency Department Indigent Care Subsidies</t>
  </si>
  <si>
    <t>Telepsychiatry</t>
  </si>
  <si>
    <t>Physician Subsidies</t>
  </si>
  <si>
    <t xml:space="preserve">Shore Regional Health Easton </t>
  </si>
  <si>
    <t xml:space="preserve">410 822 1000 </t>
  </si>
  <si>
    <t>Physician Recruitment Professional Services Development</t>
  </si>
  <si>
    <t>Physician On Call Coverage</t>
  </si>
  <si>
    <t>DGH Anesthesia Subsidy</t>
  </si>
  <si>
    <t>DGH Emergency Room Subsidy</t>
  </si>
  <si>
    <t>Shore Regional Health Chester River</t>
  </si>
  <si>
    <t>Hospitalist Program</t>
  </si>
  <si>
    <t>Emergency Physician Coverage</t>
  </si>
  <si>
    <t>Physician On Call</t>
  </si>
  <si>
    <t>Primary Care</t>
  </si>
  <si>
    <t>21-0022</t>
  </si>
  <si>
    <t>Monique Sanfuentes</t>
  </si>
  <si>
    <t>301-896-3572</t>
  </si>
  <si>
    <t>Readmissions Prevention Program</t>
  </si>
  <si>
    <t>Physician Subsidy</t>
  </si>
  <si>
    <t>University of Maryland St. Joseph Medical Center</t>
  </si>
  <si>
    <t>Specialty Care</t>
  </si>
  <si>
    <t>Emergency Dept</t>
  </si>
  <si>
    <t>Mental Health</t>
  </si>
  <si>
    <t>OB/GYN</t>
  </si>
  <si>
    <t>Lab</t>
  </si>
  <si>
    <t>Non-Resident House Staff</t>
  </si>
  <si>
    <t>UNIVERSITY OF MARYLAND MEDICAL CENTER</t>
  </si>
  <si>
    <t>0002, 8992, 8994</t>
  </si>
  <si>
    <t>ALICIA CUNNINGHAM</t>
  </si>
  <si>
    <t>410-328-1380</t>
  </si>
  <si>
    <t>ACUNNINGHAM@UMM.EDU</t>
  </si>
  <si>
    <t>UNIVERSITY CARE COMMUNITY CLINICS/UCARE</t>
  </si>
  <si>
    <t>COMMUNITY OUTPATIENT PSYCHIATRIC CLINICS</t>
  </si>
  <si>
    <t>Palliative Care</t>
  </si>
  <si>
    <t>240-964-8032</t>
  </si>
  <si>
    <t>Obstetric Physician Practice</t>
  </si>
  <si>
    <t>Primary Care Physician Practices</t>
  </si>
  <si>
    <t>Outpatient Dialysis and Peritoneal Dialysis</t>
  </si>
  <si>
    <t>Net Community Benefit W/Indirect Cost</t>
  </si>
  <si>
    <t>Net Community Benefit W/O Indirect Cost</t>
  </si>
  <si>
    <t>Direct Cost ($)</t>
  </si>
  <si>
    <t>Indirect Cost ($)</t>
  </si>
  <si>
    <t>B.</t>
  </si>
  <si>
    <t>C.</t>
  </si>
  <si>
    <t>MISSION DRIVEN HEALTH SERVICES</t>
  </si>
  <si>
    <t>D.</t>
  </si>
  <si>
    <t>E.</t>
  </si>
  <si>
    <t>F.</t>
  </si>
  <si>
    <t>Physical Improvements/Housing</t>
  </si>
  <si>
    <t>Support System Enhancements</t>
  </si>
  <si>
    <t>Community Health Improvement Advocacy</t>
  </si>
  <si>
    <t>Workforce Enhancement</t>
  </si>
  <si>
    <t>F11</t>
  </si>
  <si>
    <t>G.</t>
  </si>
  <si>
    <t>Dedicated Staff</t>
  </si>
  <si>
    <t>H.</t>
  </si>
  <si>
    <t>J.</t>
  </si>
  <si>
    <t>K</t>
  </si>
  <si>
    <t>A</t>
  </si>
  <si>
    <t>B</t>
  </si>
  <si>
    <t>C</t>
  </si>
  <si>
    <t>D</t>
  </si>
  <si>
    <t>E</t>
  </si>
  <si>
    <t>F</t>
  </si>
  <si>
    <t>G</t>
  </si>
  <si>
    <t>H</t>
  </si>
  <si>
    <t>J</t>
  </si>
  <si>
    <t>TOTAL OPERATING EXPENSE</t>
  </si>
  <si>
    <t>% OF OPERATING EXPENSES W/IC</t>
  </si>
  <si>
    <t>% OF OPERATING EXPENSES W/O IC</t>
  </si>
  <si>
    <t>J3</t>
  </si>
  <si>
    <t>J4</t>
  </si>
  <si>
    <t>J5</t>
  </si>
  <si>
    <t>Total Rate Support</t>
  </si>
  <si>
    <t>Total operating Expense</t>
  </si>
  <si>
    <t>* Rate supported expenditures</t>
  </si>
  <si>
    <t>Net Benefit less rate support</t>
  </si>
  <si>
    <t>Charts based on All Hospitals</t>
  </si>
  <si>
    <t>allen.twigg@meritushealth.com</t>
  </si>
  <si>
    <t>301-790-8263</t>
  </si>
  <si>
    <t>Mid-Level Providers</t>
  </si>
  <si>
    <t>Blood Drives</t>
  </si>
  <si>
    <t>443 643-3346</t>
  </si>
  <si>
    <t>UMD Harford Memorial Hospital Anesthesiology Physician subsidies</t>
  </si>
  <si>
    <t>Saint Agnes</t>
  </si>
  <si>
    <t>Mitch Lomax</t>
  </si>
  <si>
    <t>MedStar Franklin Square Medical Center</t>
  </si>
  <si>
    <t>GARRETT REGIONAL MEDICAL CENTER</t>
  </si>
  <si>
    <t xml:space="preserve">MedStar Montgomery Medical Center </t>
  </si>
  <si>
    <t>Peninsula Regional Medical Center</t>
  </si>
  <si>
    <t>C93</t>
  </si>
  <si>
    <t>MedStar Union Memorial Hospital</t>
  </si>
  <si>
    <t>Women and Children</t>
  </si>
  <si>
    <t>Behavioral Health</t>
  </si>
  <si>
    <t>ACHI and CBISA</t>
  </si>
  <si>
    <t>(443) 674-1290</t>
  </si>
  <si>
    <t>Carroll Hospital</t>
  </si>
  <si>
    <t>Behavorial Health Services</t>
  </si>
  <si>
    <t>MedStar Good Samaritan Hospital</t>
  </si>
  <si>
    <t>Levindale Hebrew and Geriatric Center and Hospital</t>
  </si>
  <si>
    <t>Enrollment for Entitlements</t>
  </si>
  <si>
    <t>Free Transportation for Clinical Services</t>
  </si>
  <si>
    <t>Free Discharge Medications</t>
  </si>
  <si>
    <t>Professional Education</t>
  </si>
  <si>
    <t>Crisis Referral Outpatient Program</t>
  </si>
  <si>
    <t>Holy Cross Germantown Hospital</t>
  </si>
  <si>
    <t>Adventist HealthCare: Shady Grove Medical Center</t>
  </si>
  <si>
    <t>NSP I</t>
  </si>
  <si>
    <t>Charity Care*</t>
  </si>
  <si>
    <t>All Hospitals</t>
  </si>
  <si>
    <t>Hospitalist Subsidy</t>
  </si>
  <si>
    <t>Prescription Pharmacy Programs</t>
  </si>
  <si>
    <t>21-00005</t>
  </si>
  <si>
    <t>PHYSICIAN HOSPITALIST</t>
  </si>
  <si>
    <t>PHYSICIAN ED/SURGEON CALL</t>
  </si>
  <si>
    <t>PHYSICIAN ANESTHESIA CALL</t>
  </si>
  <si>
    <t>PHYSICIAN INTENSIVIST</t>
  </si>
  <si>
    <t>PHYSICIAN INTERVENTIONAL CARDIOLOGY</t>
  </si>
  <si>
    <t>PRENATAL OB CENTER</t>
  </si>
  <si>
    <t>UMD Harford Memorial Hospital Emergency Department Physician subsidies</t>
  </si>
  <si>
    <t>OB Coverage</t>
  </si>
  <si>
    <t>Psych Coverage</t>
  </si>
  <si>
    <t>SBIRT Program</t>
  </si>
  <si>
    <t>Teaching Support - Community Ed @ JHCP Locations</t>
  </si>
  <si>
    <t>Social Work Services @ JHCP Locations</t>
  </si>
  <si>
    <t>21-0011</t>
  </si>
  <si>
    <t>667-234-2926</t>
  </si>
  <si>
    <t>Hospital-based Physician Specialty Subsidies</t>
  </si>
  <si>
    <t>House Staff/Coverage Subsidies</t>
  </si>
  <si>
    <t>Primary Care Clinic on campus in West Baltimore</t>
  </si>
  <si>
    <t>Beth Kelly</t>
  </si>
  <si>
    <t>410-933-2815</t>
  </si>
  <si>
    <t>Beth.E.Kelly@medstar.net</t>
  </si>
  <si>
    <t>21-0017</t>
  </si>
  <si>
    <t>C12</t>
  </si>
  <si>
    <t>Other Research</t>
  </si>
  <si>
    <t>C5</t>
  </si>
  <si>
    <t>C6</t>
  </si>
  <si>
    <t>Amber Ruble</t>
  </si>
  <si>
    <t xml:space="preserve">Kathleen McGrath </t>
  </si>
  <si>
    <t>Jean-Marie Kelly</t>
  </si>
  <si>
    <t>jkelly@uhcc.com</t>
  </si>
  <si>
    <t>Anesthesia Subsidy</t>
  </si>
  <si>
    <t>Greater Baltimore Medical Center</t>
  </si>
  <si>
    <t>Womens Services OB Clinic</t>
  </si>
  <si>
    <t>UMD UPPER CHESAPEAKE MEDICAL CENTER ANESTHESIOLOGY PHYSICIAN SUBSIDIES</t>
  </si>
  <si>
    <t>Social and Environmental Improvement Act</t>
  </si>
  <si>
    <t xml:space="preserve">Other  </t>
  </si>
  <si>
    <t>University of Maryland Rehabilitation &amp; Orthopaedic Institute</t>
  </si>
  <si>
    <t>Fundraising Support</t>
  </si>
  <si>
    <t>Adventist HealthCare: Rehabilitation</t>
  </si>
  <si>
    <t>Transitional Aftercare Program</t>
  </si>
  <si>
    <t xml:space="preserve">Charity Care </t>
  </si>
  <si>
    <t>Holy Cross</t>
  </si>
  <si>
    <t>Johns Hopkins</t>
  </si>
  <si>
    <t>% of Operating Expense less Rate Support</t>
  </si>
  <si>
    <t>Allen Twigg</t>
  </si>
  <si>
    <t>Level III Trauma Program</t>
  </si>
  <si>
    <t>Hospice Voluntary Write-offs (Hospice of Washington County)</t>
  </si>
  <si>
    <t>Clinics for Underinsured and Uninsured</t>
  </si>
  <si>
    <t>Faith Community/Parish Nursing</t>
  </si>
  <si>
    <t>PHYSICIAN OB CALL/HOSPITALIST</t>
  </si>
  <si>
    <t>410-653-2905</t>
  </si>
  <si>
    <t>PA Charity Support</t>
  </si>
  <si>
    <t>Forensic Nurse Examiner</t>
  </si>
  <si>
    <t>CB Community Services @ JHCP Locations</t>
  </si>
  <si>
    <t>Kathleen McGrath</t>
  </si>
  <si>
    <t>kfmcgrath@umm.edu</t>
  </si>
  <si>
    <t>mlomax@ascension.org</t>
  </si>
  <si>
    <t>Health Care Access Maryland Care Management Program</t>
  </si>
  <si>
    <t>ER Subsidy</t>
  </si>
  <si>
    <t>Radiology Subsidy</t>
  </si>
  <si>
    <t>Primary Care Office - Salisbury Family Medicine</t>
  </si>
  <si>
    <t>C75</t>
  </si>
  <si>
    <t>CV Surgery</t>
  </si>
  <si>
    <t>Pulmonology</t>
  </si>
  <si>
    <t>Neurosurgery</t>
  </si>
  <si>
    <t>msanfuentes@jhmi.edu</t>
  </si>
  <si>
    <t>INDIRECT COST RATIO (Category A / F / G Only)</t>
  </si>
  <si>
    <t>INDIRECT COST RATIO (Category C and E-40 ONLY)</t>
  </si>
  <si>
    <t>Community Clinics</t>
  </si>
  <si>
    <t>Kent Island Urgent Care</t>
  </si>
  <si>
    <t>Physician Recruiting</t>
  </si>
  <si>
    <t>ED Physician Uncompensated Care</t>
  </si>
  <si>
    <t>Senior Leadership</t>
  </si>
  <si>
    <t>JHCP Community Services</t>
  </si>
  <si>
    <t>The Access Partnership (TAP)</t>
  </si>
  <si>
    <t xml:space="preserve">kfmcgrath@umm.edu </t>
  </si>
  <si>
    <t>410-328-1092</t>
  </si>
  <si>
    <t>Northwest Hospital Center, Inc.</t>
  </si>
  <si>
    <t>410-787-4491</t>
  </si>
  <si>
    <t>Oncology Survivorship Program</t>
  </si>
  <si>
    <t>Physician services</t>
  </si>
  <si>
    <t>Smith Island Healthcare Initiative</t>
  </si>
  <si>
    <t>UMD UPPER CHESAPEAKE MEDICAL CENTER EMERGENCY DEPT PHYSICIAN SUBSIDIES</t>
  </si>
  <si>
    <t xml:space="preserve">Doctors Community Hospital </t>
  </si>
  <si>
    <t>Cynthia A. Kelleher</t>
  </si>
  <si>
    <t>410-448-6447</t>
  </si>
  <si>
    <t>ckelleher@umm.edu</t>
  </si>
  <si>
    <t xml:space="preserve">BIAM </t>
  </si>
  <si>
    <t>Positive Behavioral Interventions</t>
  </si>
  <si>
    <t>Life Space Crisis Intervention Program</t>
  </si>
  <si>
    <t>Behavioral Health Integrated Care</t>
  </si>
  <si>
    <t>UMD Harford Memorial Hospital Behavior Health Unit Physician subsidies</t>
  </si>
  <si>
    <t>Hospital Number</t>
  </si>
  <si>
    <t>Hospital ID</t>
  </si>
  <si>
    <t>Direct Medical Education (DME)</t>
  </si>
  <si>
    <t>Nurse Support Program I (NSPI)</t>
  </si>
  <si>
    <t>Total Rate Support for Education</t>
  </si>
  <si>
    <t>Number of Employees</t>
  </si>
  <si>
    <t xml:space="preserve">Total Staff Hours for CB Operations </t>
  </si>
  <si>
    <t>Total Community Benefit Expense</t>
  </si>
  <si>
    <t xml:space="preserve">Total Net CB minus Charity Care, DME, NSPI in Rates </t>
  </si>
  <si>
    <t xml:space="preserve"> Charity Care *</t>
  </si>
  <si>
    <t xml:space="preserve">Net Community Benefit </t>
  </si>
  <si>
    <t xml:space="preserve"> * The Adventist Hospital System has requested and received permission to report their Community Benefit activities on a CY Basis.  This allows them to more acurately reflect their true activities during the Community Benefit Cycle.  The numbers listed in the 'FY 2017 Amount in Rates for Charity Care, DME, and NSPI' Column as well as the Medicaid Deficit Assessments  rom the Inventory spreadsheets reflect the Commission's activities for FY17 and therefore will be different from the numbers reported by the Adventist Hospitals.</t>
  </si>
  <si>
    <t xml:space="preserve">Jacqueline Pourahmadi </t>
  </si>
  <si>
    <t>(301) 315-3271</t>
  </si>
  <si>
    <t>JPourahm@adventisthealthcare.com</t>
  </si>
  <si>
    <t xml:space="preserve">Anne Arundel Medical Center </t>
  </si>
  <si>
    <t xml:space="preserve">breilly@aahs.org </t>
  </si>
  <si>
    <t xml:space="preserve">Physician Community Services </t>
  </si>
  <si>
    <t xml:space="preserve">AAMC Subsidized Health Services </t>
  </si>
  <si>
    <t xml:space="preserve">My Chart Electronic Records </t>
  </si>
  <si>
    <t>Pallative Care</t>
  </si>
  <si>
    <t>SAFE Program</t>
  </si>
  <si>
    <t>Health System Losses</t>
  </si>
  <si>
    <t>CalvertHealth Medical Center</t>
  </si>
  <si>
    <t>Hannah Jacobs</t>
  </si>
  <si>
    <t>hjacobs@fmh.org</t>
  </si>
  <si>
    <t>MENTAL HEALTH SERVICES OUTPATIENT</t>
  </si>
  <si>
    <t>Indigent Drug Program</t>
  </si>
  <si>
    <t>Child Life Specialist</t>
  </si>
  <si>
    <t>Senior Outreach/Elder Medical Care</t>
  </si>
  <si>
    <t>ER SAFE Program</t>
  </si>
  <si>
    <t>Oncology transportation program</t>
  </si>
  <si>
    <t>Oncology social work services</t>
  </si>
  <si>
    <t>Run GBMC</t>
  </si>
  <si>
    <t>Kimberley McBride</t>
  </si>
  <si>
    <t>Safety Net Clinics - Billing</t>
  </si>
  <si>
    <t>SNFists Subsidy</t>
  </si>
  <si>
    <t>Behavioral Health Subsidy</t>
  </si>
  <si>
    <t xml:space="preserve">Sinai Hospital </t>
  </si>
  <si>
    <t>NICU/PICU Subsidy</t>
  </si>
  <si>
    <t>Hospital OP Services</t>
  </si>
  <si>
    <t>Camesha Spence</t>
  </si>
  <si>
    <t>410-968-9355</t>
  </si>
  <si>
    <t>cspence@mccreadyhealth.org</t>
  </si>
  <si>
    <t>Hospital Outpatient Services - Family Health</t>
  </si>
  <si>
    <t>Surgical PA</t>
  </si>
  <si>
    <t>Primary Care &amp; Hospitalists</t>
  </si>
  <si>
    <t xml:space="preserve">Women's and Children Services </t>
  </si>
  <si>
    <t xml:space="preserve">Subsidized Continuing Care </t>
  </si>
  <si>
    <t>beth.e.kelly@medstar.net</t>
  </si>
  <si>
    <t>Neonatal Intensive Care</t>
  </si>
  <si>
    <t>Behavioral Health Services</t>
  </si>
  <si>
    <t xml:space="preserve">MedStar St Mary's Hospital </t>
  </si>
  <si>
    <t>Women's and Childrens Health</t>
  </si>
  <si>
    <t>Behavorial health Services</t>
  </si>
  <si>
    <t>Beth.e.Kelly@medstar.net</t>
  </si>
  <si>
    <t>Renal Dialysis</t>
  </si>
  <si>
    <t>Emergency</t>
  </si>
  <si>
    <t>Detox Program</t>
  </si>
  <si>
    <t>Dental Clinic Services</t>
  </si>
  <si>
    <t>21-0001</t>
  </si>
  <si>
    <t>Rachana Patani</t>
  </si>
  <si>
    <t>410-578-5065</t>
  </si>
  <si>
    <t>Rachana.Patani@MWPH.org</t>
  </si>
  <si>
    <t>Michelle Middleton</t>
  </si>
  <si>
    <t>410-938-3507</t>
  </si>
  <si>
    <t>mmiddleton@sheppardpratt.org</t>
  </si>
  <si>
    <t>Smoking Cessation</t>
  </si>
  <si>
    <t>laurie.fetterman@umm.edu</t>
  </si>
  <si>
    <t>University Of Maryland Charles Regional Medical Center</t>
  </si>
  <si>
    <t>Heart Walks</t>
  </si>
  <si>
    <t>Tumor Registry</t>
  </si>
  <si>
    <t>Craig Fleischman</t>
  </si>
  <si>
    <t>cfleisch@umm.edu</t>
  </si>
  <si>
    <t>URGENT CARE</t>
  </si>
  <si>
    <t>Community Service Activities</t>
  </si>
  <si>
    <t>Safe Nursing</t>
  </si>
  <si>
    <t xml:space="preserve">MHE Anesthesia Physician Subsidy </t>
  </si>
  <si>
    <t>MHE ER Physician Subsidy</t>
  </si>
  <si>
    <t>SMCE HOSPITALIST</t>
  </si>
  <si>
    <t>Medical Specialty</t>
  </si>
  <si>
    <t>Primary Care Physicians</t>
  </si>
  <si>
    <t>Rebecca Righter</t>
  </si>
  <si>
    <t>410-543-7153</t>
  </si>
  <si>
    <t>rebecca.righter@peninsula.org</t>
  </si>
  <si>
    <t>Medical Oncology</t>
  </si>
  <si>
    <t>Physician Subsidies Hospitalists</t>
  </si>
  <si>
    <t>C81</t>
  </si>
  <si>
    <t>Endocrinology</t>
  </si>
  <si>
    <t>aruble@wmhs.com</t>
  </si>
  <si>
    <t>C55</t>
  </si>
  <si>
    <t>Cardiology Physicians Practice</t>
  </si>
  <si>
    <t>C56</t>
  </si>
  <si>
    <t>GI Physicians Practice</t>
  </si>
  <si>
    <t>C54</t>
  </si>
  <si>
    <t>Pulmonary Physician Practice</t>
  </si>
  <si>
    <t>Telehealth TNN Chronic Disease Mgmt / AntiThrombosis Clinic</t>
  </si>
  <si>
    <t xml:space="preserve">Surgical </t>
  </si>
  <si>
    <t>Other Medical</t>
  </si>
  <si>
    <t>Physician Subsidies - ED On-Call</t>
  </si>
  <si>
    <t>Physician Subsidies - Psych ED/IP Coverage</t>
  </si>
  <si>
    <t>Physician Subsidies - Otolaryngology On-Call</t>
  </si>
  <si>
    <t>Physician Subsidies - Interventional Cardiology On-Call</t>
  </si>
  <si>
    <t>Physician Subsidies - Anesthesia On-Call</t>
  </si>
  <si>
    <t>Physician Subsidies - OB/GYN (ED &amp; IP Coverage)</t>
  </si>
  <si>
    <t>Physician Subsidies - Cardiology On-Call</t>
  </si>
  <si>
    <t>Physician Subsidies - Infusion Center</t>
  </si>
  <si>
    <t>Physician Subsidies - Hospitalist (Intern &amp; Resident)</t>
  </si>
  <si>
    <t>Other - IRC Registry</t>
  </si>
  <si>
    <t>Trauma On Call</t>
  </si>
  <si>
    <t>Urology On Call</t>
  </si>
  <si>
    <t>Behavioral Health On Call</t>
  </si>
  <si>
    <t>Clinical Research (NIH per file)</t>
  </si>
  <si>
    <t>210002 &amp; 218992</t>
  </si>
  <si>
    <t>Univ. of Maryland Medical Center</t>
  </si>
  <si>
    <t>210003 &amp; 210055</t>
  </si>
  <si>
    <t>Frederick Memorial Hospital</t>
  </si>
  <si>
    <t>Univ. of Maryland Harford Memorial Hospital</t>
  </si>
  <si>
    <t>Mercy Medical Center, Inc.</t>
  </si>
  <si>
    <t>Univ. of Maryland Shore Medical Center at Dorchester</t>
  </si>
  <si>
    <t>St. Agnes Hospital</t>
  </si>
  <si>
    <t>Sinai Hospital</t>
  </si>
  <si>
    <t>Bon Secours Hospital</t>
  </si>
  <si>
    <t>MedStar Franklin Square Hospital</t>
  </si>
  <si>
    <t>Washington Adventist Hospital</t>
  </si>
  <si>
    <t>Garrett County Memorial Hospital</t>
  </si>
  <si>
    <t>MedStar Montgomery General Hospital</t>
  </si>
  <si>
    <t>Suburban Hospital Association,Inc</t>
  </si>
  <si>
    <t>Anne Arundel General Hospital</t>
  </si>
  <si>
    <t>Western Maryland Hospital</t>
  </si>
  <si>
    <t>MedStar St. Marys Hospital</t>
  </si>
  <si>
    <t>Johns Hopkins Bayview Med. Center</t>
  </si>
  <si>
    <t>Univ. of Maryland Shore Medical Center at Chestertown</t>
  </si>
  <si>
    <t>Carroll County General Hospital</t>
  </si>
  <si>
    <t>MedStar Harbor Hospital Center</t>
  </si>
  <si>
    <t>Univ. of Maryland Charles Regional Medical Center</t>
  </si>
  <si>
    <t>Univ. of Maryland Shore Medical Center at Easton</t>
  </si>
  <si>
    <t>Univ. of Maryland Medical Center Midtown Campus</t>
  </si>
  <si>
    <t>Calvert Memorial Hospital</t>
  </si>
  <si>
    <t>Univ. of Maryland Baltimore Washington Medical Center</t>
  </si>
  <si>
    <t>McCready Foundation, Inc.</t>
  </si>
  <si>
    <t>Univ. of Maryland Upper Chesepeake Medical Center</t>
  </si>
  <si>
    <t>Doctors Community Hospital</t>
  </si>
  <si>
    <t>Shady Grove Adventist Hospital</t>
  </si>
  <si>
    <t>UMROI</t>
  </si>
  <si>
    <t>MedStar Southern Maryland Hospital</t>
  </si>
  <si>
    <t>Univ. of Maryland St. Josephs Medical Center</t>
  </si>
  <si>
    <t>Holy Cross German Town</t>
  </si>
  <si>
    <t>Mt. Washington Peds</t>
  </si>
  <si>
    <t>Adventist Rehabilitation</t>
  </si>
  <si>
    <t>UM Capital Region</t>
  </si>
  <si>
    <t>FY 2019 Rate Support for Direct Medical Education and the Nurse Support Program</t>
  </si>
  <si>
    <t>FY 2019 Rate Support for Charity Care</t>
  </si>
  <si>
    <t>Adapted Golf Program</t>
  </si>
  <si>
    <t>Adapted Sports Festival</t>
  </si>
  <si>
    <t>Wheelchair Basketball Clinic</t>
  </si>
  <si>
    <t>Wheelchair Rugby</t>
  </si>
  <si>
    <t>FY 2019 Data Collection Sheet</t>
  </si>
  <si>
    <t>Community Health (CHEW, Parish Nursing)</t>
  </si>
  <si>
    <t>Hospital Owned Practices</t>
  </si>
  <si>
    <t>On-Call Fees for Emergency Specialists</t>
  </si>
  <si>
    <t>Family Practice Residency Program</t>
  </si>
  <si>
    <t>Meritus Urgent Care</t>
  </si>
  <si>
    <t>MMG Physician Practices</t>
  </si>
  <si>
    <t xml:space="preserve">University of Maryland Capital Region Health </t>
  </si>
  <si>
    <t xml:space="preserve">Sabra Wilson </t>
  </si>
  <si>
    <t>240-568-3460</t>
  </si>
  <si>
    <t>sabra.wilson@umm.edu</t>
  </si>
  <si>
    <t>Physicians On Call</t>
  </si>
  <si>
    <t>Intensive Care Services to Community</t>
  </si>
  <si>
    <t>OB Services to Community</t>
  </si>
  <si>
    <t>Anesthesia / OR Services to Community</t>
  </si>
  <si>
    <t>Cardiology Services to Community</t>
  </si>
  <si>
    <t>Clinic Services to Community</t>
  </si>
  <si>
    <t>Psychiatric Services to Community</t>
  </si>
  <si>
    <t>Trauma / ED Services to Community</t>
  </si>
  <si>
    <t>Other Services to Community</t>
  </si>
  <si>
    <t>Association of Community Health Improvement Conference</t>
  </si>
  <si>
    <t>Frederick Memorial Hospital, Inc.</t>
  </si>
  <si>
    <t>University of Maryland Harford Memorial Hospital</t>
  </si>
  <si>
    <t>Curt Ohler</t>
  </si>
  <si>
    <t>cohler@umm.edu</t>
  </si>
  <si>
    <t>Klein's Family Behavioral Health Crisis Center</t>
  </si>
  <si>
    <t>Mercy Health Services, Inc.</t>
  </si>
  <si>
    <t>Charity Presciption</t>
  </si>
  <si>
    <t>ED Physician</t>
  </si>
  <si>
    <t>Physician Charity Support</t>
  </si>
  <si>
    <t>FY 2019 COMMUNITY BENEFIT INVENTORY SPREADSHEET</t>
  </si>
  <si>
    <t>443-997-5999</t>
  </si>
  <si>
    <t>Shore Regional Health Dorchester</t>
  </si>
  <si>
    <t>SCF: INPATIENT PHYSICIANS DGH CONT: HOSPITALIST</t>
  </si>
  <si>
    <t>SCF: INPATIENT PSYCH PHYSICIANS DGH CONT</t>
  </si>
  <si>
    <t>Phys Recruitment + Specialty</t>
  </si>
  <si>
    <t xml:space="preserve">Bridge Clinic, Beh. Health Outpatient / </t>
  </si>
  <si>
    <t>UMCMG Physician Subsidy</t>
  </si>
  <si>
    <t>UMSRH UMCC Telehealth Palliative Mental Services</t>
  </si>
  <si>
    <t xml:space="preserve">Personal Care/Food Pantry Community Building </t>
  </si>
  <si>
    <t>Chanie Carlton</t>
  </si>
  <si>
    <t xml:space="preserve">443-367-3884 </t>
  </si>
  <si>
    <t>Chanie_Carlton@bshsi.org</t>
  </si>
  <si>
    <t>Other - Baby to Remember / Pastoral Care</t>
  </si>
  <si>
    <t>Other - Hospitalists, Physician Assistants, Endocrinology</t>
  </si>
  <si>
    <t>Other Resources - Assigned Staff Travel</t>
  </si>
  <si>
    <t>Coverage of ED on Call</t>
  </si>
  <si>
    <t>449</t>
  </si>
  <si>
    <t>KAREN ACKERMAN</t>
  </si>
  <si>
    <t>301-533-4257</t>
  </si>
  <si>
    <t>kackerman@gcmh.com</t>
  </si>
  <si>
    <t>C86</t>
  </si>
  <si>
    <t>HeartWell Program</t>
  </si>
  <si>
    <t>ENT On Call</t>
  </si>
  <si>
    <t>OBGYN On Call</t>
  </si>
  <si>
    <t>Cardiology On Call</t>
  </si>
  <si>
    <t>C82</t>
  </si>
  <si>
    <t>Gastroenterology On Call</t>
  </si>
  <si>
    <t>Prescription Medications</t>
  </si>
  <si>
    <t>Center for Clinical Resources</t>
  </si>
  <si>
    <t>Organizationally Owned Urgent Care Centers- Frostburg, Hunt Club and South Cumberland</t>
  </si>
  <si>
    <t>Anesthesiology</t>
  </si>
  <si>
    <t>Telehealth Palliative Care</t>
  </si>
  <si>
    <t>Social &amp; Environmental Improvements</t>
  </si>
  <si>
    <t xml:space="preserve">Hospital Outpatient Services </t>
  </si>
  <si>
    <t>Access Carroll - medical, dental and behavioral health practice</t>
  </si>
  <si>
    <t>Jim Clague</t>
  </si>
  <si>
    <t>301-609-5154</t>
  </si>
  <si>
    <t>jclague1@umm.edu</t>
  </si>
  <si>
    <t>Emergency &amp; Trauma Services</t>
  </si>
  <si>
    <t>Women's &amp; Children's Services</t>
  </si>
  <si>
    <t>SPACC / AntiThrombosis - Clinics</t>
  </si>
  <si>
    <t>Community Equipment</t>
  </si>
  <si>
    <t>University of Maryland Medical Center Midtown Campus</t>
  </si>
  <si>
    <t>410-535-8134</t>
  </si>
  <si>
    <t xml:space="preserve">mary.golway@calverthealthmed.org </t>
  </si>
  <si>
    <t>URGENT CARE SERVICE CENTERS</t>
  </si>
  <si>
    <t>HEALTHCARE CLINIC SERVICES</t>
  </si>
  <si>
    <t>OUTPATIENT PT &amp; OT REHABILITATION SERVICES</t>
  </si>
  <si>
    <t>HOSPITAL EMERGENCY &amp; BEHAVIORAL HEALTH SERVICES</t>
  </si>
  <si>
    <t>ACUTE CARE &amp; PEDIATRIC HOSPITALIST PROGRAM</t>
  </si>
  <si>
    <t>INTENSIVE CARE UNIT CALL COVERAGE</t>
  </si>
  <si>
    <t>OTHER ANCILLARY CALL COVERAGE SERVICES</t>
  </si>
  <si>
    <t>PHYSICIAN SUBSIDIES FULFILLING HEALTHCARE NEED</t>
  </si>
  <si>
    <t>University of Maryland Baltimore Washington Medical Center</t>
  </si>
  <si>
    <t>Laurie Fetterman, Manager, Stragetic Planning and Service Line Development</t>
  </si>
  <si>
    <t>Emergency Services - On-Call Emergency Department Coverage and SAFE Program</t>
  </si>
  <si>
    <t>Outpatient Services</t>
  </si>
  <si>
    <t>Hospitalists and House Staff</t>
  </si>
  <si>
    <t>McCready Foundation</t>
  </si>
  <si>
    <t>210045</t>
  </si>
  <si>
    <t>263</t>
  </si>
  <si>
    <t>Pharmacy Students</t>
  </si>
  <si>
    <t>McCready Care-A-Van</t>
  </si>
  <si>
    <t>McCready Health Flu Clinic</t>
  </si>
  <si>
    <t>University of Maryland Upper Chesapeake Medical Center</t>
  </si>
  <si>
    <t>Mary P; Dudley</t>
  </si>
  <si>
    <t>Mdudley@dchweb.org</t>
  </si>
  <si>
    <t>Watch Groups (FPAC &amp; GATE HOUSE)</t>
  </si>
  <si>
    <t>Dental Education (See A10)</t>
  </si>
  <si>
    <t>Radiology (See B30)</t>
  </si>
  <si>
    <t>Think First, Brain and Spinal Cord Injury Prevention (See A10)</t>
  </si>
  <si>
    <t>Wheelchair Tennis Clinic (See A10)</t>
  </si>
  <si>
    <t>Chronic Disease Management (See A10)</t>
  </si>
  <si>
    <t>Dental Clinic</t>
  </si>
  <si>
    <t>Atlantic General Hospita</t>
  </si>
  <si>
    <t>410-641-9095</t>
  </si>
  <si>
    <t>MedStar Southern Maryland Hospital Center</t>
  </si>
  <si>
    <t>21-0007</t>
  </si>
  <si>
    <t xml:space="preserve">Paul Nicholson </t>
  </si>
  <si>
    <t>410-337-1602</t>
  </si>
  <si>
    <t>PaulNicholson@umm.edu</t>
  </si>
  <si>
    <t>Cristo Rey Internship Program</t>
  </si>
  <si>
    <t>Lead Clinic</t>
  </si>
  <si>
    <t>Sheppard Pratt Health System</t>
  </si>
  <si>
    <t>Therapy  Referral Service</t>
  </si>
  <si>
    <t>Crisis Walk In Clinic (CWIC)</t>
  </si>
  <si>
    <t>FY2010 - FY2019 - Rate Support - for all hospitals</t>
  </si>
  <si>
    <t>FY2010-FY2019 - Net expense with &amp; without rate support</t>
  </si>
  <si>
    <t>UMCMG Physician Subsidy/Specialty</t>
  </si>
  <si>
    <t>Specialty</t>
  </si>
  <si>
    <t>FY 2019 Community Benefit Analysis, by Hospital</t>
  </si>
  <si>
    <t>Attachment III - Aggregated Hospital CBR Data FY2019 - Including Specialty Hospitals</t>
  </si>
  <si>
    <t>Table I FY2019 All Hospitals Community Benefit Expenditures</t>
  </si>
  <si>
    <t xml:space="preserve">Mary Golway </t>
  </si>
  <si>
    <t xml:space="preserve">Job Shadow </t>
  </si>
  <si>
    <r>
      <rPr>
        <b/>
        <sz val="7"/>
        <rFont val="Arial"/>
        <family val="2"/>
      </rPr>
      <t>FY 2019 Data Collection Sheet</t>
    </r>
  </si>
  <si>
    <r>
      <rPr>
        <b/>
        <sz val="5.5"/>
        <rFont val="Arial"/>
        <family val="2"/>
      </rPr>
      <t>GENERAL INFORMATION</t>
    </r>
  </si>
  <si>
    <r>
      <rPr>
        <b/>
        <sz val="5.5"/>
        <rFont val="Arial"/>
        <family val="2"/>
      </rPr>
      <t>Hospital Name:</t>
    </r>
  </si>
  <si>
    <r>
      <rPr>
        <sz val="5.5"/>
        <rFont val="Arial"/>
        <family val="2"/>
      </rPr>
      <t>Fort Washington Medical Center Inc.</t>
    </r>
  </si>
  <si>
    <r>
      <rPr>
        <b/>
        <sz val="5.5"/>
        <rFont val="Arial"/>
        <family val="2"/>
      </rPr>
      <t>HSCRC Hospital ID #:</t>
    </r>
  </si>
  <si>
    <r>
      <rPr>
        <b/>
        <sz val="5.5"/>
        <rFont val="Arial"/>
        <family val="2"/>
      </rPr>
      <t># of Employees:</t>
    </r>
  </si>
  <si>
    <r>
      <rPr>
        <b/>
        <sz val="5.5"/>
        <rFont val="Arial"/>
        <family val="2"/>
      </rPr>
      <t>Contact Person:</t>
    </r>
  </si>
  <si>
    <r>
      <rPr>
        <sz val="5.5"/>
        <rFont val="Arial"/>
        <family val="2"/>
      </rPr>
      <t>Chantay Moye</t>
    </r>
  </si>
  <si>
    <r>
      <rPr>
        <b/>
        <sz val="5.5"/>
        <rFont val="Arial"/>
        <family val="2"/>
      </rPr>
      <t>Contact Number:</t>
    </r>
  </si>
  <si>
    <r>
      <rPr>
        <sz val="5.5"/>
        <rFont val="Arial"/>
        <family val="2"/>
      </rPr>
      <t>252-258-2558</t>
    </r>
  </si>
  <si>
    <r>
      <rPr>
        <b/>
        <sz val="5.5"/>
        <rFont val="Arial"/>
        <family val="2"/>
      </rPr>
      <t>Contact Email:</t>
    </r>
  </si>
  <si>
    <r>
      <rPr>
        <u/>
        <sz val="5.5"/>
        <color rgb="FF0000FF"/>
        <rFont val="Arial"/>
        <family val="2"/>
      </rPr>
      <t>cmoye@adventisthealthcare.com</t>
    </r>
  </si>
  <si>
    <r>
      <rPr>
        <b/>
        <sz val="5.5"/>
        <rFont val="Arial"/>
        <family val="2"/>
      </rPr>
      <t>UNREIMBURSED MEDICAID COST</t>
    </r>
  </si>
  <si>
    <r>
      <rPr>
        <b/>
        <sz val="5.5"/>
        <rFont val="Arial"/>
        <family val="2"/>
      </rPr>
      <t># OF STAFF HOURS</t>
    </r>
  </si>
  <si>
    <r>
      <rPr>
        <b/>
        <sz val="5.5"/>
        <rFont val="Arial"/>
        <family val="2"/>
      </rPr>
      <t># OF ENCOUNTERS</t>
    </r>
  </si>
  <si>
    <r>
      <rPr>
        <b/>
        <sz val="5.5"/>
        <rFont val="Arial"/>
        <family val="2"/>
      </rPr>
      <t>DIRECT COST($)</t>
    </r>
  </si>
  <si>
    <r>
      <rPr>
        <b/>
        <sz val="5.5"/>
        <rFont val="Arial"/>
        <family val="2"/>
      </rPr>
      <t>INDIRECT COST($)</t>
    </r>
  </si>
  <si>
    <r>
      <rPr>
        <b/>
        <sz val="5.5"/>
        <rFont val="Arial"/>
        <family val="2"/>
      </rPr>
      <t>OFFSETTING REVENUE($)</t>
    </r>
  </si>
  <si>
    <r>
      <rPr>
        <b/>
        <sz val="5.5"/>
        <rFont val="Arial"/>
        <family val="2"/>
      </rPr>
      <t>NET COMMUNITY BENEFIT</t>
    </r>
  </si>
  <si>
    <r>
      <rPr>
        <b/>
        <sz val="5.5"/>
        <rFont val="Arial"/>
        <family val="2"/>
      </rPr>
      <t>T00</t>
    </r>
  </si>
  <si>
    <r>
      <rPr>
        <b/>
        <sz val="5.5"/>
        <rFont val="Arial"/>
        <family val="2"/>
      </rPr>
      <t>Medicaid Costs</t>
    </r>
  </si>
  <si>
    <r>
      <rPr>
        <b/>
        <sz val="5.5"/>
        <rFont val="Arial"/>
        <family val="2"/>
      </rPr>
      <t>T99</t>
    </r>
  </si>
  <si>
    <r>
      <rPr>
        <sz val="5.5"/>
        <rFont val="Arial"/>
        <family val="2"/>
      </rPr>
      <t>Medicaid Assessments</t>
    </r>
  </si>
  <si>
    <r>
      <rPr>
        <sz val="5.5"/>
        <rFont val="Arial"/>
        <family val="2"/>
      </rPr>
      <t>N/A</t>
    </r>
  </si>
  <si>
    <r>
      <rPr>
        <b/>
        <sz val="5.5"/>
        <rFont val="Arial"/>
        <family val="2"/>
      </rPr>
      <t>COMMUNITY BENEFIT ACTIVITES</t>
    </r>
  </si>
  <si>
    <r>
      <rPr>
        <b/>
        <sz val="5.5"/>
        <rFont val="Arial"/>
        <family val="2"/>
      </rPr>
      <t>A00.</t>
    </r>
  </si>
  <si>
    <r>
      <rPr>
        <b/>
        <sz val="5.5"/>
        <rFont val="Arial"/>
        <family val="2"/>
      </rPr>
      <t>COMMUNITY HEALTH SERVICES</t>
    </r>
  </si>
  <si>
    <r>
      <rPr>
        <b/>
        <sz val="5.5"/>
        <rFont val="Arial"/>
        <family val="2"/>
      </rPr>
      <t>A10</t>
    </r>
  </si>
  <si>
    <r>
      <rPr>
        <sz val="5.5"/>
        <rFont val="Arial"/>
        <family val="2"/>
      </rPr>
      <t>Community Health Education</t>
    </r>
  </si>
  <si>
    <r>
      <rPr>
        <b/>
        <sz val="5.5"/>
        <rFont val="Arial"/>
        <family val="2"/>
      </rPr>
      <t>A11</t>
    </r>
  </si>
  <si>
    <r>
      <rPr>
        <sz val="5.5"/>
        <rFont val="Arial"/>
        <family val="2"/>
      </rPr>
      <t>Support Groups</t>
    </r>
  </si>
  <si>
    <r>
      <rPr>
        <b/>
        <sz val="5.5"/>
        <rFont val="Arial"/>
        <family val="2"/>
      </rPr>
      <t>A12</t>
    </r>
  </si>
  <si>
    <r>
      <rPr>
        <sz val="5.5"/>
        <rFont val="Arial"/>
        <family val="2"/>
      </rPr>
      <t>Self-Help</t>
    </r>
  </si>
  <si>
    <r>
      <rPr>
        <b/>
        <sz val="5.5"/>
        <rFont val="Arial"/>
        <family val="2"/>
      </rPr>
      <t>A20</t>
    </r>
  </si>
  <si>
    <r>
      <rPr>
        <sz val="5.5"/>
        <rFont val="Arial"/>
        <family val="2"/>
      </rPr>
      <t>Community-Based Clinical Services</t>
    </r>
  </si>
  <si>
    <r>
      <rPr>
        <b/>
        <sz val="5.5"/>
        <rFont val="Arial"/>
        <family val="2"/>
      </rPr>
      <t>A21</t>
    </r>
  </si>
  <si>
    <r>
      <rPr>
        <sz val="5.5"/>
        <rFont val="Arial"/>
        <family val="2"/>
      </rPr>
      <t>Screenings</t>
    </r>
  </si>
  <si>
    <r>
      <rPr>
        <b/>
        <sz val="5.5"/>
        <rFont val="Arial"/>
        <family val="2"/>
      </rPr>
      <t>A22</t>
    </r>
  </si>
  <si>
    <r>
      <rPr>
        <sz val="5.5"/>
        <rFont val="Arial"/>
        <family val="2"/>
      </rPr>
      <t>One-Time/Occasionally Held Clinics</t>
    </r>
  </si>
  <si>
    <r>
      <rPr>
        <b/>
        <sz val="5.5"/>
        <rFont val="Arial"/>
        <family val="2"/>
      </rPr>
      <t>A23</t>
    </r>
  </si>
  <si>
    <r>
      <rPr>
        <sz val="5.5"/>
        <rFont val="Arial"/>
        <family val="2"/>
      </rPr>
      <t>Clinics for Underinsured and Uninsured</t>
    </r>
  </si>
  <si>
    <r>
      <rPr>
        <b/>
        <sz val="5.5"/>
        <rFont val="Arial"/>
        <family val="2"/>
      </rPr>
      <t>A24</t>
    </r>
  </si>
  <si>
    <r>
      <rPr>
        <sz val="5.5"/>
        <rFont val="Arial"/>
        <family val="2"/>
      </rPr>
      <t>Mobile Units</t>
    </r>
  </si>
  <si>
    <r>
      <rPr>
        <b/>
        <sz val="5.5"/>
        <rFont val="Arial"/>
        <family val="2"/>
      </rPr>
      <t>A30</t>
    </r>
  </si>
  <si>
    <r>
      <rPr>
        <sz val="5.5"/>
        <rFont val="Arial"/>
        <family val="2"/>
      </rPr>
      <t>Health Care Support Services</t>
    </r>
  </si>
  <si>
    <r>
      <rPr>
        <b/>
        <sz val="5.5"/>
        <rFont val="Arial"/>
        <family val="2"/>
      </rPr>
      <t>A40</t>
    </r>
  </si>
  <si>
    <r>
      <rPr>
        <sz val="4.5"/>
        <rFont val="Arial"/>
        <family val="2"/>
      </rPr>
      <t>Diabetes Education and Support Services</t>
    </r>
  </si>
  <si>
    <r>
      <rPr>
        <b/>
        <sz val="5.5"/>
        <rFont val="Arial"/>
        <family val="2"/>
      </rPr>
      <t>A41</t>
    </r>
  </si>
  <si>
    <r>
      <rPr>
        <b/>
        <sz val="5.5"/>
        <rFont val="Arial"/>
        <family val="2"/>
      </rPr>
      <t>A42</t>
    </r>
  </si>
  <si>
    <r>
      <rPr>
        <b/>
        <sz val="5.5"/>
        <rFont val="Arial"/>
        <family val="2"/>
      </rPr>
      <t>A43</t>
    </r>
  </si>
  <si>
    <r>
      <rPr>
        <b/>
        <sz val="5.5"/>
        <rFont val="Arial"/>
        <family val="2"/>
      </rPr>
      <t>A44</t>
    </r>
  </si>
  <si>
    <r>
      <rPr>
        <b/>
        <sz val="5.5"/>
        <rFont val="Arial"/>
        <family val="2"/>
      </rPr>
      <t>A99</t>
    </r>
  </si>
  <si>
    <r>
      <rPr>
        <b/>
        <sz val="5.5"/>
        <rFont val="Arial"/>
        <family val="2"/>
      </rPr>
      <t>Total Community Health Services</t>
    </r>
  </si>
  <si>
    <r>
      <rPr>
        <b/>
        <sz val="5.5"/>
        <rFont val="Arial"/>
        <family val="2"/>
      </rPr>
      <t>TOTAL</t>
    </r>
  </si>
  <si>
    <r>
      <rPr>
        <b/>
        <sz val="5.5"/>
        <rFont val="Arial"/>
        <family val="2"/>
      </rPr>
      <t>B00</t>
    </r>
  </si>
  <si>
    <r>
      <rPr>
        <b/>
        <sz val="5.5"/>
        <rFont val="Arial"/>
        <family val="2"/>
      </rPr>
      <t>HEALTH PROFESSIONS EDUCATION</t>
    </r>
  </si>
  <si>
    <r>
      <rPr>
        <b/>
        <sz val="5.5"/>
        <rFont val="Arial"/>
        <family val="2"/>
      </rPr>
      <t>B10</t>
    </r>
  </si>
  <si>
    <r>
      <rPr>
        <sz val="5.5"/>
        <rFont val="Arial"/>
        <family val="2"/>
      </rPr>
      <t>Physicians/Medical Students</t>
    </r>
  </si>
  <si>
    <r>
      <rPr>
        <b/>
        <sz val="5.5"/>
        <rFont val="Arial"/>
        <family val="2"/>
      </rPr>
      <t>B20</t>
    </r>
  </si>
  <si>
    <r>
      <rPr>
        <sz val="5.5"/>
        <rFont val="Arial"/>
        <family val="2"/>
      </rPr>
      <t>Nurses/Nursing Students</t>
    </r>
  </si>
  <si>
    <r>
      <rPr>
        <b/>
        <sz val="5.5"/>
        <rFont val="Arial"/>
        <family val="2"/>
      </rPr>
      <t>B30</t>
    </r>
  </si>
  <si>
    <r>
      <rPr>
        <sz val="5.5"/>
        <rFont val="Arial"/>
        <family val="2"/>
      </rPr>
      <t>Other Health Professionals</t>
    </r>
  </si>
  <si>
    <r>
      <rPr>
        <b/>
        <sz val="5.5"/>
        <rFont val="Arial"/>
        <family val="2"/>
      </rPr>
      <t>B40</t>
    </r>
  </si>
  <si>
    <r>
      <rPr>
        <sz val="5.5"/>
        <rFont val="Arial"/>
        <family val="2"/>
      </rPr>
      <t>Scholarships/Funding for Professional Education</t>
    </r>
  </si>
  <si>
    <r>
      <rPr>
        <b/>
        <sz val="5.5"/>
        <rFont val="Arial"/>
        <family val="2"/>
      </rPr>
      <t>B50</t>
    </r>
  </si>
  <si>
    <r>
      <rPr>
        <b/>
        <sz val="5.5"/>
        <rFont val="Arial"/>
        <family val="2"/>
      </rPr>
      <t>B51</t>
    </r>
  </si>
  <si>
    <r>
      <rPr>
        <b/>
        <sz val="5.5"/>
        <rFont val="Arial"/>
        <family val="2"/>
      </rPr>
      <t>B52</t>
    </r>
  </si>
  <si>
    <r>
      <rPr>
        <b/>
        <sz val="5.5"/>
        <rFont val="Arial"/>
        <family val="2"/>
      </rPr>
      <t>B53</t>
    </r>
  </si>
  <si>
    <r>
      <rPr>
        <b/>
        <sz val="5.5"/>
        <rFont val="Arial"/>
        <family val="2"/>
      </rPr>
      <t>B99</t>
    </r>
  </si>
  <si>
    <r>
      <rPr>
        <b/>
        <sz val="5.5"/>
        <rFont val="Arial"/>
        <family val="2"/>
      </rPr>
      <t>Total Health Professions Education</t>
    </r>
  </si>
  <si>
    <r>
      <rPr>
        <b/>
        <sz val="5.5"/>
        <rFont val="Arial"/>
        <family val="2"/>
      </rPr>
      <t>C00</t>
    </r>
  </si>
  <si>
    <r>
      <rPr>
        <b/>
        <sz val="5.5"/>
        <rFont val="Arial"/>
        <family val="2"/>
      </rPr>
      <t>MISSION DRIVEN HEALTH SERVICES (please list)</t>
    </r>
  </si>
  <si>
    <r>
      <rPr>
        <b/>
        <sz val="5.5"/>
        <rFont val="Arial"/>
        <family val="2"/>
      </rPr>
      <t>C10</t>
    </r>
  </si>
  <si>
    <r>
      <rPr>
        <sz val="5.5"/>
        <rFont val="Arial"/>
        <family val="2"/>
      </rPr>
      <t>HIV &amp; HEPATITIS C Free Testing Program-Grant Supported</t>
    </r>
  </si>
  <si>
    <r>
      <rPr>
        <b/>
        <sz val="5.5"/>
        <rFont val="Arial"/>
        <family val="2"/>
      </rPr>
      <t>C20</t>
    </r>
  </si>
  <si>
    <r>
      <rPr>
        <b/>
        <sz val="5.5"/>
        <rFont val="Arial"/>
        <family val="2"/>
      </rPr>
      <t>C30</t>
    </r>
  </si>
  <si>
    <r>
      <rPr>
        <b/>
        <sz val="5.5"/>
        <rFont val="Arial"/>
        <family val="2"/>
      </rPr>
      <t>C40</t>
    </r>
  </si>
  <si>
    <r>
      <rPr>
        <b/>
        <sz val="5.5"/>
        <rFont val="Arial"/>
        <family val="2"/>
      </rPr>
      <t>C50</t>
    </r>
  </si>
  <si>
    <r>
      <rPr>
        <b/>
        <sz val="5.5"/>
        <rFont val="Arial"/>
        <family val="2"/>
      </rPr>
      <t>C60</t>
    </r>
  </si>
  <si>
    <r>
      <rPr>
        <b/>
        <sz val="5.5"/>
        <rFont val="Arial"/>
        <family val="2"/>
      </rPr>
      <t>C70</t>
    </r>
  </si>
  <si>
    <r>
      <rPr>
        <b/>
        <sz val="5.5"/>
        <rFont val="Arial"/>
        <family val="2"/>
      </rPr>
      <t>C80</t>
    </r>
  </si>
  <si>
    <r>
      <rPr>
        <b/>
        <sz val="5.5"/>
        <rFont val="Arial"/>
        <family val="2"/>
      </rPr>
      <t>C90</t>
    </r>
  </si>
  <si>
    <r>
      <rPr>
        <b/>
        <sz val="5.5"/>
        <rFont val="Arial"/>
        <family val="2"/>
      </rPr>
      <t>C91</t>
    </r>
  </si>
  <si>
    <r>
      <rPr>
        <b/>
        <sz val="5.5"/>
        <rFont val="Arial"/>
        <family val="2"/>
      </rPr>
      <t>C99</t>
    </r>
  </si>
  <si>
    <r>
      <rPr>
        <b/>
        <sz val="5.5"/>
        <rFont val="Arial"/>
        <family val="2"/>
      </rPr>
      <t>Total Mission Driven Health Services</t>
    </r>
  </si>
  <si>
    <r>
      <rPr>
        <b/>
        <sz val="5.5"/>
        <rFont val="Arial"/>
        <family val="2"/>
      </rPr>
      <t>D00</t>
    </r>
  </si>
  <si>
    <r>
      <rPr>
        <b/>
        <sz val="5.5"/>
        <rFont val="Arial"/>
        <family val="2"/>
      </rPr>
      <t>RESEARCH</t>
    </r>
  </si>
  <si>
    <r>
      <rPr>
        <b/>
        <sz val="5.5"/>
        <rFont val="Arial"/>
        <family val="2"/>
      </rPr>
      <t>D10</t>
    </r>
  </si>
  <si>
    <r>
      <rPr>
        <sz val="5.5"/>
        <rFont val="Arial"/>
        <family val="2"/>
      </rPr>
      <t>Clinical Research</t>
    </r>
  </si>
  <si>
    <r>
      <rPr>
        <b/>
        <sz val="5.5"/>
        <rFont val="Arial"/>
        <family val="2"/>
      </rPr>
      <t>D20</t>
    </r>
  </si>
  <si>
    <r>
      <rPr>
        <sz val="5.5"/>
        <rFont val="Arial"/>
        <family val="2"/>
      </rPr>
      <t>Community Health Research</t>
    </r>
  </si>
  <si>
    <r>
      <rPr>
        <b/>
        <sz val="5.5"/>
        <rFont val="Arial"/>
        <family val="2"/>
      </rPr>
      <t>D30</t>
    </r>
  </si>
  <si>
    <r>
      <rPr>
        <b/>
        <sz val="5.5"/>
        <rFont val="Arial"/>
        <family val="2"/>
      </rPr>
      <t>D31</t>
    </r>
  </si>
  <si>
    <r>
      <rPr>
        <b/>
        <sz val="5.5"/>
        <rFont val="Arial"/>
        <family val="2"/>
      </rPr>
      <t>D32</t>
    </r>
  </si>
  <si>
    <r>
      <rPr>
        <b/>
        <sz val="5.5"/>
        <rFont val="Arial"/>
        <family val="2"/>
      </rPr>
      <t>D99</t>
    </r>
  </si>
  <si>
    <r>
      <rPr>
        <b/>
        <sz val="5.5"/>
        <rFont val="Arial"/>
        <family val="2"/>
      </rPr>
      <t>Total Research</t>
    </r>
  </si>
  <si>
    <r>
      <rPr>
        <b/>
        <sz val="5.5"/>
        <rFont val="Arial"/>
        <family val="2"/>
      </rPr>
      <t>E00</t>
    </r>
  </si>
  <si>
    <r>
      <rPr>
        <b/>
        <sz val="5.5"/>
        <rFont val="Arial"/>
        <family val="2"/>
      </rPr>
      <t>Cash and In-Kind Contributions</t>
    </r>
  </si>
  <si>
    <r>
      <rPr>
        <b/>
        <sz val="5.5"/>
        <rFont val="Arial"/>
        <family val="2"/>
      </rPr>
      <t>E10</t>
    </r>
  </si>
  <si>
    <r>
      <rPr>
        <sz val="5.5"/>
        <rFont val="Arial"/>
        <family val="2"/>
      </rPr>
      <t>Cash Donations</t>
    </r>
  </si>
  <si>
    <r>
      <rPr>
        <b/>
        <sz val="5.5"/>
        <rFont val="Arial"/>
        <family val="2"/>
      </rPr>
      <t>E20</t>
    </r>
  </si>
  <si>
    <r>
      <rPr>
        <sz val="5.5"/>
        <rFont val="Arial"/>
        <family val="2"/>
      </rPr>
      <t>Grants</t>
    </r>
  </si>
  <si>
    <r>
      <rPr>
        <b/>
        <sz val="5.5"/>
        <rFont val="Arial"/>
        <family val="2"/>
      </rPr>
      <t>E30</t>
    </r>
  </si>
  <si>
    <r>
      <rPr>
        <sz val="5.5"/>
        <rFont val="Arial"/>
        <family val="2"/>
      </rPr>
      <t>In-Kind Donations</t>
    </r>
  </si>
  <si>
    <r>
      <rPr>
        <b/>
        <sz val="5.5"/>
        <rFont val="Arial"/>
        <family val="2"/>
      </rPr>
      <t>E40</t>
    </r>
  </si>
  <si>
    <r>
      <rPr>
        <sz val="5.5"/>
        <rFont val="Arial"/>
        <family val="2"/>
      </rPr>
      <t>Cost of Fund Raising for Community Programs</t>
    </r>
  </si>
  <si>
    <r>
      <rPr>
        <b/>
        <sz val="5.5"/>
        <rFont val="Arial"/>
        <family val="2"/>
      </rPr>
      <t>E99</t>
    </r>
  </si>
  <si>
    <r>
      <rPr>
        <b/>
        <sz val="5.5"/>
        <rFont val="Arial"/>
        <family val="2"/>
      </rPr>
      <t>Total Cash and In-Kind Contributions</t>
    </r>
  </si>
  <si>
    <r>
      <rPr>
        <b/>
        <sz val="5.5"/>
        <rFont val="Arial"/>
        <family val="2"/>
      </rPr>
      <t>F00</t>
    </r>
  </si>
  <si>
    <r>
      <rPr>
        <b/>
        <sz val="5.5"/>
        <rFont val="Arial"/>
        <family val="2"/>
      </rPr>
      <t>COMMUNITY BUILDING ACTIVITIES</t>
    </r>
  </si>
  <si>
    <r>
      <rPr>
        <b/>
        <sz val="5.5"/>
        <rFont val="Arial"/>
        <family val="2"/>
      </rPr>
      <t>F10</t>
    </r>
  </si>
  <si>
    <r>
      <rPr>
        <sz val="5.5"/>
        <rFont val="Arial"/>
        <family val="2"/>
      </rPr>
      <t>Physical Improvements and Housing</t>
    </r>
  </si>
  <si>
    <r>
      <rPr>
        <b/>
        <sz val="5.5"/>
        <rFont val="Arial"/>
        <family val="2"/>
      </rPr>
      <t>F20</t>
    </r>
  </si>
  <si>
    <r>
      <rPr>
        <sz val="5.5"/>
        <rFont val="Arial"/>
        <family val="2"/>
      </rPr>
      <t>Economic Development</t>
    </r>
  </si>
  <si>
    <r>
      <rPr>
        <b/>
        <sz val="5.5"/>
        <rFont val="Arial"/>
        <family val="2"/>
      </rPr>
      <t>F30</t>
    </r>
  </si>
  <si>
    <r>
      <rPr>
        <sz val="5.5"/>
        <rFont val="Arial"/>
        <family val="2"/>
      </rPr>
      <t>Community Support</t>
    </r>
  </si>
  <si>
    <r>
      <rPr>
        <b/>
        <sz val="5.5"/>
        <rFont val="Arial"/>
        <family val="2"/>
      </rPr>
      <t>F40</t>
    </r>
  </si>
  <si>
    <r>
      <rPr>
        <sz val="5.5"/>
        <rFont val="Arial"/>
        <family val="2"/>
      </rPr>
      <t>Environmental Improvements</t>
    </r>
  </si>
  <si>
    <r>
      <rPr>
        <b/>
        <sz val="5.5"/>
        <rFont val="Arial"/>
        <family val="2"/>
      </rPr>
      <t>F50</t>
    </r>
  </si>
  <si>
    <r>
      <rPr>
        <sz val="5.5"/>
        <rFont val="Arial"/>
        <family val="2"/>
      </rPr>
      <t>Leadership Development/Training for Community Members</t>
    </r>
  </si>
  <si>
    <r>
      <rPr>
        <b/>
        <sz val="5.5"/>
        <rFont val="Arial"/>
        <family val="2"/>
      </rPr>
      <t>F60</t>
    </r>
  </si>
  <si>
    <r>
      <rPr>
        <sz val="5.5"/>
        <rFont val="Arial"/>
        <family val="2"/>
      </rPr>
      <t>Coalition Building</t>
    </r>
  </si>
  <si>
    <r>
      <rPr>
        <b/>
        <sz val="5.5"/>
        <rFont val="Arial"/>
        <family val="2"/>
      </rPr>
      <t>F70</t>
    </r>
  </si>
  <si>
    <r>
      <rPr>
        <sz val="5.5"/>
        <rFont val="Arial"/>
        <family val="2"/>
      </rPr>
      <t>Advocacy for Community Health Improvements</t>
    </r>
  </si>
  <si>
    <r>
      <rPr>
        <b/>
        <sz val="5.5"/>
        <rFont val="Arial"/>
        <family val="2"/>
      </rPr>
      <t>F80</t>
    </r>
  </si>
  <si>
    <r>
      <rPr>
        <sz val="5.5"/>
        <rFont val="Arial"/>
        <family val="2"/>
      </rPr>
      <t>Workforce Development</t>
    </r>
  </si>
  <si>
    <r>
      <rPr>
        <b/>
        <sz val="5.5"/>
        <rFont val="Arial"/>
        <family val="2"/>
      </rPr>
      <t>F90</t>
    </r>
  </si>
  <si>
    <r>
      <rPr>
        <b/>
        <sz val="5.5"/>
        <rFont val="Arial"/>
        <family val="2"/>
      </rPr>
      <t>F91</t>
    </r>
  </si>
  <si>
    <r>
      <rPr>
        <b/>
        <sz val="5.5"/>
        <rFont val="Arial"/>
        <family val="2"/>
      </rPr>
      <t>F92</t>
    </r>
  </si>
  <si>
    <r>
      <rPr>
        <b/>
        <sz val="5.5"/>
        <rFont val="Arial"/>
        <family val="2"/>
      </rPr>
      <t>F99</t>
    </r>
  </si>
  <si>
    <r>
      <rPr>
        <b/>
        <sz val="5.5"/>
        <rFont val="Arial"/>
        <family val="2"/>
      </rPr>
      <t>Total Community Building Activities</t>
    </r>
  </si>
  <si>
    <r>
      <rPr>
        <b/>
        <sz val="5.5"/>
        <rFont val="Arial"/>
        <family val="2"/>
      </rPr>
      <t>G00</t>
    </r>
  </si>
  <si>
    <r>
      <rPr>
        <b/>
        <sz val="5.5"/>
        <rFont val="Arial"/>
        <family val="2"/>
      </rPr>
      <t>COMMUNITY BENEFIT OPERATIONS</t>
    </r>
  </si>
  <si>
    <r>
      <rPr>
        <b/>
        <sz val="5.5"/>
        <rFont val="Arial"/>
        <family val="2"/>
      </rPr>
      <t>G10</t>
    </r>
  </si>
  <si>
    <r>
      <rPr>
        <sz val="5.5"/>
        <rFont val="Arial"/>
        <family val="2"/>
      </rPr>
      <t>Assigned Staff</t>
    </r>
  </si>
  <si>
    <r>
      <rPr>
        <b/>
        <sz val="5.5"/>
        <rFont val="Arial"/>
        <family val="2"/>
      </rPr>
      <t>G20</t>
    </r>
  </si>
  <si>
    <r>
      <rPr>
        <sz val="5.5"/>
        <rFont val="Arial"/>
        <family val="2"/>
      </rPr>
      <t>Community health/health assets assessments</t>
    </r>
  </si>
  <si>
    <r>
      <rPr>
        <b/>
        <sz val="5.5"/>
        <rFont val="Arial"/>
        <family val="2"/>
      </rPr>
      <t>G30</t>
    </r>
  </si>
  <si>
    <r>
      <rPr>
        <b/>
        <sz val="5.5"/>
        <rFont val="Arial"/>
        <family val="2"/>
      </rPr>
      <t>G31</t>
    </r>
  </si>
  <si>
    <r>
      <rPr>
        <b/>
        <sz val="5.5"/>
        <rFont val="Arial"/>
        <family val="2"/>
      </rPr>
      <t>G32</t>
    </r>
  </si>
  <si>
    <r>
      <rPr>
        <b/>
        <sz val="5.5"/>
        <rFont val="Arial"/>
        <family val="2"/>
      </rPr>
      <t>G99</t>
    </r>
  </si>
  <si>
    <r>
      <rPr>
        <b/>
        <sz val="5.5"/>
        <rFont val="Arial"/>
        <family val="2"/>
      </rPr>
      <t>Total Community Benefit Operations</t>
    </r>
  </si>
  <si>
    <r>
      <rPr>
        <b/>
        <sz val="5.5"/>
        <rFont val="Arial"/>
        <family val="2"/>
      </rPr>
      <t>H00</t>
    </r>
  </si>
  <si>
    <r>
      <rPr>
        <b/>
        <sz val="5.5"/>
        <rFont val="Arial"/>
        <family val="2"/>
      </rPr>
      <t>CHARITY CARE (report total only)</t>
    </r>
  </si>
  <si>
    <r>
      <rPr>
        <b/>
        <sz val="5.5"/>
        <rFont val="Arial"/>
        <family val="2"/>
      </rPr>
      <t>H99</t>
    </r>
  </si>
  <si>
    <r>
      <rPr>
        <b/>
        <sz val="5.5"/>
        <rFont val="Arial"/>
        <family val="2"/>
      </rPr>
      <t>Total Charity Care</t>
    </r>
  </si>
  <si>
    <r>
      <rPr>
        <b/>
        <sz val="5.5"/>
        <rFont val="Arial"/>
        <family val="2"/>
      </rPr>
      <t>FINANCIAL DATA</t>
    </r>
  </si>
  <si>
    <r>
      <rPr>
        <b/>
        <sz val="5.5"/>
        <rFont val="Arial"/>
        <family val="2"/>
      </rPr>
      <t>I10</t>
    </r>
  </si>
  <si>
    <r>
      <rPr>
        <sz val="5.5"/>
        <rFont val="Arial"/>
        <family val="2"/>
      </rPr>
      <t>INDIRECT COST RATIO</t>
    </r>
  </si>
  <si>
    <r>
      <rPr>
        <b/>
        <sz val="5.5"/>
        <rFont val="Arial"/>
        <family val="2"/>
      </rPr>
      <t>I00</t>
    </r>
  </si>
  <si>
    <r>
      <rPr>
        <b/>
        <sz val="5.5"/>
        <rFont val="Arial"/>
        <family val="2"/>
      </rPr>
      <t>OPERATING REVENUE</t>
    </r>
  </si>
  <si>
    <r>
      <rPr>
        <b/>
        <sz val="5.5"/>
        <rFont val="Arial"/>
        <family val="2"/>
      </rPr>
      <t>I20</t>
    </r>
  </si>
  <si>
    <r>
      <rPr>
        <sz val="5.5"/>
        <rFont val="Arial"/>
        <family val="2"/>
      </rPr>
      <t>Net Patient Service Revenue</t>
    </r>
  </si>
  <si>
    <r>
      <rPr>
        <b/>
        <sz val="5.5"/>
        <rFont val="Arial"/>
        <family val="2"/>
      </rPr>
      <t>I30</t>
    </r>
  </si>
  <si>
    <r>
      <rPr>
        <sz val="5.5"/>
        <rFont val="Arial"/>
        <family val="2"/>
      </rPr>
      <t>Other Revenue</t>
    </r>
  </si>
  <si>
    <r>
      <rPr>
        <b/>
        <sz val="5.5"/>
        <rFont val="Arial"/>
        <family val="2"/>
      </rPr>
      <t>I40</t>
    </r>
  </si>
  <si>
    <r>
      <rPr>
        <b/>
        <sz val="5.5"/>
        <rFont val="Arial"/>
        <family val="2"/>
      </rPr>
      <t>Total Revenue</t>
    </r>
  </si>
  <si>
    <r>
      <rPr>
        <b/>
        <sz val="5.5"/>
        <rFont val="Arial"/>
        <family val="2"/>
      </rPr>
      <t>S99</t>
    </r>
  </si>
  <si>
    <r>
      <rPr>
        <b/>
        <sz val="5.5"/>
        <rFont val="Arial"/>
        <family val="2"/>
      </rPr>
      <t>TOTAL OPERATING EXPENSES</t>
    </r>
  </si>
  <si>
    <r>
      <rPr>
        <b/>
        <sz val="5.5"/>
        <rFont val="Arial"/>
        <family val="2"/>
      </rPr>
      <t>I50</t>
    </r>
  </si>
  <si>
    <r>
      <rPr>
        <b/>
        <sz val="5.5"/>
        <rFont val="Arial"/>
        <family val="2"/>
      </rPr>
      <t>NET REVENUE (LOSS) FROM OPERATIONS</t>
    </r>
  </si>
  <si>
    <r>
      <rPr>
        <b/>
        <sz val="5.5"/>
        <rFont val="Arial"/>
        <family val="2"/>
      </rPr>
      <t>I60</t>
    </r>
  </si>
  <si>
    <r>
      <rPr>
        <b/>
        <sz val="5.5"/>
        <rFont val="Arial"/>
        <family val="2"/>
      </rPr>
      <t>NON-OPERATING GAINS (LOSSES)</t>
    </r>
  </si>
  <si>
    <r>
      <rPr>
        <b/>
        <sz val="5.5"/>
        <rFont val="Arial"/>
        <family val="2"/>
      </rPr>
      <t>I70</t>
    </r>
  </si>
  <si>
    <r>
      <rPr>
        <b/>
        <sz val="5.5"/>
        <rFont val="Arial"/>
        <family val="2"/>
      </rPr>
      <t>NET REVENUE (LOSS)</t>
    </r>
  </si>
  <si>
    <r>
      <rPr>
        <b/>
        <sz val="5.5"/>
        <rFont val="Arial"/>
        <family val="2"/>
      </rPr>
      <t>J00</t>
    </r>
  </si>
  <si>
    <r>
      <rPr>
        <b/>
        <sz val="5.5"/>
        <rFont val="Arial"/>
        <family val="2"/>
      </rPr>
      <t>FOUNDATION COMMUNITY BENEFIT</t>
    </r>
  </si>
  <si>
    <r>
      <rPr>
        <b/>
        <sz val="5.5"/>
        <rFont val="Arial"/>
        <family val="2"/>
      </rPr>
      <t>J10</t>
    </r>
  </si>
  <si>
    <r>
      <rPr>
        <sz val="5.5"/>
        <rFont val="Arial"/>
        <family val="2"/>
      </rPr>
      <t>Community Services</t>
    </r>
  </si>
  <si>
    <r>
      <rPr>
        <b/>
        <sz val="5.5"/>
        <rFont val="Arial"/>
        <family val="2"/>
      </rPr>
      <t>J20</t>
    </r>
  </si>
  <si>
    <r>
      <rPr>
        <sz val="5.5"/>
        <rFont val="Arial"/>
        <family val="2"/>
      </rPr>
      <t>Community Building</t>
    </r>
  </si>
  <si>
    <r>
      <rPr>
        <b/>
        <sz val="5.5"/>
        <rFont val="Arial"/>
        <family val="2"/>
      </rPr>
      <t>J30</t>
    </r>
  </si>
  <si>
    <r>
      <rPr>
        <b/>
        <sz val="5.5"/>
        <rFont val="Arial"/>
        <family val="2"/>
      </rPr>
      <t>J31</t>
    </r>
  </si>
  <si>
    <r>
      <rPr>
        <b/>
        <sz val="5.5"/>
        <rFont val="Arial"/>
        <family val="2"/>
      </rPr>
      <t>J32</t>
    </r>
  </si>
  <si>
    <r>
      <rPr>
        <b/>
        <sz val="5.5"/>
        <rFont val="Arial"/>
        <family val="2"/>
      </rPr>
      <t>J99</t>
    </r>
  </si>
  <si>
    <r>
      <rPr>
        <b/>
        <sz val="5.5"/>
        <rFont val="Arial"/>
        <family val="2"/>
      </rPr>
      <t>TOTAL FOUNDATION COMMUNITY BENEFIT</t>
    </r>
  </si>
  <si>
    <r>
      <rPr>
        <b/>
        <sz val="5.5"/>
        <rFont val="Arial"/>
        <family val="2"/>
      </rPr>
      <t>K00</t>
    </r>
  </si>
  <si>
    <r>
      <rPr>
        <b/>
        <sz val="5.5"/>
        <rFont val="Arial"/>
        <family val="2"/>
      </rPr>
      <t>TOTAL HOSPITAL COMMUNITY BENEFIT</t>
    </r>
  </si>
  <si>
    <r>
      <rPr>
        <b/>
        <sz val="5.5"/>
        <rFont val="Arial"/>
        <family val="2"/>
      </rPr>
      <t>Community Health Services</t>
    </r>
  </si>
  <si>
    <r>
      <rPr>
        <b/>
        <sz val="5.5"/>
        <rFont val="Arial"/>
        <family val="2"/>
      </rPr>
      <t>Health Professions Education</t>
    </r>
  </si>
  <si>
    <r>
      <rPr>
        <b/>
        <sz val="5.5"/>
        <rFont val="Arial"/>
        <family val="2"/>
      </rPr>
      <t>Mission Driven Health Care Services</t>
    </r>
  </si>
  <si>
    <r>
      <rPr>
        <b/>
        <sz val="5.5"/>
        <rFont val="Arial"/>
        <family val="2"/>
      </rPr>
      <t>Research</t>
    </r>
  </si>
  <si>
    <r>
      <rPr>
        <b/>
        <sz val="5.5"/>
        <rFont val="Arial"/>
        <family val="2"/>
      </rPr>
      <t>Financial Contributions</t>
    </r>
  </si>
  <si>
    <r>
      <rPr>
        <b/>
        <sz val="5.5"/>
        <rFont val="Arial"/>
        <family val="2"/>
      </rPr>
      <t>Community Building Activities</t>
    </r>
  </si>
  <si>
    <r>
      <rPr>
        <b/>
        <sz val="5.5"/>
        <rFont val="Arial"/>
        <family val="2"/>
      </rPr>
      <t>Community Benefit Operations</t>
    </r>
  </si>
  <si>
    <r>
      <rPr>
        <b/>
        <sz val="5.5"/>
        <rFont val="Arial"/>
        <family val="2"/>
      </rPr>
      <t>Charity Care</t>
    </r>
  </si>
  <si>
    <r>
      <rPr>
        <b/>
        <sz val="5.5"/>
        <rFont val="Arial"/>
        <family val="2"/>
      </rPr>
      <t>Foundation Funded Community Benefit</t>
    </r>
  </si>
  <si>
    <r>
      <rPr>
        <b/>
        <sz val="5.5"/>
        <rFont val="Arial"/>
        <family val="2"/>
      </rPr>
      <t>Medicaid Assesments</t>
    </r>
  </si>
  <si>
    <r>
      <rPr>
        <b/>
        <sz val="5.5"/>
        <rFont val="Arial"/>
        <family val="2"/>
      </rPr>
      <t>K99</t>
    </r>
  </si>
  <si>
    <r>
      <rPr>
        <b/>
        <sz val="5.5"/>
        <rFont val="Arial"/>
        <family val="2"/>
      </rPr>
      <t>U99</t>
    </r>
  </si>
  <si>
    <r>
      <rPr>
        <b/>
        <sz val="5.5"/>
        <rFont val="Arial"/>
        <family val="2"/>
      </rPr>
      <t>% OF OPERATING EXPENSES</t>
    </r>
  </si>
  <si>
    <r>
      <rPr>
        <b/>
        <sz val="5.5"/>
        <rFont val="Arial"/>
        <family val="2"/>
      </rPr>
      <t>V99</t>
    </r>
  </si>
  <si>
    <r>
      <rPr>
        <b/>
        <sz val="5.5"/>
        <rFont val="Arial"/>
        <family val="2"/>
      </rPr>
      <t>% of NET REVENUE</t>
    </r>
  </si>
  <si>
    <t>FY 2019 Amount in Rates for Charity Care, DME, and NSPI*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</si>
</sst>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lt;=9999999]###\-####;\(###\)\ ###\-####"/>
    <numFmt numFmtId="166" formatCode="_(* #,##0_);_(* \(#,##0\);_(* &quot;-&quot;??_);_(@_)"/>
    <numFmt numFmtId="167" formatCode="&quot;$&quot;#,##0"/>
    <numFmt numFmtId="168" formatCode="_(&quot;$&quot;* #,##0_);_(&quot;$&quot;* \(#,##0\);_(&quot;$&quot;* &quot;-&quot;??_);_(@_)"/>
    <numFmt numFmtId="169" formatCode="0.0%"/>
    <numFmt numFmtId="170" formatCode="#,##0.000"/>
    <numFmt numFmtId="171" formatCode="_(&quot;$&quot;* #,##0.000_);_(&quot;$&quot;* \(#,##0.000\);_(&quot;$&quot;* &quot;-&quot;??_);_(@_)"/>
    <numFmt numFmtId="172" formatCode="_(* #,##0.0000_);_(* \(#,##0.0000\);_(* &quot;-&quot;??_);_(@_)"/>
    <numFmt numFmtId="173" formatCode="\$#,##0.00"/>
    <numFmt numFmtId="174" formatCode="\$0.00"/>
  </numFmts>
  <fonts count="9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sz val="8"/>
      <name val="Arial"/>
      <family val="2"/>
    </font>
    <font>
      <b/>
      <sz val="12"/>
      <name val="Arial"/>
      <family val="2"/>
    </font>
    <font>
      <b/>
      <i/>
      <sz val="9"/>
      <name val="Arial"/>
      <family val="2"/>
    </font>
    <font>
      <sz val="9"/>
      <name val="Arial"/>
      <family val="2"/>
    </font>
    <font>
      <b/>
      <sz val="11"/>
      <color theme="1"/>
      <name val="Calibri"/>
      <family val="2"/>
      <scheme val="minor"/>
    </font>
    <font>
      <sz val="12"/>
      <name val="Arial"/>
      <family val="2"/>
    </font>
    <font>
      <sz val="12"/>
      <name val="Times New Roman"/>
      <family val="1"/>
    </font>
    <font>
      <sz val="10"/>
      <name val="System"/>
      <family val="2"/>
    </font>
    <font>
      <b/>
      <sz val="18"/>
      <color theme="1"/>
      <name val="Calibri"/>
      <family val="2"/>
      <scheme val="minor"/>
    </font>
    <font>
      <b/>
      <sz val="14"/>
      <color theme="1"/>
      <name val="Calibri"/>
      <family val="2"/>
      <scheme val="minor"/>
    </font>
    <font>
      <b/>
      <sz val="10"/>
      <color theme="1"/>
      <name val="Calibri"/>
      <family val="2"/>
      <scheme val="minor"/>
    </font>
    <font>
      <b/>
      <i/>
      <u val="double"/>
      <sz val="14"/>
      <color theme="1"/>
      <name val="Calibri"/>
      <family val="2"/>
      <scheme val="minor"/>
    </font>
    <font>
      <b/>
      <i/>
      <sz val="14"/>
      <color theme="1"/>
      <name val="Calibri"/>
      <family val="2"/>
      <scheme val="minor"/>
    </font>
    <font>
      <b/>
      <i/>
      <u val="singleAccounting"/>
      <sz val="11"/>
      <color theme="1"/>
      <name val="Calibri"/>
      <family val="2"/>
      <scheme val="minor"/>
    </font>
    <font>
      <u val="singleAccounting"/>
      <sz val="11"/>
      <color theme="1"/>
      <name val="Calibri"/>
      <family val="2"/>
      <scheme val="minor"/>
    </font>
    <font>
      <b/>
      <i/>
      <u val="doubleAccounting"/>
      <sz val="11"/>
      <color theme="1"/>
      <name val="Calibri"/>
      <family val="2"/>
      <scheme val="minor"/>
    </font>
    <font>
      <b/>
      <i/>
      <sz val="11"/>
      <color theme="1"/>
      <name val="Calibri"/>
      <family val="2"/>
      <scheme val="minor"/>
    </font>
    <font>
      <i/>
      <sz val="11"/>
      <color theme="1"/>
      <name val="Calibri"/>
      <family val="2"/>
      <scheme val="minor"/>
    </font>
    <font>
      <b/>
      <u/>
      <sz val="14"/>
      <color theme="1"/>
      <name val="Calibri"/>
      <family val="2"/>
      <scheme val="minor"/>
    </font>
    <font>
      <sz val="10"/>
      <name val="Arial"/>
      <family val="2"/>
    </font>
    <font>
      <sz val="12"/>
      <name val="Times New Roman"/>
      <family val="1"/>
    </font>
    <font>
      <u/>
      <sz val="11"/>
      <color theme="10"/>
      <name val="Calibri"/>
      <family val="2"/>
      <scheme val="minor"/>
    </font>
    <font>
      <sz val="11"/>
      <color theme="1"/>
      <name val="Cambria"/>
      <family val="1"/>
      <scheme val="major"/>
    </font>
    <font>
      <sz val="10"/>
      <color indexed="12"/>
      <name val="Arial"/>
      <family val="2"/>
    </font>
    <font>
      <b/>
      <sz val="10"/>
      <color indexed="12"/>
      <name val="Arial"/>
      <family val="2"/>
    </font>
    <font>
      <u/>
      <sz val="10"/>
      <color theme="10"/>
      <name val="Arial"/>
      <family val="2"/>
    </font>
    <font>
      <b/>
      <sz val="16"/>
      <name val="Arial"/>
      <family val="2"/>
    </font>
    <font>
      <b/>
      <sz val="8"/>
      <name val="Arial"/>
      <family val="2"/>
    </font>
    <font>
      <b/>
      <i/>
      <sz val="11"/>
      <color rgb="FFFF0000"/>
      <name val="Calibri"/>
      <family val="2"/>
      <scheme val="minor"/>
    </font>
    <font>
      <sz val="11"/>
      <name val="Calibri"/>
      <family val="2"/>
      <scheme val="minor"/>
    </font>
    <font>
      <u/>
      <sz val="11"/>
      <color theme="10"/>
      <name val="Calibri"/>
      <family val="2"/>
    </font>
    <font>
      <sz val="10"/>
      <color rgb="FF000000"/>
      <name val="Arial"/>
      <family val="2"/>
    </font>
    <font>
      <sz val="10"/>
      <name val="Arial"/>
      <family val="2"/>
    </font>
    <font>
      <b/>
      <sz val="10"/>
      <color rgb="FFFF0000"/>
      <name val="Arial"/>
      <family val="2"/>
    </font>
    <font>
      <u/>
      <sz val="8.8000000000000007"/>
      <color theme="10"/>
      <name val="Calibri"/>
      <family val="2"/>
    </font>
    <font>
      <u/>
      <sz val="11"/>
      <color indexed="8"/>
      <name val="Calibri"/>
      <family val="2"/>
    </font>
    <font>
      <sz val="11"/>
      <color indexed="8"/>
      <name val="Calibri"/>
      <family val="2"/>
    </font>
    <font>
      <sz val="10"/>
      <color rgb="FF000000"/>
      <name val="Arial"/>
      <family val="2"/>
    </font>
    <font>
      <sz val="10"/>
      <color indexed="8"/>
      <name val="Arial"/>
      <family val="2"/>
    </font>
    <font>
      <sz val="10"/>
      <color rgb="FFFF0000"/>
      <name val="Arial"/>
      <family val="2"/>
    </font>
    <font>
      <sz val="10"/>
      <name val="Arial"/>
      <family val="2"/>
    </font>
    <font>
      <b/>
      <sz val="11"/>
      <name val="Calibri"/>
      <family val="2"/>
      <scheme val="minor"/>
    </font>
    <font>
      <u/>
      <sz val="10"/>
      <color theme="10"/>
      <name val="Arial"/>
      <family val="2"/>
    </font>
    <font>
      <sz val="10"/>
      <color theme="1"/>
      <name val="Arial"/>
      <family val="2"/>
    </font>
    <font>
      <sz val="11"/>
      <name val="Arial"/>
      <family val="2"/>
    </font>
    <font>
      <b/>
      <sz val="11"/>
      <name val="Arial"/>
      <family val="2"/>
    </font>
    <font>
      <b/>
      <i/>
      <sz val="11"/>
      <name val="Arial"/>
      <family val="2"/>
    </font>
    <font>
      <sz val="11"/>
      <color theme="4"/>
      <name val="Arial"/>
      <family val="2"/>
    </font>
    <font>
      <b/>
      <sz val="11"/>
      <color rgb="FF000000"/>
      <name val="Calibri"/>
      <family val="2"/>
      <scheme val="minor"/>
    </font>
    <font>
      <sz val="10"/>
      <color theme="1"/>
      <name val="Calibri"/>
      <family val="2"/>
      <scheme val="minor"/>
    </font>
    <font>
      <u/>
      <sz val="10"/>
      <name val="Arial"/>
      <family val="2"/>
    </font>
    <font>
      <b/>
      <sz val="11"/>
      <color rgb="FFFF0000"/>
      <name val="Arial"/>
      <family val="2"/>
    </font>
    <font>
      <b/>
      <sz val="9"/>
      <color indexed="81"/>
      <name val="Tahoma"/>
      <family val="2"/>
    </font>
    <font>
      <sz val="9"/>
      <color indexed="81"/>
      <name val="Tahoma"/>
      <family val="2"/>
    </font>
    <font>
      <sz val="12"/>
      <color theme="1"/>
      <name val="Times New Roman"/>
      <family val="1"/>
    </font>
    <font>
      <b/>
      <sz val="7"/>
      <name val="Arial"/>
    </font>
    <font>
      <b/>
      <sz val="7"/>
      <name val="Arial"/>
      <family val="2"/>
    </font>
    <font>
      <b/>
      <sz val="5.5"/>
      <name val="Arial"/>
    </font>
    <font>
      <b/>
      <sz val="5.5"/>
      <name val="Arial"/>
      <family val="2"/>
    </font>
    <font>
      <sz val="5.5"/>
      <name val="Arial"/>
    </font>
    <font>
      <sz val="5.5"/>
      <name val="Arial"/>
      <family val="2"/>
    </font>
    <font>
      <sz val="5.5"/>
      <color rgb="FF000000"/>
      <name val="Arial"/>
      <family val="2"/>
    </font>
    <font>
      <u/>
      <sz val="5.5"/>
      <color rgb="FF0000FF"/>
      <name val="Arial"/>
      <family val="2"/>
    </font>
    <font>
      <sz val="4.5"/>
      <name val="Arial"/>
    </font>
    <font>
      <sz val="4.5"/>
      <name val="Arial"/>
      <family val="2"/>
    </font>
  </fonts>
  <fills count="1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rgb="FFFFFF00"/>
        <bgColor indexed="64"/>
      </patternFill>
    </fill>
    <fill>
      <patternFill patternType="solid">
        <fgColor rgb="FFFFFF00"/>
        <bgColor rgb="FF000000"/>
      </patternFill>
    </fill>
    <fill>
      <patternFill patternType="solid">
        <fgColor rgb="FFFFFFFF"/>
        <bgColor rgb="FF000000"/>
      </patternFill>
    </fill>
    <fill>
      <patternFill patternType="solid">
        <fgColor theme="0"/>
        <bgColor indexed="64"/>
      </patternFill>
    </fill>
    <fill>
      <patternFill patternType="solid">
        <fgColor rgb="FFFF0000"/>
        <bgColor indexed="64"/>
      </patternFill>
    </fill>
    <fill>
      <patternFill patternType="solid">
        <fgColor rgb="FFB8CCE4"/>
        <bgColor indexed="64"/>
      </patternFill>
    </fill>
    <fill>
      <patternFill patternType="solid">
        <fgColor rgb="FFFFC000"/>
        <bgColor indexed="64"/>
      </patternFill>
    </fill>
    <fill>
      <patternFill patternType="solid">
        <fgColor theme="6" tint="0.79998168889431442"/>
        <bgColor indexed="64"/>
      </patternFill>
    </fill>
    <fill>
      <patternFill patternType="solid">
        <fgColor rgb="FFFFCC00"/>
      </patternFill>
    </fill>
    <fill>
      <patternFill patternType="solid">
        <fgColor rgb="FFFFFF00"/>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18">
    <xf numFmtId="0" fontId="0" fillId="0" borderId="0"/>
    <xf numFmtId="9" fontId="27" fillId="0" borderId="0" applyFont="0" applyFill="0" applyBorder="0" applyAlignment="0" applyProtection="0"/>
    <xf numFmtId="0" fontId="27" fillId="0" borderId="0"/>
    <xf numFmtId="0" fontId="26" fillId="0" borderId="0"/>
    <xf numFmtId="0" fontId="35" fillId="0" borderId="0"/>
    <xf numFmtId="43" fontId="26" fillId="0" borderId="0" applyFont="0" applyFill="0" applyBorder="0" applyAlignment="0" applyProtection="0"/>
    <xf numFmtId="9" fontId="26" fillId="0" borderId="0" applyFont="0" applyFill="0" applyBorder="0" applyAlignment="0" applyProtection="0"/>
    <xf numFmtId="0" fontId="37" fillId="0" borderId="0"/>
    <xf numFmtId="44" fontId="26" fillId="0" borderId="0" applyFont="0" applyFill="0" applyBorder="0" applyAlignment="0" applyProtection="0"/>
    <xf numFmtId="0" fontId="25" fillId="0" borderId="0"/>
    <xf numFmtId="0" fontId="25" fillId="0" borderId="0"/>
    <xf numFmtId="9" fontId="49" fillId="0" borderId="0" applyFont="0" applyFill="0" applyBorder="0" applyAlignment="0" applyProtection="0"/>
    <xf numFmtId="0" fontId="24" fillId="0" borderId="0"/>
    <xf numFmtId="0" fontId="50" fillId="0" borderId="0"/>
    <xf numFmtId="43" fontId="36" fillId="0" borderId="0" applyFont="0" applyFill="0" applyBorder="0" applyAlignment="0" applyProtection="0"/>
    <xf numFmtId="9" fontId="27" fillId="0" borderId="0" applyFont="0" applyFill="0" applyBorder="0" applyAlignment="0" applyProtection="0"/>
    <xf numFmtId="0" fontId="51" fillId="0" borderId="0" applyNumberFormat="0" applyFill="0" applyBorder="0" applyAlignment="0" applyProtection="0"/>
    <xf numFmtId="0" fontId="23" fillId="0" borderId="0"/>
    <xf numFmtId="43" fontId="49" fillId="0" borderId="0" applyFont="0" applyFill="0" applyBorder="0" applyAlignment="0" applyProtection="0"/>
    <xf numFmtId="44" fontId="49" fillId="0" borderId="0" applyFont="0" applyFill="0" applyBorder="0" applyAlignment="0" applyProtection="0"/>
    <xf numFmtId="0" fontId="22" fillId="0" borderId="0"/>
    <xf numFmtId="0" fontId="55" fillId="0" borderId="0" applyNumberFormat="0" applyFill="0" applyBorder="0" applyAlignment="0" applyProtection="0"/>
    <xf numFmtId="0" fontId="27" fillId="0" borderId="0"/>
    <xf numFmtId="44" fontId="22" fillId="0" borderId="0" applyFont="0" applyFill="0" applyBorder="0" applyAlignment="0" applyProtection="0"/>
    <xf numFmtId="9" fontId="27"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44" fontId="21" fillId="0" borderId="0" applyFont="0" applyFill="0" applyBorder="0" applyAlignment="0" applyProtection="0"/>
    <xf numFmtId="0" fontId="35" fillId="0" borderId="0"/>
    <xf numFmtId="0" fontId="17" fillId="0" borderId="0"/>
    <xf numFmtId="9" fontId="17" fillId="0" borderId="0" applyFont="0" applyFill="0" applyBorder="0" applyAlignment="0" applyProtection="0"/>
    <xf numFmtId="44" fontId="17" fillId="0" borderId="0" applyFont="0" applyFill="0" applyBorder="0" applyAlignment="0" applyProtection="0"/>
    <xf numFmtId="44" fontId="27" fillId="0" borderId="0" applyFont="0" applyFill="0" applyBorder="0" applyAlignment="0" applyProtection="0"/>
    <xf numFmtId="0" fontId="60" fillId="0" borderId="0" applyNumberFormat="0" applyFill="0" applyBorder="0" applyAlignment="0" applyProtection="0">
      <alignment vertical="top"/>
      <protection locked="0"/>
    </xf>
    <xf numFmtId="43" fontId="17" fillId="0" borderId="0" applyFont="0" applyFill="0" applyBorder="0" applyAlignment="0" applyProtection="0"/>
    <xf numFmtId="0" fontId="61" fillId="0" borderId="0"/>
    <xf numFmtId="43" fontId="61" fillId="0" borderId="0" applyFont="0" applyFill="0" applyBorder="0" applyAlignment="0" applyProtection="0"/>
    <xf numFmtId="43" fontId="27" fillId="0" borderId="0" applyFont="0" applyFill="0" applyBorder="0" applyAlignment="0" applyProtection="0"/>
    <xf numFmtId="44" fontId="62" fillId="0" borderId="0" applyFont="0" applyFill="0" applyBorder="0" applyAlignment="0" applyProtection="0"/>
    <xf numFmtId="9" fontId="62" fillId="0" borderId="0" applyFont="0" applyFill="0" applyBorder="0" applyAlignment="0" applyProtection="0"/>
    <xf numFmtId="43" fontId="62" fillId="0" borderId="0" applyFont="0" applyFill="0" applyBorder="0" applyAlignment="0" applyProtection="0"/>
    <xf numFmtId="0" fontId="16" fillId="0" borderId="0"/>
    <xf numFmtId="9" fontId="16"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0" fontId="15" fillId="0" borderId="0"/>
    <xf numFmtId="9" fontId="15" fillId="0" borderId="0" applyFont="0" applyFill="0" applyBorder="0" applyAlignment="0" applyProtection="0"/>
    <xf numFmtId="0" fontId="13" fillId="0" borderId="0"/>
    <xf numFmtId="44" fontId="1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xf numFmtId="0" fontId="64" fillId="0" borderId="0" applyNumberFormat="0" applyFill="0" applyBorder="0" applyAlignment="0" applyProtection="0">
      <alignment vertical="top"/>
      <protection locked="0"/>
    </xf>
    <xf numFmtId="44" fontId="27" fillId="0" borderId="0" applyFont="0" applyFill="0" applyBorder="0" applyAlignment="0" applyProtection="0"/>
    <xf numFmtId="43" fontId="27" fillId="0" borderId="0" applyFont="0" applyFill="0" applyBorder="0" applyAlignment="0" applyProtection="0"/>
    <xf numFmtId="0" fontId="67" fillId="0" borderId="0"/>
    <xf numFmtId="44"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9" fontId="11" fillId="0" borderId="0" applyFon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68" fillId="0" borderId="0">
      <alignment vertical="top"/>
    </xf>
    <xf numFmtId="43" fontId="27" fillId="0" borderId="0" applyFont="0" applyFill="0" applyBorder="0" applyAlignment="0" applyProtection="0"/>
    <xf numFmtId="44" fontId="27" fillId="0" borderId="0" applyFon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7" fillId="0" borderId="0"/>
    <xf numFmtId="0" fontId="70" fillId="0" borderId="0"/>
    <xf numFmtId="9" fontId="2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36" fillId="0" borderId="0"/>
    <xf numFmtId="0" fontId="7" fillId="0" borderId="0"/>
    <xf numFmtId="43" fontId="27" fillId="0" borderId="0" applyFont="0" applyFill="0" applyBorder="0" applyAlignment="0" applyProtection="0"/>
    <xf numFmtId="44" fontId="27"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27" fillId="0" borderId="0" applyFon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9" fontId="7" fillId="0" borderId="0" applyFont="0" applyFill="0" applyBorder="0" applyAlignment="0" applyProtection="0"/>
    <xf numFmtId="0" fontId="61"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2" fillId="0" borderId="0" applyNumberFormat="0" applyFill="0" applyBorder="0" applyAlignment="0" applyProtection="0"/>
  </cellStyleXfs>
  <cellXfs count="1218">
    <xf numFmtId="0" fontId="0" fillId="0" borderId="0" xfId="0"/>
    <xf numFmtId="0" fontId="28" fillId="0" borderId="0" xfId="0" applyFont="1" applyAlignment="1">
      <alignment horizontal="right"/>
    </xf>
    <xf numFmtId="0" fontId="26" fillId="0" borderId="0" xfId="3"/>
    <xf numFmtId="0" fontId="26" fillId="0" borderId="0" xfId="3" applyBorder="1"/>
    <xf numFmtId="0" fontId="34" fillId="0" borderId="0" xfId="3" applyFont="1"/>
    <xf numFmtId="0" fontId="26" fillId="0" borderId="0" xfId="3" applyFill="1"/>
    <xf numFmtId="5" fontId="26" fillId="0" borderId="0" xfId="3" applyNumberFormat="1"/>
    <xf numFmtId="0" fontId="26" fillId="0" borderId="0" xfId="3" applyAlignment="1">
      <alignment wrapText="1"/>
    </xf>
    <xf numFmtId="5" fontId="34" fillId="0" borderId="0" xfId="3" applyNumberFormat="1" applyFont="1"/>
    <xf numFmtId="9" fontId="0" fillId="0" borderId="0" xfId="6" applyFont="1"/>
    <xf numFmtId="0" fontId="26" fillId="0" borderId="2" xfId="3" applyBorder="1"/>
    <xf numFmtId="37" fontId="34" fillId="0" borderId="2" xfId="3" applyNumberFormat="1" applyFont="1" applyBorder="1" applyAlignment="1">
      <alignment horizontal="right"/>
    </xf>
    <xf numFmtId="37" fontId="34" fillId="0" borderId="2" xfId="3" applyNumberFormat="1" applyFont="1" applyBorder="1"/>
    <xf numFmtId="167" fontId="34" fillId="0" borderId="2" xfId="3" applyNumberFormat="1" applyFont="1" applyBorder="1"/>
    <xf numFmtId="10" fontId="34" fillId="0" borderId="2" xfId="6" applyNumberFormat="1" applyFont="1" applyBorder="1" applyAlignment="1">
      <alignment horizontal="right"/>
    </xf>
    <xf numFmtId="167" fontId="26" fillId="0" borderId="0" xfId="3" applyNumberFormat="1"/>
    <xf numFmtId="0" fontId="34" fillId="0" borderId="0" xfId="3" applyFont="1" applyAlignment="1">
      <alignment horizontal="right"/>
    </xf>
    <xf numFmtId="0" fontId="34" fillId="0" borderId="0" xfId="3" applyFont="1" applyAlignment="1"/>
    <xf numFmtId="167" fontId="34" fillId="0" borderId="0" xfId="3" applyNumberFormat="1" applyFont="1" applyAlignment="1"/>
    <xf numFmtId="9" fontId="34" fillId="0" borderId="0" xfId="6" applyFont="1"/>
    <xf numFmtId="167" fontId="34" fillId="0" borderId="0" xfId="8" applyNumberFormat="1" applyFont="1"/>
    <xf numFmtId="0" fontId="26" fillId="0" borderId="0" xfId="3" applyAlignment="1">
      <alignment horizontal="right"/>
    </xf>
    <xf numFmtId="37" fontId="26" fillId="0" borderId="0" xfId="3" applyNumberFormat="1"/>
    <xf numFmtId="167" fontId="0" fillId="0" borderId="0" xfId="8" applyNumberFormat="1" applyFont="1"/>
    <xf numFmtId="49" fontId="30" fillId="2" borderId="3" xfId="0" applyNumberFormat="1" applyFont="1" applyFill="1" applyBorder="1" applyAlignment="1" applyProtection="1">
      <protection locked="0"/>
    </xf>
    <xf numFmtId="49" fontId="30" fillId="2" borderId="4" xfId="0" applyNumberFormat="1" applyFont="1" applyFill="1" applyBorder="1" applyAlignment="1" applyProtection="1">
      <protection locked="0"/>
    </xf>
    <xf numFmtId="49" fontId="30" fillId="2" borderId="5" xfId="0" applyNumberFormat="1" applyFont="1" applyFill="1" applyBorder="1" applyAlignment="1" applyProtection="1">
      <protection locked="0"/>
    </xf>
    <xf numFmtId="0" fontId="53" fillId="0" borderId="0" xfId="0" applyFont="1" applyAlignment="1">
      <alignment horizontal="left"/>
    </xf>
    <xf numFmtId="0" fontId="27" fillId="0" borderId="0" xfId="20" applyFont="1" applyFill="1" applyBorder="1"/>
    <xf numFmtId="0" fontId="28" fillId="0" borderId="0" xfId="20" applyFont="1" applyFill="1" applyBorder="1" applyAlignment="1">
      <alignment horizontal="center"/>
    </xf>
    <xf numFmtId="0" fontId="28" fillId="0" borderId="0" xfId="20" applyFont="1" applyFill="1" applyBorder="1" applyAlignment="1">
      <alignment horizontal="left"/>
    </xf>
    <xf numFmtId="0" fontId="27" fillId="0" borderId="0" xfId="20" applyFont="1" applyFill="1" applyBorder="1" applyAlignment="1">
      <alignment horizontal="left"/>
    </xf>
    <xf numFmtId="0" fontId="27" fillId="0" borderId="0" xfId="20" applyFont="1" applyFill="1" applyBorder="1" applyAlignment="1">
      <alignment horizontal="center"/>
    </xf>
    <xf numFmtId="0" fontId="28" fillId="0" borderId="0" xfId="20" applyFont="1" applyFill="1" applyBorder="1" applyAlignment="1">
      <alignment horizontal="center" wrapText="1"/>
    </xf>
    <xf numFmtId="164" fontId="28" fillId="0" borderId="0" xfId="20" applyNumberFormat="1" applyFont="1" applyFill="1" applyBorder="1" applyAlignment="1">
      <alignment horizontal="center" wrapText="1"/>
    </xf>
    <xf numFmtId="0" fontId="28" fillId="0" borderId="0" xfId="20" applyFont="1" applyFill="1" applyBorder="1" applyAlignment="1"/>
    <xf numFmtId="0" fontId="28" fillId="0" borderId="0" xfId="20" applyFont="1" applyFill="1" applyBorder="1"/>
    <xf numFmtId="3" fontId="27" fillId="0" borderId="0" xfId="20" applyNumberFormat="1" applyFont="1" applyFill="1" applyBorder="1"/>
    <xf numFmtId="3" fontId="28" fillId="6" borderId="2" xfId="20" applyNumberFormat="1" applyFont="1" applyFill="1" applyBorder="1"/>
    <xf numFmtId="7" fontId="28" fillId="0" borderId="0" xfId="20" applyNumberFormat="1" applyFont="1" applyFill="1" applyBorder="1" applyAlignment="1">
      <alignment horizontal="center" wrapText="1"/>
    </xf>
    <xf numFmtId="164" fontId="27" fillId="0" borderId="0" xfId="20" applyNumberFormat="1" applyFont="1" applyFill="1" applyBorder="1"/>
    <xf numFmtId="7" fontId="27" fillId="0" borderId="0" xfId="20" applyNumberFormat="1" applyFont="1" applyFill="1" applyBorder="1"/>
    <xf numFmtId="0" fontId="28" fillId="0" borderId="0" xfId="20" applyFont="1" applyFill="1" applyBorder="1" applyAlignment="1">
      <alignment horizontal="right"/>
    </xf>
    <xf numFmtId="3" fontId="27" fillId="0" borderId="2" xfId="20" applyNumberFormat="1" applyFont="1" applyFill="1" applyBorder="1" applyProtection="1">
      <protection locked="0"/>
    </xf>
    <xf numFmtId="3" fontId="27" fillId="0" borderId="2" xfId="20" applyNumberFormat="1" applyFont="1" applyFill="1" applyBorder="1"/>
    <xf numFmtId="167" fontId="28" fillId="6" borderId="2" xfId="20" applyNumberFormat="1" applyFont="1" applyFill="1" applyBorder="1"/>
    <xf numFmtId="3" fontId="28" fillId="0" borderId="0" xfId="20" applyNumberFormat="1" applyFont="1" applyFill="1" applyBorder="1"/>
    <xf numFmtId="167" fontId="28" fillId="0" borderId="0" xfId="20" applyNumberFormat="1" applyFont="1" applyFill="1" applyBorder="1"/>
    <xf numFmtId="167" fontId="27" fillId="7" borderId="0" xfId="20" applyNumberFormat="1" applyFont="1" applyFill="1" applyBorder="1"/>
    <xf numFmtId="167" fontId="27" fillId="0" borderId="0" xfId="20" applyNumberFormat="1" applyFont="1" applyFill="1" applyBorder="1"/>
    <xf numFmtId="0" fontId="27" fillId="0" borderId="0" xfId="20" applyFont="1" applyFill="1" applyBorder="1" applyAlignment="1"/>
    <xf numFmtId="0" fontId="27" fillId="0" borderId="9" xfId="20" applyFont="1" applyFill="1" applyBorder="1" applyAlignment="1"/>
    <xf numFmtId="0" fontId="28" fillId="0" borderId="0" xfId="20" applyFont="1" applyFill="1" applyBorder="1" applyAlignment="1">
      <alignment wrapText="1"/>
    </xf>
    <xf numFmtId="3" fontId="28" fillId="0" borderId="8" xfId="20" applyNumberFormat="1" applyFont="1" applyFill="1" applyBorder="1"/>
    <xf numFmtId="3" fontId="27" fillId="0" borderId="8" xfId="20" applyNumberFormat="1" applyFont="1" applyFill="1" applyBorder="1"/>
    <xf numFmtId="3" fontId="28" fillId="6" borderId="2" xfId="20" applyNumberFormat="1" applyFont="1" applyFill="1" applyBorder="1" applyProtection="1"/>
    <xf numFmtId="3" fontId="28" fillId="0" borderId="0" xfId="20" applyNumberFormat="1" applyFont="1" applyFill="1" applyBorder="1" applyProtection="1">
      <protection locked="0"/>
    </xf>
    <xf numFmtId="49" fontId="31" fillId="0" borderId="0" xfId="20" applyNumberFormat="1" applyFont="1" applyFill="1" applyBorder="1" applyAlignment="1">
      <alignment horizontal="left"/>
    </xf>
    <xf numFmtId="0" fontId="57" fillId="0" borderId="0" xfId="20" applyFont="1" applyFill="1" applyBorder="1" applyAlignment="1">
      <alignment horizontal="center" wrapText="1"/>
    </xf>
    <xf numFmtId="49" fontId="27" fillId="7" borderId="0" xfId="20" applyNumberFormat="1" applyFont="1" applyFill="1" applyBorder="1" applyAlignment="1" applyProtection="1">
      <protection locked="0"/>
    </xf>
    <xf numFmtId="3" fontId="27" fillId="0" borderId="2" xfId="20" applyNumberFormat="1" applyFont="1" applyFill="1" applyBorder="1" applyProtection="1"/>
    <xf numFmtId="3" fontId="27" fillId="0" borderId="8" xfId="20" applyNumberFormat="1" applyFont="1" applyFill="1" applyBorder="1" applyProtection="1"/>
    <xf numFmtId="3" fontId="28" fillId="6" borderId="6" xfId="20" applyNumberFormat="1" applyFont="1" applyFill="1" applyBorder="1"/>
    <xf numFmtId="0" fontId="28" fillId="0" borderId="9" xfId="20" applyFont="1" applyFill="1" applyBorder="1" applyAlignment="1"/>
    <xf numFmtId="3" fontId="27" fillId="0" borderId="7" xfId="20" applyNumberFormat="1" applyFont="1" applyFill="1" applyBorder="1" applyProtection="1"/>
    <xf numFmtId="0" fontId="27" fillId="0" borderId="0" xfId="20" applyFont="1" applyFill="1" applyBorder="1" applyProtection="1"/>
    <xf numFmtId="3" fontId="27" fillId="0" borderId="8" xfId="20" applyNumberFormat="1" applyFont="1" applyFill="1" applyBorder="1" applyProtection="1">
      <protection locked="0"/>
    </xf>
    <xf numFmtId="3" fontId="28" fillId="0" borderId="0" xfId="20" applyNumberFormat="1" applyFont="1" applyFill="1" applyBorder="1" applyProtection="1"/>
    <xf numFmtId="167" fontId="28" fillId="0" borderId="0" xfId="20" applyNumberFormat="1" applyFont="1" applyFill="1" applyBorder="1" applyProtection="1"/>
    <xf numFmtId="0" fontId="27" fillId="0" borderId="8" xfId="20" applyFont="1" applyFill="1" applyBorder="1"/>
    <xf numFmtId="164" fontId="28" fillId="0" borderId="0" xfId="20" applyNumberFormat="1" applyFont="1" applyFill="1" applyBorder="1"/>
    <xf numFmtId="10" fontId="28" fillId="0" borderId="0" xfId="24" applyNumberFormat="1" applyFont="1" applyFill="1" applyBorder="1" applyProtection="1"/>
    <xf numFmtId="10" fontId="28" fillId="6" borderId="2" xfId="20" applyNumberFormat="1" applyFont="1" applyFill="1" applyBorder="1"/>
    <xf numFmtId="166" fontId="27" fillId="0" borderId="0" xfId="25" applyNumberFormat="1" applyFont="1" applyFill="1" applyBorder="1"/>
    <xf numFmtId="10" fontId="28" fillId="0" borderId="0" xfId="20" applyNumberFormat="1" applyFont="1" applyFill="1" applyBorder="1"/>
    <xf numFmtId="10" fontId="27" fillId="0" borderId="0" xfId="26" applyNumberFormat="1" applyFont="1" applyFill="1" applyBorder="1"/>
    <xf numFmtId="168" fontId="28" fillId="6" borderId="2" xfId="19" applyNumberFormat="1" applyFont="1" applyFill="1" applyBorder="1"/>
    <xf numFmtId="49" fontId="27" fillId="0" borderId="9" xfId="20" applyNumberFormat="1" applyFont="1" applyFill="1" applyBorder="1" applyAlignment="1" applyProtection="1">
      <protection locked="0"/>
    </xf>
    <xf numFmtId="3" fontId="0" fillId="0" borderId="0" xfId="0" applyNumberFormat="1" applyFill="1" applyBorder="1" applyProtection="1">
      <protection locked="0"/>
    </xf>
    <xf numFmtId="168" fontId="28" fillId="6" borderId="6" xfId="19" applyNumberFormat="1" applyFont="1" applyFill="1" applyBorder="1"/>
    <xf numFmtId="168" fontId="28" fillId="6" borderId="2" xfId="19" applyNumberFormat="1" applyFont="1" applyFill="1" applyBorder="1" applyProtection="1"/>
    <xf numFmtId="3" fontId="28" fillId="0" borderId="2" xfId="20" applyNumberFormat="1" applyFont="1" applyFill="1" applyBorder="1"/>
    <xf numFmtId="0" fontId="28" fillId="0" borderId="0" xfId="0" applyFont="1" applyFill="1" applyAlignment="1">
      <alignment horizontal="right"/>
    </xf>
    <xf numFmtId="49" fontId="30" fillId="0" borderId="0" xfId="0" applyNumberFormat="1" applyFont="1" applyFill="1" applyBorder="1" applyAlignment="1" applyProtection="1">
      <protection locked="0"/>
    </xf>
    <xf numFmtId="168" fontId="28" fillId="0" borderId="2" xfId="19" applyNumberFormat="1" applyFont="1" applyFill="1" applyBorder="1"/>
    <xf numFmtId="0" fontId="19" fillId="0" borderId="0" xfId="3" applyFont="1" applyFill="1"/>
    <xf numFmtId="0" fontId="26" fillId="0" borderId="0" xfId="3" applyBorder="1" applyAlignment="1">
      <alignment horizontal="right"/>
    </xf>
    <xf numFmtId="167" fontId="26" fillId="0" borderId="0" xfId="3" applyNumberFormat="1" applyBorder="1"/>
    <xf numFmtId="5" fontId="26" fillId="0" borderId="0" xfId="3" applyNumberFormat="1" applyBorder="1"/>
    <xf numFmtId="9" fontId="0" fillId="0" borderId="0" xfId="6" applyFont="1" applyBorder="1"/>
    <xf numFmtId="0" fontId="16" fillId="0" borderId="0" xfId="42"/>
    <xf numFmtId="0" fontId="34" fillId="0" borderId="0" xfId="42" applyFont="1"/>
    <xf numFmtId="0" fontId="26" fillId="8" borderId="0" xfId="3" applyFill="1"/>
    <xf numFmtId="3" fontId="28" fillId="5" borderId="6" xfId="20" applyNumberFormat="1" applyFont="1" applyFill="1" applyBorder="1"/>
    <xf numFmtId="168" fontId="28" fillId="5" borderId="6" xfId="19" applyNumberFormat="1" applyFont="1" applyFill="1" applyBorder="1"/>
    <xf numFmtId="168" fontId="28" fillId="5" borderId="2" xfId="19" applyNumberFormat="1" applyFont="1" applyFill="1" applyBorder="1"/>
    <xf numFmtId="169" fontId="26" fillId="0" borderId="0" xfId="3" applyNumberFormat="1"/>
    <xf numFmtId="0" fontId="14" fillId="0" borderId="0" xfId="3" applyFont="1" applyAlignment="1"/>
    <xf numFmtId="0" fontId="26" fillId="0" borderId="0" xfId="3" applyAlignment="1"/>
    <xf numFmtId="167" fontId="26" fillId="0" borderId="0" xfId="3" applyNumberFormat="1" applyAlignment="1"/>
    <xf numFmtId="5" fontId="26" fillId="0" borderId="0" xfId="3" applyNumberFormat="1" applyAlignment="1"/>
    <xf numFmtId="167" fontId="0" fillId="0" borderId="0" xfId="8" applyNumberFormat="1" applyFont="1" applyAlignment="1"/>
    <xf numFmtId="10" fontId="34" fillId="0" borderId="2" xfId="3" applyNumberFormat="1" applyFont="1" applyBorder="1"/>
    <xf numFmtId="0" fontId="27" fillId="0" borderId="0" xfId="0" applyFont="1" applyFill="1" applyBorder="1"/>
    <xf numFmtId="0" fontId="27" fillId="0" borderId="0" xfId="2" applyAlignment="1">
      <alignment horizontal="center"/>
    </xf>
    <xf numFmtId="164" fontId="27" fillId="0" borderId="12" xfId="2" applyNumberFormat="1" applyFill="1" applyBorder="1"/>
    <xf numFmtId="164" fontId="27" fillId="2" borderId="17" xfId="2" applyNumberFormat="1" applyFill="1" applyBorder="1" applyProtection="1">
      <protection locked="0"/>
    </xf>
    <xf numFmtId="7" fontId="27" fillId="2" borderId="17" xfId="2" applyNumberFormat="1" applyFill="1" applyBorder="1"/>
    <xf numFmtId="167" fontId="0" fillId="0" borderId="0" xfId="0" applyNumberFormat="1"/>
    <xf numFmtId="0" fontId="27" fillId="0" borderId="0" xfId="2" applyAlignment="1">
      <alignment horizontal="left"/>
    </xf>
    <xf numFmtId="168" fontId="28" fillId="0" borderId="0" xfId="58" applyNumberFormat="1" applyFont="1" applyAlignment="1">
      <alignment horizontal="center" wrapText="1"/>
    </xf>
    <xf numFmtId="3" fontId="27" fillId="0" borderId="12" xfId="2" applyNumberFormat="1" applyFill="1" applyBorder="1"/>
    <xf numFmtId="164" fontId="27" fillId="3" borderId="19" xfId="2" applyNumberFormat="1" applyFill="1" applyBorder="1"/>
    <xf numFmtId="3" fontId="27" fillId="2" borderId="17" xfId="2" applyNumberFormat="1" applyFill="1" applyBorder="1" applyProtection="1">
      <protection locked="0"/>
    </xf>
    <xf numFmtId="167" fontId="27" fillId="0" borderId="0" xfId="2" applyNumberFormat="1"/>
    <xf numFmtId="0" fontId="0" fillId="0" borderId="0" xfId="0" applyAlignment="1">
      <alignment horizontal="left"/>
    </xf>
    <xf numFmtId="0" fontId="27" fillId="0" borderId="0" xfId="0" applyFont="1"/>
    <xf numFmtId="0" fontId="28" fillId="0" borderId="0" xfId="0" applyFont="1"/>
    <xf numFmtId="0" fontId="28" fillId="0" borderId="0" xfId="0" applyFont="1" applyAlignment="1">
      <alignment horizontal="centerContinuous"/>
    </xf>
    <xf numFmtId="0" fontId="0" fillId="0" borderId="0" xfId="0" applyAlignment="1">
      <alignment horizontal="centerContinuous"/>
    </xf>
    <xf numFmtId="0" fontId="28" fillId="0" borderId="0" xfId="0" applyFont="1" applyAlignment="1">
      <alignment horizontal="left"/>
    </xf>
    <xf numFmtId="0" fontId="29" fillId="0" borderId="0" xfId="0" applyFont="1" applyFill="1" applyBorder="1" applyAlignment="1">
      <alignment horizontal="left"/>
    </xf>
    <xf numFmtId="0" fontId="28" fillId="0" borderId="0" xfId="0" applyFont="1" applyAlignment="1">
      <alignment horizontal="center" wrapText="1"/>
    </xf>
    <xf numFmtId="0" fontId="0" fillId="0" borderId="0" xfId="0" applyBorder="1"/>
    <xf numFmtId="0" fontId="0" fillId="0" borderId="10" xfId="0" applyBorder="1" applyAlignment="1">
      <alignment horizontal="left"/>
    </xf>
    <xf numFmtId="0" fontId="28" fillId="0" borderId="10" xfId="0" applyFont="1" applyBorder="1"/>
    <xf numFmtId="0" fontId="0" fillId="0" borderId="10" xfId="0" applyBorder="1"/>
    <xf numFmtId="3" fontId="0" fillId="0" borderId="12" xfId="0" applyNumberFormat="1" applyFill="1" applyBorder="1"/>
    <xf numFmtId="164" fontId="0" fillId="0" borderId="12" xfId="0" applyNumberFormat="1" applyFill="1" applyBorder="1"/>
    <xf numFmtId="0" fontId="0" fillId="0" borderId="12" xfId="0" applyBorder="1"/>
    <xf numFmtId="49" fontId="0" fillId="2" borderId="16" xfId="0" applyNumberFormat="1" applyFill="1" applyBorder="1" applyAlignment="1" applyProtection="1">
      <protection locked="0"/>
    </xf>
    <xf numFmtId="3" fontId="0" fillId="2" borderId="17" xfId="0" applyNumberFormat="1" applyFill="1" applyBorder="1" applyProtection="1">
      <protection locked="0"/>
    </xf>
    <xf numFmtId="164" fontId="0" fillId="2" borderId="17" xfId="0" applyNumberFormat="1" applyFill="1" applyBorder="1" applyProtection="1">
      <protection locked="0"/>
    </xf>
    <xf numFmtId="164" fontId="0" fillId="2" borderId="17" xfId="0" applyNumberFormat="1" applyFill="1" applyBorder="1"/>
    <xf numFmtId="3" fontId="0" fillId="2" borderId="18" xfId="0" applyNumberFormat="1" applyFill="1" applyBorder="1" applyProtection="1">
      <protection locked="0"/>
    </xf>
    <xf numFmtId="164" fontId="0" fillId="2" borderId="18" xfId="0" applyNumberFormat="1" applyFill="1" applyBorder="1" applyProtection="1">
      <protection locked="0"/>
    </xf>
    <xf numFmtId="3" fontId="0" fillId="2" borderId="17" xfId="0" applyNumberFormat="1" applyFill="1" applyBorder="1"/>
    <xf numFmtId="3" fontId="0" fillId="3" borderId="17" xfId="0" applyNumberFormat="1" applyFill="1" applyBorder="1"/>
    <xf numFmtId="164" fontId="0" fillId="3" borderId="17" xfId="0" applyNumberFormat="1" applyFill="1" applyBorder="1"/>
    <xf numFmtId="164" fontId="0" fillId="3" borderId="19" xfId="0" applyNumberFormat="1" applyFill="1" applyBorder="1"/>
    <xf numFmtId="164" fontId="0" fillId="3" borderId="13" xfId="0" applyNumberFormat="1" applyFill="1" applyBorder="1" applyProtection="1"/>
    <xf numFmtId="0" fontId="27" fillId="0" borderId="0" xfId="0" applyFont="1" applyBorder="1"/>
    <xf numFmtId="0" fontId="0" fillId="0" borderId="20" xfId="0" applyBorder="1"/>
    <xf numFmtId="3" fontId="0" fillId="2" borderId="21" xfId="0" applyNumberFormat="1" applyFill="1" applyBorder="1"/>
    <xf numFmtId="164" fontId="0" fillId="2" borderId="13" xfId="0" applyNumberFormat="1" applyFill="1" applyBorder="1" applyProtection="1">
      <protection locked="0"/>
    </xf>
    <xf numFmtId="164" fontId="0" fillId="2" borderId="13" xfId="0" applyNumberFormat="1" applyFill="1" applyBorder="1" applyProtection="1"/>
    <xf numFmtId="164" fontId="0" fillId="5" borderId="13" xfId="0" applyNumberFormat="1" applyFill="1" applyBorder="1" applyProtection="1">
      <protection locked="0"/>
    </xf>
    <xf numFmtId="0" fontId="28" fillId="0" borderId="0" xfId="0" applyFont="1" applyBorder="1" applyAlignment="1">
      <alignment horizontal="center" wrapText="1"/>
    </xf>
    <xf numFmtId="0" fontId="0" fillId="3" borderId="0" xfId="0" applyFill="1" applyBorder="1"/>
    <xf numFmtId="164" fontId="0" fillId="3" borderId="0" xfId="0" applyNumberFormat="1" applyFill="1" applyBorder="1" applyProtection="1"/>
    <xf numFmtId="164" fontId="0" fillId="3" borderId="0" xfId="0" applyNumberFormat="1" applyFill="1" applyBorder="1"/>
    <xf numFmtId="3" fontId="0" fillId="3" borderId="0" xfId="0" applyNumberFormat="1" applyFill="1" applyBorder="1" applyProtection="1">
      <protection locked="0"/>
    </xf>
    <xf numFmtId="164" fontId="0" fillId="3" borderId="0" xfId="0" applyNumberFormat="1" applyFill="1" applyBorder="1" applyProtection="1">
      <protection locked="0"/>
    </xf>
    <xf numFmtId="0" fontId="28" fillId="0" borderId="0" xfId="0" applyFont="1" applyBorder="1"/>
    <xf numFmtId="0" fontId="27" fillId="0" borderId="0" xfId="2" applyFont="1"/>
    <xf numFmtId="0" fontId="28" fillId="0" borderId="0" xfId="2" applyFont="1"/>
    <xf numFmtId="0" fontId="28" fillId="0" borderId="0" xfId="2" applyFont="1" applyAlignment="1">
      <alignment horizontal="left"/>
    </xf>
    <xf numFmtId="0" fontId="29" fillId="0" borderId="0" xfId="2" applyFont="1" applyFill="1" applyBorder="1" applyAlignment="1">
      <alignment horizontal="left"/>
    </xf>
    <xf numFmtId="0" fontId="28" fillId="0" borderId="0" xfId="2" applyFont="1" applyAlignment="1">
      <alignment horizontal="center" wrapText="1"/>
    </xf>
    <xf numFmtId="0" fontId="27" fillId="0" borderId="0" xfId="2" applyBorder="1"/>
    <xf numFmtId="0" fontId="27" fillId="0" borderId="10" xfId="2" applyBorder="1" applyAlignment="1">
      <alignment horizontal="left"/>
    </xf>
    <xf numFmtId="0" fontId="28" fillId="0" borderId="10" xfId="2" applyFont="1" applyBorder="1"/>
    <xf numFmtId="0" fontId="27" fillId="0" borderId="10" xfId="2" applyBorder="1"/>
    <xf numFmtId="0" fontId="27" fillId="0" borderId="0" xfId="2" applyFill="1" applyBorder="1"/>
    <xf numFmtId="0" fontId="27" fillId="0" borderId="12" xfId="2" applyBorder="1"/>
    <xf numFmtId="49" fontId="27" fillId="2" borderId="16" xfId="2" applyNumberFormat="1" applyFill="1" applyBorder="1" applyAlignment="1" applyProtection="1">
      <protection locked="0"/>
    </xf>
    <xf numFmtId="164" fontId="27" fillId="2" borderId="17" xfId="2" applyNumberFormat="1" applyFill="1" applyBorder="1"/>
    <xf numFmtId="3" fontId="27" fillId="2" borderId="17" xfId="2" applyNumberFormat="1" applyFill="1" applyBorder="1"/>
    <xf numFmtId="3" fontId="27" fillId="3" borderId="17" xfId="2" applyNumberFormat="1" applyFill="1" applyBorder="1"/>
    <xf numFmtId="164" fontId="27" fillId="3" borderId="17" xfId="2" applyNumberFormat="1" applyFill="1" applyBorder="1"/>
    <xf numFmtId="164" fontId="27" fillId="3" borderId="13" xfId="2" applyNumberFormat="1" applyFill="1" applyBorder="1" applyProtection="1"/>
    <xf numFmtId="0" fontId="27" fillId="0" borderId="0" xfId="2" applyFont="1" applyBorder="1"/>
    <xf numFmtId="0" fontId="27" fillId="0" borderId="20" xfId="2" applyBorder="1"/>
    <xf numFmtId="3" fontId="27" fillId="2" borderId="21" xfId="2" applyNumberFormat="1" applyFill="1" applyBorder="1"/>
    <xf numFmtId="164" fontId="27" fillId="2" borderId="13" xfId="2" applyNumberFormat="1" applyFill="1" applyBorder="1" applyProtection="1">
      <protection locked="0"/>
    </xf>
    <xf numFmtId="164" fontId="27" fillId="2" borderId="13" xfId="2" applyNumberFormat="1" applyFill="1" applyBorder="1" applyProtection="1"/>
    <xf numFmtId="0" fontId="28" fillId="0" borderId="0" xfId="2" applyFont="1" applyBorder="1" applyAlignment="1">
      <alignment horizontal="center" wrapText="1"/>
    </xf>
    <xf numFmtId="0" fontId="27" fillId="3" borderId="0" xfId="2" applyFill="1" applyBorder="1"/>
    <xf numFmtId="164" fontId="27" fillId="3" borderId="0" xfId="2" applyNumberFormat="1" applyFill="1" applyBorder="1" applyProtection="1"/>
    <xf numFmtId="164" fontId="27" fillId="3" borderId="0" xfId="2" applyNumberFormat="1" applyFill="1" applyBorder="1"/>
    <xf numFmtId="3" fontId="27" fillId="3" borderId="0" xfId="2" applyNumberFormat="1" applyFill="1" applyBorder="1" applyProtection="1">
      <protection locked="0"/>
    </xf>
    <xf numFmtId="164" fontId="27" fillId="3" borderId="0" xfId="2" applyNumberFormat="1" applyFill="1" applyBorder="1" applyProtection="1">
      <protection locked="0"/>
    </xf>
    <xf numFmtId="0" fontId="28" fillId="0" borderId="0" xfId="2" applyFont="1" applyBorder="1"/>
    <xf numFmtId="0" fontId="28" fillId="0" borderId="0" xfId="0" applyFont="1" applyAlignment="1">
      <alignment horizontal="right"/>
    </xf>
    <xf numFmtId="0" fontId="0" fillId="0" borderId="0" xfId="0" applyFill="1" applyBorder="1"/>
    <xf numFmtId="164" fontId="0" fillId="0" borderId="0" xfId="0" applyNumberFormat="1"/>
    <xf numFmtId="0" fontId="0" fillId="0" borderId="0" xfId="0" applyFill="1"/>
    <xf numFmtId="0" fontId="27" fillId="0" borderId="0" xfId="2"/>
    <xf numFmtId="0" fontId="28" fillId="0" borderId="0" xfId="2" applyFont="1" applyAlignment="1">
      <alignment horizontal="right"/>
    </xf>
    <xf numFmtId="0" fontId="0" fillId="0" borderId="0" xfId="0"/>
    <xf numFmtId="0" fontId="31" fillId="0" borderId="0" xfId="0" applyFont="1" applyAlignment="1">
      <alignment horizontal="left"/>
    </xf>
    <xf numFmtId="49" fontId="27" fillId="2" borderId="0" xfId="2" applyNumberFormat="1" applyFill="1" applyBorder="1" applyAlignment="1" applyProtection="1">
      <protection locked="0"/>
    </xf>
    <xf numFmtId="3" fontId="28" fillId="5" borderId="6" xfId="20" applyNumberFormat="1" applyFont="1" applyFill="1" applyBorder="1" applyAlignment="1">
      <alignment horizontal="right" vertical="center"/>
    </xf>
    <xf numFmtId="5" fontId="34" fillId="0" borderId="2" xfId="3" applyNumberFormat="1" applyFont="1" applyBorder="1" applyAlignment="1">
      <alignment horizontal="right"/>
    </xf>
    <xf numFmtId="0" fontId="26" fillId="0" borderId="11" xfId="3" applyBorder="1"/>
    <xf numFmtId="0" fontId="26" fillId="9" borderId="0" xfId="3" applyFill="1"/>
    <xf numFmtId="0" fontId="20" fillId="9" borderId="0" xfId="3" applyFont="1" applyFill="1"/>
    <xf numFmtId="9" fontId="26" fillId="9" borderId="0" xfId="1" applyNumberFormat="1" applyFont="1" applyFill="1"/>
    <xf numFmtId="10" fontId="26" fillId="9" borderId="0" xfId="1" applyNumberFormat="1" applyFont="1" applyFill="1"/>
    <xf numFmtId="0" fontId="40" fillId="9" borderId="0" xfId="3" applyFont="1" applyFill="1" applyBorder="1" applyAlignment="1">
      <alignment horizontal="left" vertical="center"/>
    </xf>
    <xf numFmtId="166" fontId="0" fillId="9" borderId="0" xfId="5" applyNumberFormat="1" applyFont="1" applyFill="1"/>
    <xf numFmtId="166" fontId="26" fillId="9" borderId="0" xfId="3" applyNumberFormat="1" applyFill="1"/>
    <xf numFmtId="9" fontId="0" fillId="9" borderId="0" xfId="6" applyFont="1" applyFill="1"/>
    <xf numFmtId="0" fontId="48" fillId="9" borderId="0" xfId="3" applyFont="1" applyFill="1"/>
    <xf numFmtId="38" fontId="26" fillId="9" borderId="0" xfId="3" applyNumberFormat="1" applyFill="1"/>
    <xf numFmtId="0" fontId="39" fillId="9" borderId="1" xfId="3" applyFont="1" applyFill="1" applyBorder="1" applyAlignment="1">
      <alignment horizontal="center"/>
    </xf>
    <xf numFmtId="0" fontId="39" fillId="9" borderId="1" xfId="3" applyFont="1" applyFill="1" applyBorder="1" applyAlignment="1">
      <alignment horizontal="center" wrapText="1"/>
    </xf>
    <xf numFmtId="5" fontId="26" fillId="9" borderId="0" xfId="3" applyNumberFormat="1" applyFill="1"/>
    <xf numFmtId="166" fontId="44" fillId="9" borderId="0" xfId="5" applyNumberFormat="1" applyFont="1" applyFill="1"/>
    <xf numFmtId="0" fontId="46" fillId="9" borderId="0" xfId="3" applyFont="1" applyFill="1"/>
    <xf numFmtId="38" fontId="46" fillId="9" borderId="0" xfId="3" applyNumberFormat="1" applyFont="1" applyFill="1"/>
    <xf numFmtId="5" fontId="46" fillId="9" borderId="0" xfId="3" applyNumberFormat="1" applyFont="1" applyFill="1"/>
    <xf numFmtId="0" fontId="26" fillId="9" borderId="0" xfId="3" applyFont="1" applyFill="1"/>
    <xf numFmtId="0" fontId="47" fillId="9" borderId="0" xfId="3" applyFont="1" applyFill="1"/>
    <xf numFmtId="166" fontId="46" fillId="9" borderId="0" xfId="3" applyNumberFormat="1" applyFont="1" applyFill="1"/>
    <xf numFmtId="168" fontId="43" fillId="9" borderId="0" xfId="8" applyNumberFormat="1" applyFont="1" applyFill="1"/>
    <xf numFmtId="44" fontId="46" fillId="9" borderId="0" xfId="8" applyFont="1" applyFill="1"/>
    <xf numFmtId="166" fontId="45" fillId="9" borderId="0" xfId="3" applyNumberFormat="1" applyFont="1" applyFill="1"/>
    <xf numFmtId="168" fontId="45" fillId="9" borderId="0" xfId="8" applyNumberFormat="1" applyFont="1" applyFill="1"/>
    <xf numFmtId="168" fontId="43" fillId="9" borderId="0" xfId="3" applyNumberFormat="1" applyFont="1" applyFill="1"/>
    <xf numFmtId="168" fontId="44" fillId="9" borderId="0" xfId="3" applyNumberFormat="1" applyFont="1" applyFill="1"/>
    <xf numFmtId="0" fontId="42" fillId="9" borderId="0" xfId="3" applyFont="1" applyFill="1"/>
    <xf numFmtId="10" fontId="41" fillId="9" borderId="0" xfId="6" applyNumberFormat="1" applyFont="1" applyFill="1"/>
    <xf numFmtId="0" fontId="9" fillId="0" borderId="0" xfId="7" applyFont="1"/>
    <xf numFmtId="0" fontId="38" fillId="0" borderId="0" xfId="7" applyFont="1"/>
    <xf numFmtId="38" fontId="9" fillId="0" borderId="0" xfId="7" applyNumberFormat="1" applyFont="1"/>
    <xf numFmtId="168" fontId="9" fillId="0" borderId="0" xfId="55" applyNumberFormat="1" applyFont="1"/>
    <xf numFmtId="167" fontId="34" fillId="0" borderId="2" xfId="3" applyNumberFormat="1" applyFont="1" applyFill="1" applyBorder="1"/>
    <xf numFmtId="167" fontId="34" fillId="0" borderId="2" xfId="8" applyNumberFormat="1" applyFont="1" applyFill="1" applyBorder="1"/>
    <xf numFmtId="10" fontId="34" fillId="0" borderId="2" xfId="6" applyNumberFormat="1" applyFont="1" applyFill="1" applyBorder="1" applyAlignment="1">
      <alignment horizontal="right"/>
    </xf>
    <xf numFmtId="0" fontId="26" fillId="0" borderId="1" xfId="3" applyFill="1" applyBorder="1" applyAlignment="1"/>
    <xf numFmtId="0" fontId="58" fillId="0" borderId="0" xfId="3" applyFont="1" applyFill="1"/>
    <xf numFmtId="0" fontId="26" fillId="0" borderId="0" xfId="3" applyFill="1" applyAlignment="1">
      <alignment wrapText="1"/>
    </xf>
    <xf numFmtId="0" fontId="40" fillId="0" borderId="0" xfId="0" applyFont="1" applyFill="1" applyBorder="1" applyAlignment="1">
      <alignment horizontal="left" vertical="center" wrapText="1"/>
    </xf>
    <xf numFmtId="9" fontId="26" fillId="0" borderId="0" xfId="1" applyNumberFormat="1" applyFont="1" applyFill="1"/>
    <xf numFmtId="9" fontId="26" fillId="0" borderId="0" xfId="3" applyNumberFormat="1" applyFill="1"/>
    <xf numFmtId="0" fontId="39" fillId="0" borderId="0" xfId="3" applyFont="1" applyFill="1"/>
    <xf numFmtId="0" fontId="26" fillId="0" borderId="2" xfId="3" applyFill="1" applyBorder="1" applyAlignment="1">
      <alignment horizontal="right"/>
    </xf>
    <xf numFmtId="0" fontId="20" fillId="0" borderId="2" xfId="3" applyFont="1" applyFill="1" applyBorder="1" applyAlignment="1">
      <alignment horizontal="right"/>
    </xf>
    <xf numFmtId="6" fontId="26" fillId="0" borderId="0" xfId="3" applyNumberFormat="1" applyFill="1"/>
    <xf numFmtId="0" fontId="26" fillId="0" borderId="3" xfId="3" applyFill="1" applyBorder="1" applyAlignment="1">
      <alignment horizontal="right"/>
    </xf>
    <xf numFmtId="0" fontId="26" fillId="0" borderId="2" xfId="3" applyFill="1" applyBorder="1" applyAlignment="1">
      <alignment horizontal="center" wrapText="1"/>
    </xf>
    <xf numFmtId="0" fontId="19" fillId="0" borderId="2" xfId="3" applyFont="1" applyFill="1" applyBorder="1" applyAlignment="1">
      <alignment horizontal="center" wrapText="1"/>
    </xf>
    <xf numFmtId="169" fontId="0" fillId="0" borderId="0" xfId="6" applyNumberFormat="1" applyFont="1" applyFill="1"/>
    <xf numFmtId="169" fontId="18" fillId="0" borderId="0" xfId="3" applyNumberFormat="1" applyFont="1" applyFill="1"/>
    <xf numFmtId="0" fontId="19" fillId="0" borderId="2" xfId="3" applyFont="1" applyFill="1" applyBorder="1" applyAlignment="1">
      <alignment horizontal="right"/>
    </xf>
    <xf numFmtId="0" fontId="19" fillId="0" borderId="2" xfId="3" applyFont="1" applyFill="1" applyBorder="1" applyAlignment="1">
      <alignment wrapText="1"/>
    </xf>
    <xf numFmtId="166" fontId="0" fillId="0" borderId="0" xfId="5" applyNumberFormat="1" applyFont="1" applyFill="1"/>
    <xf numFmtId="166" fontId="0" fillId="0" borderId="0" xfId="18" applyNumberFormat="1" applyFont="1"/>
    <xf numFmtId="168" fontId="26" fillId="0" borderId="0" xfId="3" applyNumberFormat="1"/>
    <xf numFmtId="167" fontId="0" fillId="0" borderId="0" xfId="6" applyNumberFormat="1" applyFont="1" applyAlignment="1"/>
    <xf numFmtId="3" fontId="0" fillId="0" borderId="0" xfId="0" applyNumberFormat="1" applyFill="1"/>
    <xf numFmtId="3" fontId="26" fillId="0" borderId="0" xfId="3" applyNumberFormat="1" applyBorder="1"/>
    <xf numFmtId="0" fontId="8" fillId="0" borderId="2" xfId="3" applyFont="1" applyFill="1" applyBorder="1" applyAlignment="1">
      <alignment horizontal="center" wrapText="1"/>
    </xf>
    <xf numFmtId="168" fontId="27" fillId="0" borderId="0" xfId="20" applyNumberFormat="1" applyFont="1" applyFill="1" applyBorder="1"/>
    <xf numFmtId="3" fontId="0" fillId="0" borderId="0" xfId="0" applyNumberFormat="1"/>
    <xf numFmtId="9" fontId="26" fillId="0" borderId="0" xfId="1" applyFont="1" applyFill="1"/>
    <xf numFmtId="166" fontId="0" fillId="0" borderId="0" xfId="5" applyNumberFormat="1" applyFont="1"/>
    <xf numFmtId="0" fontId="0" fillId="0" borderId="0" xfId="0" applyAlignment="1">
      <alignment horizontal="center"/>
    </xf>
    <xf numFmtId="168" fontId="28" fillId="0" borderId="0" xfId="19" applyNumberFormat="1" applyFont="1" applyBorder="1" applyAlignment="1">
      <alignment horizontal="center" wrapText="1"/>
    </xf>
    <xf numFmtId="0" fontId="0" fillId="8" borderId="0" xfId="0" applyFill="1"/>
    <xf numFmtId="37" fontId="28" fillId="6" borderId="2" xfId="19" applyNumberFormat="1" applyFont="1" applyFill="1" applyBorder="1"/>
    <xf numFmtId="168" fontId="28" fillId="6" borderId="11" xfId="58" applyNumberFormat="1" applyFont="1" applyFill="1" applyBorder="1"/>
    <xf numFmtId="167" fontId="0" fillId="0" borderId="0" xfId="1" applyNumberFormat="1" applyFont="1" applyBorder="1"/>
    <xf numFmtId="169" fontId="26" fillId="0" borderId="0" xfId="1" applyNumberFormat="1" applyFont="1"/>
    <xf numFmtId="0" fontId="34" fillId="0" borderId="0" xfId="3" applyFont="1" applyFill="1"/>
    <xf numFmtId="0" fontId="34" fillId="10" borderId="2" xfId="3" applyFont="1" applyFill="1" applyBorder="1" applyAlignment="1">
      <alignment horizontal="center" wrapText="1"/>
    </xf>
    <xf numFmtId="0" fontId="34" fillId="0" borderId="2" xfId="3" applyFont="1" applyFill="1" applyBorder="1" applyAlignment="1">
      <alignment horizontal="left" wrapText="1"/>
    </xf>
    <xf numFmtId="0" fontId="6" fillId="0" borderId="2" xfId="3" applyFont="1" applyFill="1" applyBorder="1" applyAlignment="1">
      <alignment horizontal="left" wrapText="1"/>
    </xf>
    <xf numFmtId="0" fontId="71" fillId="0" borderId="0" xfId="0" applyFont="1"/>
    <xf numFmtId="3" fontId="6" fillId="0" borderId="2" xfId="3" applyNumberFormat="1" applyFont="1" applyFill="1" applyBorder="1" applyAlignment="1"/>
    <xf numFmtId="5" fontId="6" fillId="0" borderId="2" xfId="19" applyNumberFormat="1" applyFont="1" applyFill="1" applyBorder="1" applyAlignment="1"/>
    <xf numFmtId="10" fontId="6" fillId="0" borderId="2" xfId="6" applyNumberFormat="1" applyFont="1" applyFill="1" applyBorder="1" applyAlignment="1"/>
    <xf numFmtId="167" fontId="6" fillId="0" borderId="2" xfId="19" applyNumberFormat="1" applyFont="1" applyFill="1" applyBorder="1" applyAlignment="1"/>
    <xf numFmtId="167" fontId="6" fillId="0" borderId="2" xfId="18" applyNumberFormat="1" applyFont="1" applyFill="1" applyBorder="1" applyAlignment="1"/>
    <xf numFmtId="166" fontId="34" fillId="0" borderId="2" xfId="18" applyNumberFormat="1" applyFont="1" applyFill="1" applyBorder="1" applyAlignment="1"/>
    <xf numFmtId="5" fontId="34" fillId="0" borderId="2" xfId="19" applyNumberFormat="1" applyFont="1" applyFill="1" applyBorder="1" applyAlignment="1"/>
    <xf numFmtId="9" fontId="34" fillId="0" borderId="2" xfId="1" applyFont="1" applyFill="1" applyBorder="1" applyAlignment="1"/>
    <xf numFmtId="167" fontId="34" fillId="0" borderId="2" xfId="18" applyNumberFormat="1" applyFont="1" applyFill="1" applyBorder="1" applyAlignment="1"/>
    <xf numFmtId="0" fontId="5" fillId="0" borderId="2" xfId="3" applyFont="1" applyFill="1" applyBorder="1" applyAlignment="1">
      <alignment wrapText="1"/>
    </xf>
    <xf numFmtId="0" fontId="63" fillId="0" borderId="0" xfId="0" applyFont="1" applyAlignment="1">
      <alignment horizontal="center"/>
    </xf>
    <xf numFmtId="166" fontId="0" fillId="0" borderId="0" xfId="84" applyNumberFormat="1" applyFont="1"/>
    <xf numFmtId="3" fontId="0" fillId="5" borderId="17" xfId="0" applyNumberFormat="1" applyFill="1" applyBorder="1"/>
    <xf numFmtId="0" fontId="27" fillId="0" borderId="0" xfId="2" applyAlignment="1">
      <alignment horizontal="centerContinuous"/>
    </xf>
    <xf numFmtId="0" fontId="28" fillId="0" borderId="0" xfId="2" applyFont="1" applyAlignment="1">
      <alignment horizontal="centerContinuous"/>
    </xf>
    <xf numFmtId="167" fontId="27" fillId="2" borderId="17" xfId="2" applyNumberFormat="1" applyFill="1" applyBorder="1"/>
    <xf numFmtId="167" fontId="0" fillId="2" borderId="17" xfId="0" applyNumberFormat="1" applyFill="1" applyBorder="1"/>
    <xf numFmtId="166" fontId="0" fillId="0" borderId="0" xfId="18" applyNumberFormat="1" applyFont="1" applyFill="1"/>
    <xf numFmtId="168" fontId="0" fillId="0" borderId="0" xfId="19" applyNumberFormat="1" applyFont="1" applyFill="1" applyBorder="1"/>
    <xf numFmtId="0" fontId="65" fillId="0" borderId="0" xfId="0" applyFont="1" applyFill="1" applyBorder="1" applyAlignment="1">
      <alignment horizontal="center" wrapText="1"/>
    </xf>
    <xf numFmtId="0" fontId="66" fillId="0" borderId="0" xfId="0" applyFont="1" applyFill="1" applyBorder="1" applyAlignment="1">
      <alignment horizontal="left" vertical="justify" wrapText="1"/>
    </xf>
    <xf numFmtId="0" fontId="0" fillId="0" borderId="0" xfId="0" applyBorder="1" applyAlignment="1">
      <alignment horizontal="center"/>
    </xf>
    <xf numFmtId="166" fontId="0" fillId="0" borderId="0" xfId="18" applyNumberFormat="1" applyFont="1" applyBorder="1"/>
    <xf numFmtId="166" fontId="0" fillId="0" borderId="0" xfId="18" applyNumberFormat="1" applyFont="1" applyFill="1" applyBorder="1"/>
    <xf numFmtId="42" fontId="0" fillId="0" borderId="0" xfId="0" applyNumberFormat="1" applyFill="1" applyAlignment="1">
      <alignment wrapText="1"/>
    </xf>
    <xf numFmtId="0" fontId="0" fillId="0" borderId="0" xfId="0" applyFont="1" applyFill="1" applyBorder="1" applyAlignment="1">
      <alignment horizontal="left" wrapText="1"/>
    </xf>
    <xf numFmtId="0" fontId="0" fillId="0" borderId="0" xfId="0" applyFill="1" applyBorder="1" applyAlignment="1">
      <alignment horizontal="left" wrapText="1"/>
    </xf>
    <xf numFmtId="167" fontId="0" fillId="0" borderId="20" xfId="0" applyNumberFormat="1" applyBorder="1"/>
    <xf numFmtId="167" fontId="47" fillId="0" borderId="0" xfId="0" applyNumberFormat="1" applyFont="1"/>
    <xf numFmtId="0" fontId="47" fillId="0" borderId="0" xfId="0" applyFont="1" applyAlignment="1">
      <alignment horizontal="center"/>
    </xf>
    <xf numFmtId="0" fontId="47" fillId="0" borderId="0" xfId="0" applyFont="1"/>
    <xf numFmtId="3" fontId="47" fillId="0" borderId="0" xfId="0" applyNumberFormat="1" applyFont="1"/>
    <xf numFmtId="44" fontId="0" fillId="0" borderId="0" xfId="19" applyFont="1"/>
    <xf numFmtId="44" fontId="0" fillId="2" borderId="13" xfId="19" applyFont="1" applyFill="1" applyBorder="1" applyProtection="1">
      <protection locked="0"/>
    </xf>
    <xf numFmtId="44" fontId="0" fillId="2" borderId="17" xfId="19" applyFont="1" applyFill="1" applyBorder="1" applyProtection="1">
      <protection locked="0"/>
    </xf>
    <xf numFmtId="44" fontId="0" fillId="2" borderId="13" xfId="19" applyFont="1" applyFill="1" applyBorder="1" applyProtection="1"/>
    <xf numFmtId="164" fontId="27" fillId="2" borderId="13" xfId="0" applyNumberFormat="1" applyFont="1" applyFill="1" applyBorder="1" applyProtection="1">
      <protection locked="0"/>
    </xf>
    <xf numFmtId="43" fontId="0" fillId="0" borderId="0" xfId="0" applyNumberFormat="1"/>
    <xf numFmtId="167" fontId="0" fillId="2" borderId="13" xfId="0" applyNumberFormat="1" applyFill="1" applyBorder="1" applyProtection="1">
      <protection locked="0"/>
    </xf>
    <xf numFmtId="167" fontId="28" fillId="0" borderId="0" xfId="0" applyNumberFormat="1" applyFont="1" applyAlignment="1">
      <alignment horizontal="center" wrapText="1"/>
    </xf>
    <xf numFmtId="0" fontId="0" fillId="2" borderId="10" xfId="0" applyNumberFormat="1" applyFill="1" applyBorder="1" applyAlignment="1" applyProtection="1">
      <protection locked="0"/>
    </xf>
    <xf numFmtId="0" fontId="0" fillId="2" borderId="15" xfId="0" applyNumberFormat="1" applyFill="1" applyBorder="1" applyAlignment="1" applyProtection="1">
      <protection locked="0"/>
    </xf>
    <xf numFmtId="167" fontId="0" fillId="3" borderId="13" xfId="0" applyNumberFormat="1" applyFill="1" applyBorder="1" applyProtection="1"/>
    <xf numFmtId="167" fontId="28" fillId="0" borderId="0" xfId="0" applyNumberFormat="1" applyFont="1" applyBorder="1" applyAlignment="1">
      <alignment horizontal="center" wrapText="1"/>
    </xf>
    <xf numFmtId="167" fontId="0" fillId="3" borderId="0" xfId="0" applyNumberFormat="1" applyFill="1" applyBorder="1"/>
    <xf numFmtId="167" fontId="0" fillId="3" borderId="0" xfId="0" applyNumberFormat="1" applyFill="1" applyBorder="1" applyProtection="1"/>
    <xf numFmtId="167" fontId="28" fillId="0" borderId="0" xfId="0" applyNumberFormat="1" applyFont="1"/>
    <xf numFmtId="49" fontId="35" fillId="2" borderId="13" xfId="4" applyNumberFormat="1" applyFill="1" applyBorder="1" applyAlignment="1" applyProtection="1">
      <protection locked="0"/>
    </xf>
    <xf numFmtId="49" fontId="35" fillId="2" borderId="14" xfId="4" applyNumberFormat="1" applyFill="1" applyBorder="1" applyAlignment="1" applyProtection="1">
      <protection locked="0"/>
    </xf>
    <xf numFmtId="167" fontId="27" fillId="0" borderId="12" xfId="2" applyNumberFormat="1" applyFill="1" applyBorder="1"/>
    <xf numFmtId="167" fontId="27" fillId="3" borderId="19" xfId="2" applyNumberFormat="1" applyFill="1" applyBorder="1"/>
    <xf numFmtId="167" fontId="27" fillId="0" borderId="12" xfId="2" applyNumberFormat="1" applyBorder="1"/>
    <xf numFmtId="49" fontId="27" fillId="2" borderId="13" xfId="0" quotePrefix="1" applyNumberFormat="1" applyFont="1" applyFill="1" applyBorder="1" applyAlignment="1" applyProtection="1">
      <alignment horizontal="left"/>
      <protection locked="0"/>
    </xf>
    <xf numFmtId="49" fontId="35" fillId="2" borderId="14" xfId="0" quotePrefix="1" applyNumberFormat="1" applyFont="1" applyFill="1" applyBorder="1" applyAlignment="1" applyProtection="1">
      <alignment horizontal="left"/>
      <protection locked="0"/>
    </xf>
    <xf numFmtId="49" fontId="35" fillId="2" borderId="15" xfId="0" quotePrefix="1" applyNumberFormat="1" applyFont="1" applyFill="1" applyBorder="1" applyAlignment="1" applyProtection="1">
      <alignment horizontal="left"/>
      <protection locked="0"/>
    </xf>
    <xf numFmtId="49" fontId="27" fillId="2" borderId="13" xfId="0" applyNumberFormat="1" applyFont="1" applyFill="1" applyBorder="1" applyAlignment="1" applyProtection="1">
      <alignment horizontal="left"/>
      <protection locked="0"/>
    </xf>
    <xf numFmtId="49" fontId="35" fillId="2" borderId="14" xfId="0" applyNumberFormat="1" applyFont="1" applyFill="1" applyBorder="1" applyAlignment="1" applyProtection="1">
      <alignment horizontal="left"/>
      <protection locked="0"/>
    </xf>
    <xf numFmtId="49" fontId="35" fillId="2" borderId="15" xfId="0" applyNumberFormat="1" applyFont="1" applyFill="1" applyBorder="1" applyAlignment="1" applyProtection="1">
      <alignment horizontal="left"/>
      <protection locked="0"/>
    </xf>
    <xf numFmtId="167" fontId="27" fillId="2" borderId="13" xfId="2" applyNumberFormat="1" applyFill="1" applyBorder="1" applyProtection="1"/>
    <xf numFmtId="37" fontId="27" fillId="2" borderId="13" xfId="2" applyNumberFormat="1" applyFill="1" applyBorder="1" applyProtection="1">
      <protection locked="0"/>
    </xf>
    <xf numFmtId="7" fontId="61" fillId="0" borderId="0" xfId="0" applyNumberFormat="1" applyFont="1"/>
    <xf numFmtId="7" fontId="27" fillId="0" borderId="0" xfId="2" applyNumberFormat="1"/>
    <xf numFmtId="168" fontId="0" fillId="0" borderId="0" xfId="58" applyNumberFormat="1" applyFont="1" applyAlignment="1">
      <alignment horizontal="centerContinuous"/>
    </xf>
    <xf numFmtId="168" fontId="0" fillId="0" borderId="0" xfId="58" applyNumberFormat="1" applyFont="1"/>
    <xf numFmtId="168" fontId="0" fillId="2" borderId="13" xfId="58" applyNumberFormat="1" applyFont="1" applyFill="1" applyBorder="1" applyProtection="1"/>
    <xf numFmtId="168" fontId="0" fillId="2" borderId="13" xfId="58" applyNumberFormat="1" applyFont="1" applyFill="1" applyBorder="1" applyProtection="1">
      <protection locked="0"/>
    </xf>
    <xf numFmtId="168" fontId="0" fillId="0" borderId="12" xfId="58" applyNumberFormat="1" applyFont="1" applyFill="1" applyBorder="1"/>
    <xf numFmtId="168" fontId="0" fillId="0" borderId="12" xfId="58" applyNumberFormat="1" applyFont="1" applyBorder="1"/>
    <xf numFmtId="168" fontId="0" fillId="0" borderId="20" xfId="58" applyNumberFormat="1" applyFont="1" applyBorder="1"/>
    <xf numFmtId="168" fontId="28" fillId="0" borderId="0" xfId="58" applyNumberFormat="1" applyFont="1" applyBorder="1" applyAlignment="1">
      <alignment horizontal="center" wrapText="1"/>
    </xf>
    <xf numFmtId="168" fontId="0" fillId="3" borderId="0" xfId="58" applyNumberFormat="1" applyFont="1" applyFill="1" applyBorder="1"/>
    <xf numFmtId="168" fontId="0" fillId="3" borderId="0" xfId="58" applyNumberFormat="1" applyFont="1" applyFill="1" applyBorder="1" applyProtection="1"/>
    <xf numFmtId="168" fontId="0" fillId="2" borderId="17" xfId="58" applyNumberFormat="1" applyFont="1" applyFill="1" applyBorder="1" applyProtection="1">
      <protection locked="0"/>
    </xf>
    <xf numFmtId="168" fontId="0" fillId="3" borderId="0" xfId="58" applyNumberFormat="1" applyFont="1" applyFill="1" applyBorder="1" applyProtection="1">
      <protection locked="0"/>
    </xf>
    <xf numFmtId="170" fontId="0" fillId="0" borderId="0" xfId="0" applyNumberFormat="1"/>
    <xf numFmtId="0" fontId="0" fillId="0" borderId="0" xfId="0" applyFill="1" applyBorder="1" applyProtection="1"/>
    <xf numFmtId="168" fontId="0" fillId="2" borderId="17" xfId="58" applyNumberFormat="1" applyFont="1" applyFill="1" applyBorder="1"/>
    <xf numFmtId="168" fontId="0" fillId="3" borderId="17" xfId="58" applyNumberFormat="1" applyFont="1" applyFill="1" applyBorder="1"/>
    <xf numFmtId="168" fontId="0" fillId="2" borderId="21" xfId="58" applyNumberFormat="1" applyFont="1" applyFill="1" applyBorder="1"/>
    <xf numFmtId="0" fontId="74" fillId="0" borderId="0" xfId="0" applyFont="1" applyAlignment="1">
      <alignment horizontal="left"/>
    </xf>
    <xf numFmtId="0" fontId="74" fillId="0" borderId="0" xfId="0" applyFont="1"/>
    <xf numFmtId="0" fontId="74" fillId="0" borderId="0" xfId="0" applyFont="1" applyAlignment="1">
      <alignment horizontal="centerContinuous"/>
    </xf>
    <xf numFmtId="0" fontId="75" fillId="0" borderId="0" xfId="0" applyFont="1" applyAlignment="1">
      <alignment horizontal="centerContinuous"/>
    </xf>
    <xf numFmtId="168" fontId="74" fillId="0" borderId="0" xfId="19" applyNumberFormat="1" applyFont="1" applyAlignment="1">
      <alignment horizontal="centerContinuous"/>
    </xf>
    <xf numFmtId="0" fontId="75" fillId="0" borderId="0" xfId="0" applyFont="1" applyAlignment="1">
      <alignment horizontal="left"/>
    </xf>
    <xf numFmtId="168" fontId="74" fillId="0" borderId="0" xfId="19" applyNumberFormat="1" applyFont="1"/>
    <xf numFmtId="0" fontId="75" fillId="0" borderId="0" xfId="0" applyFont="1"/>
    <xf numFmtId="0" fontId="75" fillId="0" borderId="0" xfId="0" applyFont="1" applyAlignment="1">
      <alignment horizontal="right"/>
    </xf>
    <xf numFmtId="0" fontId="76" fillId="0" borderId="0" xfId="0" applyFont="1" applyFill="1" applyBorder="1" applyAlignment="1">
      <alignment horizontal="left"/>
    </xf>
    <xf numFmtId="0" fontId="75" fillId="0" borderId="0" xfId="0" applyFont="1" applyAlignment="1">
      <alignment horizontal="center" wrapText="1"/>
    </xf>
    <xf numFmtId="168" fontId="75" fillId="0" borderId="0" xfId="19" applyNumberFormat="1" applyFont="1" applyAlignment="1">
      <alignment horizontal="center" wrapText="1"/>
    </xf>
    <xf numFmtId="168" fontId="74" fillId="2" borderId="13" xfId="19" applyNumberFormat="1" applyFont="1" applyFill="1" applyBorder="1" applyProtection="1">
      <protection locked="0"/>
    </xf>
    <xf numFmtId="3" fontId="74" fillId="0" borderId="12" xfId="0" applyNumberFormat="1" applyFont="1" applyFill="1" applyBorder="1"/>
    <xf numFmtId="168" fontId="74" fillId="0" borderId="12" xfId="19" applyNumberFormat="1" applyFont="1" applyFill="1" applyBorder="1"/>
    <xf numFmtId="164" fontId="74" fillId="3" borderId="19" xfId="0" applyNumberFormat="1" applyFont="1" applyFill="1" applyBorder="1"/>
    <xf numFmtId="0" fontId="74" fillId="0" borderId="0" xfId="0" applyFont="1" applyBorder="1"/>
    <xf numFmtId="0" fontId="74" fillId="0" borderId="12" xfId="0" applyFont="1" applyBorder="1"/>
    <xf numFmtId="168" fontId="74" fillId="0" borderId="12" xfId="19" applyNumberFormat="1" applyFont="1" applyBorder="1"/>
    <xf numFmtId="168" fontId="74" fillId="3" borderId="13" xfId="19" applyNumberFormat="1" applyFont="1" applyFill="1" applyBorder="1" applyProtection="1"/>
    <xf numFmtId="0" fontId="74" fillId="0" borderId="20" xfId="0" applyFont="1" applyBorder="1"/>
    <xf numFmtId="168" fontId="74" fillId="0" borderId="20" xfId="19" applyNumberFormat="1" applyFont="1" applyBorder="1"/>
    <xf numFmtId="0" fontId="75" fillId="0" borderId="0" xfId="0" applyFont="1" applyBorder="1" applyAlignment="1">
      <alignment horizontal="center" wrapText="1"/>
    </xf>
    <xf numFmtId="168" fontId="75" fillId="0" borderId="0" xfId="19" applyNumberFormat="1" applyFont="1" applyBorder="1" applyAlignment="1">
      <alignment horizontal="center" wrapText="1"/>
    </xf>
    <xf numFmtId="0" fontId="74" fillId="3" borderId="0" xfId="0" applyFont="1" applyFill="1" applyBorder="1"/>
    <xf numFmtId="168" fontId="74" fillId="3" borderId="0" xfId="19" applyNumberFormat="1" applyFont="1" applyFill="1" applyBorder="1"/>
    <xf numFmtId="168" fontId="74" fillId="3" borderId="0" xfId="19" applyNumberFormat="1" applyFont="1" applyFill="1" applyBorder="1" applyProtection="1"/>
    <xf numFmtId="164" fontId="74" fillId="3" borderId="0" xfId="0" applyNumberFormat="1" applyFont="1" applyFill="1" applyBorder="1"/>
    <xf numFmtId="3" fontId="74" fillId="2" borderId="17" xfId="0" applyNumberFormat="1" applyFont="1" applyFill="1" applyBorder="1" applyProtection="1">
      <protection locked="0"/>
    </xf>
    <xf numFmtId="168" fontId="74" fillId="2" borderId="17" xfId="19" applyNumberFormat="1" applyFont="1" applyFill="1" applyBorder="1" applyProtection="1">
      <protection locked="0"/>
    </xf>
    <xf numFmtId="49" fontId="74" fillId="2" borderId="22" xfId="0" applyNumberFormat="1" applyFont="1" applyFill="1" applyBorder="1" applyAlignment="1" applyProtection="1">
      <protection locked="0"/>
    </xf>
    <xf numFmtId="49" fontId="74" fillId="2" borderId="10" xfId="0" applyNumberFormat="1" applyFont="1" applyFill="1" applyBorder="1" applyAlignment="1" applyProtection="1">
      <protection locked="0"/>
    </xf>
    <xf numFmtId="49" fontId="74" fillId="2" borderId="16" xfId="0" applyNumberFormat="1" applyFont="1" applyFill="1" applyBorder="1" applyAlignment="1" applyProtection="1">
      <protection locked="0"/>
    </xf>
    <xf numFmtId="3" fontId="74" fillId="3" borderId="0" xfId="0" applyNumberFormat="1" applyFont="1" applyFill="1" applyBorder="1" applyProtection="1">
      <protection locked="0"/>
    </xf>
    <xf numFmtId="168" fontId="74" fillId="3" borderId="0" xfId="19" applyNumberFormat="1" applyFont="1" applyFill="1" applyBorder="1" applyProtection="1">
      <protection locked="0"/>
    </xf>
    <xf numFmtId="168" fontId="74" fillId="2" borderId="13" xfId="19" applyNumberFormat="1" applyFont="1" applyFill="1" applyBorder="1" applyProtection="1"/>
    <xf numFmtId="3" fontId="74" fillId="2" borderId="18" xfId="0" applyNumberFormat="1" applyFont="1" applyFill="1" applyBorder="1" applyProtection="1">
      <protection locked="0"/>
    </xf>
    <xf numFmtId="0" fontId="75" fillId="0" borderId="0" xfId="0" applyFont="1" applyBorder="1"/>
    <xf numFmtId="0" fontId="74" fillId="0" borderId="10" xfId="0" applyFont="1" applyBorder="1" applyAlignment="1">
      <alignment horizontal="left"/>
    </xf>
    <xf numFmtId="0" fontId="75" fillId="0" borderId="10" xfId="0" applyFont="1" applyBorder="1"/>
    <xf numFmtId="0" fontId="74" fillId="0" borderId="10" xfId="0" applyFont="1" applyBorder="1"/>
    <xf numFmtId="0" fontId="77" fillId="0" borderId="0" xfId="0" applyFont="1" applyFill="1" applyBorder="1"/>
    <xf numFmtId="0" fontId="77" fillId="0" borderId="0" xfId="0" applyFont="1"/>
    <xf numFmtId="3" fontId="74" fillId="2" borderId="17" xfId="0" applyNumberFormat="1" applyFont="1" applyFill="1" applyBorder="1"/>
    <xf numFmtId="168" fontId="74" fillId="2" borderId="17" xfId="19" applyNumberFormat="1" applyFont="1" applyFill="1" applyBorder="1"/>
    <xf numFmtId="3" fontId="74" fillId="3" borderId="17" xfId="0" applyNumberFormat="1" applyFont="1" applyFill="1" applyBorder="1"/>
    <xf numFmtId="168" fontId="74" fillId="3" borderId="17" xfId="19" applyNumberFormat="1" applyFont="1" applyFill="1" applyBorder="1"/>
    <xf numFmtId="164" fontId="74" fillId="2" borderId="17" xfId="0" applyNumberFormat="1" applyFont="1" applyFill="1" applyBorder="1"/>
    <xf numFmtId="3" fontId="74" fillId="2" borderId="21" xfId="0" applyNumberFormat="1" applyFont="1" applyFill="1" applyBorder="1"/>
    <xf numFmtId="168" fontId="74" fillId="2" borderId="21" xfId="19" applyNumberFormat="1" applyFont="1" applyFill="1" applyBorder="1"/>
    <xf numFmtId="168" fontId="0" fillId="0" borderId="0" xfId="19" applyNumberFormat="1" applyFont="1" applyAlignment="1">
      <alignment horizontal="centerContinuous"/>
    </xf>
    <xf numFmtId="168" fontId="0" fillId="0" borderId="0" xfId="19" applyNumberFormat="1" applyFont="1"/>
    <xf numFmtId="0" fontId="54" fillId="0" borderId="0" xfId="0" applyFont="1" applyAlignment="1">
      <alignment horizontal="centerContinuous"/>
    </xf>
    <xf numFmtId="168" fontId="28" fillId="0" borderId="0" xfId="19" applyNumberFormat="1" applyFont="1" applyAlignment="1">
      <alignment horizontal="center" wrapText="1"/>
    </xf>
    <xf numFmtId="0" fontId="54" fillId="0" borderId="0" xfId="0" applyFont="1" applyAlignment="1">
      <alignment horizontal="left"/>
    </xf>
    <xf numFmtId="0" fontId="54" fillId="0" borderId="0" xfId="0" applyFont="1" applyAlignment="1">
      <alignment horizontal="right"/>
    </xf>
    <xf numFmtId="168" fontId="0" fillId="2" borderId="13" xfId="19" applyNumberFormat="1" applyFont="1" applyFill="1" applyBorder="1" applyProtection="1"/>
    <xf numFmtId="168" fontId="0" fillId="2" borderId="13" xfId="19" applyNumberFormat="1" applyFont="1" applyFill="1" applyBorder="1" applyProtection="1">
      <protection locked="0"/>
    </xf>
    <xf numFmtId="168" fontId="0" fillId="0" borderId="12" xfId="19" applyNumberFormat="1" applyFont="1" applyFill="1" applyBorder="1"/>
    <xf numFmtId="168" fontId="0" fillId="0" borderId="12" xfId="19" applyNumberFormat="1" applyFont="1" applyBorder="1"/>
    <xf numFmtId="168" fontId="0" fillId="0" borderId="20" xfId="19" applyNumberFormat="1" applyFont="1" applyBorder="1"/>
    <xf numFmtId="168" fontId="0" fillId="3" borderId="0" xfId="19" applyNumberFormat="1" applyFont="1" applyFill="1" applyBorder="1"/>
    <xf numFmtId="168" fontId="0" fillId="3" borderId="0" xfId="19" applyNumberFormat="1" applyFont="1" applyFill="1" applyBorder="1" applyProtection="1"/>
    <xf numFmtId="168" fontId="0" fillId="2" borderId="17" xfId="19" applyNumberFormat="1" applyFont="1" applyFill="1" applyBorder="1" applyProtection="1">
      <protection locked="0"/>
    </xf>
    <xf numFmtId="168" fontId="0" fillId="3" borderId="0" xfId="19" applyNumberFormat="1" applyFont="1" applyFill="1" applyBorder="1" applyProtection="1">
      <protection locked="0"/>
    </xf>
    <xf numFmtId="0" fontId="53" fillId="0" borderId="10" xfId="0" applyFont="1" applyBorder="1" applyAlignment="1">
      <alignment horizontal="left"/>
    </xf>
    <xf numFmtId="0" fontId="53" fillId="0" borderId="0" xfId="0" applyFont="1"/>
    <xf numFmtId="168" fontId="0" fillId="2" borderId="17" xfId="19" applyNumberFormat="1" applyFont="1" applyFill="1" applyBorder="1"/>
    <xf numFmtId="169" fontId="75" fillId="0" borderId="0" xfId="60" applyNumberFormat="1" applyFont="1"/>
    <xf numFmtId="168" fontId="0" fillId="3" borderId="17" xfId="19" applyNumberFormat="1" applyFont="1" applyFill="1" applyBorder="1"/>
    <xf numFmtId="43" fontId="74" fillId="0" borderId="0" xfId="59" applyFont="1"/>
    <xf numFmtId="168" fontId="0" fillId="2" borderId="21" xfId="19" applyNumberFormat="1" applyFont="1" applyFill="1" applyBorder="1"/>
    <xf numFmtId="166" fontId="0" fillId="0" borderId="0" xfId="84" applyNumberFormat="1" applyFont="1" applyAlignment="1">
      <alignment horizontal="centerContinuous"/>
    </xf>
    <xf numFmtId="166" fontId="28" fillId="0" borderId="0" xfId="84" applyNumberFormat="1" applyFont="1" applyAlignment="1">
      <alignment horizontal="center" wrapText="1"/>
    </xf>
    <xf numFmtId="168" fontId="0" fillId="5" borderId="13" xfId="58" applyNumberFormat="1" applyFont="1" applyFill="1" applyBorder="1" applyProtection="1">
      <protection locked="0"/>
    </xf>
    <xf numFmtId="0" fontId="28" fillId="0" borderId="0" xfId="0" applyFont="1" applyFill="1" applyAlignment="1">
      <alignment horizontal="left"/>
    </xf>
    <xf numFmtId="0" fontId="28" fillId="0" borderId="0" xfId="0" applyFont="1" applyFill="1"/>
    <xf numFmtId="3" fontId="0" fillId="0" borderId="20" xfId="0" applyNumberFormat="1" applyFill="1" applyBorder="1"/>
    <xf numFmtId="168" fontId="28" fillId="0" borderId="20" xfId="58" applyNumberFormat="1" applyFont="1" applyFill="1" applyBorder="1"/>
    <xf numFmtId="168" fontId="0" fillId="0" borderId="20" xfId="58" applyNumberFormat="1" applyFont="1" applyFill="1" applyBorder="1"/>
    <xf numFmtId="3" fontId="0" fillId="0" borderId="0" xfId="0" applyNumberFormat="1" applyFill="1" applyBorder="1"/>
    <xf numFmtId="168" fontId="28" fillId="0" borderId="0" xfId="58" applyNumberFormat="1" applyFont="1" applyFill="1" applyBorder="1"/>
    <xf numFmtId="168" fontId="0" fillId="0" borderId="0" xfId="58" applyNumberFormat="1" applyFont="1" applyFill="1" applyBorder="1"/>
    <xf numFmtId="1" fontId="0" fillId="0" borderId="0" xfId="0" applyNumberFormat="1" applyFill="1" applyBorder="1"/>
    <xf numFmtId="1" fontId="0" fillId="0" borderId="20" xfId="0" applyNumberFormat="1" applyFill="1" applyBorder="1"/>
    <xf numFmtId="49" fontId="27" fillId="8" borderId="0" xfId="0" applyNumberFormat="1" applyFont="1" applyFill="1" applyBorder="1" applyAlignment="1" applyProtection="1">
      <protection locked="0"/>
    </xf>
    <xf numFmtId="49" fontId="0" fillId="8" borderId="0" xfId="0" applyNumberFormat="1" applyFill="1" applyBorder="1" applyAlignment="1" applyProtection="1">
      <protection locked="0"/>
    </xf>
    <xf numFmtId="168" fontId="0" fillId="8" borderId="0" xfId="58" applyNumberFormat="1" applyFont="1" applyFill="1" applyBorder="1" applyProtection="1">
      <protection locked="0"/>
    </xf>
    <xf numFmtId="168" fontId="0" fillId="5" borderId="17" xfId="58" applyNumberFormat="1" applyFont="1" applyFill="1" applyBorder="1" applyProtection="1">
      <protection locked="0"/>
    </xf>
    <xf numFmtId="168" fontId="0" fillId="0" borderId="0" xfId="58" applyNumberFormat="1" applyFont="1" applyFill="1" applyBorder="1" applyProtection="1"/>
    <xf numFmtId="0" fontId="28" fillId="0" borderId="0" xfId="0" applyFont="1" applyFill="1" applyBorder="1" applyAlignment="1">
      <alignment horizontal="right"/>
    </xf>
    <xf numFmtId="0" fontId="28" fillId="0" borderId="0" xfId="0" applyFont="1" applyFill="1" applyBorder="1"/>
    <xf numFmtId="0" fontId="27" fillId="0" borderId="0" xfId="52" applyFont="1" applyFill="1"/>
    <xf numFmtId="0" fontId="11" fillId="0" borderId="0" xfId="52" applyFill="1"/>
    <xf numFmtId="0" fontId="36" fillId="0" borderId="25" xfId="0" applyNumberFormat="1" applyFont="1" applyBorder="1" applyAlignment="1"/>
    <xf numFmtId="0" fontId="36" fillId="8" borderId="25" xfId="0" applyNumberFormat="1" applyFont="1" applyFill="1" applyBorder="1" applyAlignment="1"/>
    <xf numFmtId="167" fontId="26" fillId="8" borderId="0" xfId="19" applyNumberFormat="1" applyFont="1" applyFill="1" applyAlignment="1">
      <alignment horizontal="right" vertical="top"/>
    </xf>
    <xf numFmtId="166" fontId="26" fillId="8" borderId="0" xfId="18" applyNumberFormat="1" applyFont="1" applyFill="1"/>
    <xf numFmtId="0" fontId="34" fillId="10" borderId="25" xfId="3" applyFont="1" applyFill="1" applyBorder="1" applyAlignment="1">
      <alignment horizontal="center" wrapText="1"/>
    </xf>
    <xf numFmtId="167" fontId="59" fillId="0" borderId="25" xfId="55" applyNumberFormat="1" applyFont="1" applyBorder="1"/>
    <xf numFmtId="0" fontId="36" fillId="0" borderId="25" xfId="0" applyNumberFormat="1" applyFont="1" applyBorder="1" applyAlignment="1">
      <alignment horizontal="right"/>
    </xf>
    <xf numFmtId="0" fontId="3" fillId="10" borderId="25" xfId="7" applyFont="1" applyFill="1" applyBorder="1"/>
    <xf numFmtId="0" fontId="78" fillId="10" borderId="25" xfId="0" applyFont="1" applyFill="1" applyBorder="1" applyAlignment="1">
      <alignment horizontal="center" wrapText="1"/>
    </xf>
    <xf numFmtId="3" fontId="3" fillId="0" borderId="0" xfId="3" applyNumberFormat="1" applyFont="1" applyFill="1"/>
    <xf numFmtId="0" fontId="3" fillId="0" borderId="0" xfId="3" applyFont="1" applyFill="1"/>
    <xf numFmtId="0" fontId="3" fillId="0" borderId="0" xfId="3" applyFont="1" applyAlignment="1">
      <alignment horizontal="center" wrapText="1"/>
    </xf>
    <xf numFmtId="0" fontId="3" fillId="0" borderId="0" xfId="3" applyFont="1"/>
    <xf numFmtId="0" fontId="59" fillId="0" borderId="0" xfId="0" applyFont="1"/>
    <xf numFmtId="0" fontId="59" fillId="0" borderId="25" xfId="0" applyNumberFormat="1" applyFont="1" applyBorder="1" applyAlignment="1"/>
    <xf numFmtId="0" fontId="59" fillId="0" borderId="25" xfId="0" applyNumberFormat="1" applyFont="1" applyBorder="1" applyAlignment="1">
      <alignment horizontal="right"/>
    </xf>
    <xf numFmtId="0" fontId="59" fillId="8" borderId="25" xfId="0" applyNumberFormat="1" applyFont="1" applyFill="1" applyBorder="1" applyAlignment="1"/>
    <xf numFmtId="0" fontId="71" fillId="10" borderId="25" xfId="7" applyFont="1" applyFill="1" applyBorder="1"/>
    <xf numFmtId="167" fontId="3" fillId="0" borderId="25" xfId="55" applyNumberFormat="1" applyFont="1" applyBorder="1"/>
    <xf numFmtId="167" fontId="59" fillId="0" borderId="0" xfId="0" applyNumberFormat="1" applyFont="1"/>
    <xf numFmtId="0" fontId="71" fillId="10" borderId="25" xfId="0" applyFont="1" applyFill="1" applyBorder="1" applyAlignment="1">
      <alignment horizontal="center"/>
    </xf>
    <xf numFmtId="0" fontId="59" fillId="10" borderId="25" xfId="0" applyFont="1" applyFill="1" applyBorder="1"/>
    <xf numFmtId="0" fontId="71" fillId="10" borderId="25" xfId="0" applyFont="1" applyFill="1" applyBorder="1"/>
    <xf numFmtId="167" fontId="71" fillId="10" borderId="25" xfId="0" applyNumberFormat="1" applyFont="1" applyFill="1" applyBorder="1"/>
    <xf numFmtId="0" fontId="34" fillId="10" borderId="25" xfId="7" applyFont="1" applyFill="1" applyBorder="1" applyAlignment="1">
      <alignment horizontal="center" wrapText="1"/>
    </xf>
    <xf numFmtId="168" fontId="34" fillId="10" borderId="25" xfId="55" applyNumberFormat="1" applyFont="1" applyFill="1" applyBorder="1" applyAlignment="1">
      <alignment horizontal="center" wrapText="1"/>
    </xf>
    <xf numFmtId="38" fontId="34" fillId="10" borderId="25" xfId="7" applyNumberFormat="1" applyFont="1" applyFill="1" applyBorder="1" applyAlignment="1">
      <alignment horizontal="center" wrapText="1"/>
    </xf>
    <xf numFmtId="37" fontId="34" fillId="10" borderId="25" xfId="7" applyNumberFormat="1" applyFont="1" applyFill="1" applyBorder="1" applyAlignment="1">
      <alignment horizontal="center" wrapText="1"/>
    </xf>
    <xf numFmtId="0" fontId="3" fillId="0" borderId="25" xfId="7" applyFont="1" applyBorder="1"/>
    <xf numFmtId="0" fontId="71" fillId="0" borderId="25" xfId="7" applyFont="1" applyBorder="1"/>
    <xf numFmtId="167" fontId="71" fillId="0" borderId="25" xfId="55" applyNumberFormat="1" applyFont="1" applyBorder="1"/>
    <xf numFmtId="167" fontId="71" fillId="0" borderId="25" xfId="0" applyNumberFormat="1" applyFont="1" applyBorder="1"/>
    <xf numFmtId="167" fontId="34" fillId="0" borderId="25" xfId="55" applyNumberFormat="1" applyFont="1" applyBorder="1"/>
    <xf numFmtId="49" fontId="34" fillId="10" borderId="25" xfId="3" applyNumberFormat="1" applyFont="1" applyFill="1" applyBorder="1" applyAlignment="1">
      <alignment horizontal="center" wrapText="1"/>
    </xf>
    <xf numFmtId="167" fontId="34" fillId="10" borderId="25" xfId="3" applyNumberFormat="1" applyFont="1" applyFill="1" applyBorder="1" applyAlignment="1">
      <alignment horizontal="center" wrapText="1"/>
    </xf>
    <xf numFmtId="9" fontId="34" fillId="10" borderId="25" xfId="6" applyFont="1" applyFill="1" applyBorder="1" applyAlignment="1">
      <alignment horizontal="center" wrapText="1"/>
    </xf>
    <xf numFmtId="167" fontId="34" fillId="10" borderId="25" xfId="8" applyNumberFormat="1" applyFont="1" applyFill="1" applyBorder="1" applyAlignment="1">
      <alignment horizontal="center" wrapText="1"/>
    </xf>
    <xf numFmtId="3" fontId="26" fillId="0" borderId="25" xfId="3" applyNumberFormat="1" applyBorder="1" applyAlignment="1">
      <alignment horizontal="right"/>
    </xf>
    <xf numFmtId="167" fontId="26" fillId="0" borderId="25" xfId="3" applyNumberFormat="1" applyBorder="1" applyAlignment="1">
      <alignment horizontal="right"/>
    </xf>
    <xf numFmtId="5" fontId="26" fillId="0" borderId="25" xfId="3" applyNumberFormat="1" applyBorder="1" applyAlignment="1">
      <alignment horizontal="right"/>
    </xf>
    <xf numFmtId="10" fontId="26" fillId="0" borderId="25" xfId="3" applyNumberFormat="1" applyBorder="1" applyAlignment="1">
      <alignment horizontal="right"/>
    </xf>
    <xf numFmtId="5" fontId="0" fillId="0" borderId="25" xfId="5" applyNumberFormat="1" applyFont="1" applyFill="1" applyBorder="1"/>
    <xf numFmtId="167" fontId="0" fillId="0" borderId="25" xfId="8" applyNumberFormat="1" applyFont="1" applyFill="1" applyBorder="1"/>
    <xf numFmtId="10" fontId="0" fillId="0" borderId="25" xfId="6" applyNumberFormat="1" applyFont="1" applyFill="1" applyBorder="1"/>
    <xf numFmtId="3" fontId="26" fillId="8" borderId="25" xfId="3" applyNumberFormat="1" applyFill="1" applyBorder="1" applyAlignment="1">
      <alignment horizontal="right"/>
    </xf>
    <xf numFmtId="167" fontId="26" fillId="8" borderId="25" xfId="3" applyNumberFormat="1" applyFill="1" applyBorder="1" applyAlignment="1">
      <alignment horizontal="right"/>
    </xf>
    <xf numFmtId="5" fontId="26" fillId="8" borderId="25" xfId="3" applyNumberFormat="1" applyFill="1" applyBorder="1" applyAlignment="1">
      <alignment horizontal="right"/>
    </xf>
    <xf numFmtId="10" fontId="26" fillId="8" borderId="25" xfId="3" applyNumberFormat="1" applyFill="1" applyBorder="1" applyAlignment="1">
      <alignment horizontal="right"/>
    </xf>
    <xf numFmtId="3" fontId="26" fillId="0" borderId="25" xfId="3" applyNumberFormat="1" applyFill="1" applyBorder="1" applyAlignment="1">
      <alignment horizontal="right"/>
    </xf>
    <xf numFmtId="167" fontId="26" fillId="0" borderId="25" xfId="3" applyNumberFormat="1" applyFill="1" applyBorder="1" applyAlignment="1">
      <alignment horizontal="right"/>
    </xf>
    <xf numFmtId="5" fontId="26" fillId="0" borderId="25" xfId="3" applyNumberFormat="1" applyFill="1" applyBorder="1" applyAlignment="1">
      <alignment horizontal="right"/>
    </xf>
    <xf numFmtId="10" fontId="26" fillId="0" borderId="25" xfId="3" applyNumberFormat="1" applyFill="1" applyBorder="1" applyAlignment="1">
      <alignment horizontal="right"/>
    </xf>
    <xf numFmtId="3" fontId="16" fillId="0" borderId="25" xfId="42" applyNumberFormat="1" applyBorder="1" applyAlignment="1">
      <alignment horizontal="right"/>
    </xf>
    <xf numFmtId="167" fontId="16" fillId="0" borderId="25" xfId="42" applyNumberFormat="1" applyBorder="1" applyAlignment="1">
      <alignment horizontal="right"/>
    </xf>
    <xf numFmtId="5" fontId="16" fillId="0" borderId="25" xfId="42" applyNumberFormat="1" applyBorder="1" applyAlignment="1">
      <alignment horizontal="right"/>
    </xf>
    <xf numFmtId="0" fontId="34" fillId="0" borderId="2" xfId="3" applyFont="1" applyBorder="1"/>
    <xf numFmtId="167" fontId="3" fillId="0" borderId="0" xfId="3" applyNumberFormat="1" applyFont="1"/>
    <xf numFmtId="49" fontId="30" fillId="2" borderId="13" xfId="0" applyNumberFormat="1" applyFont="1" applyFill="1" applyBorder="1" applyAlignment="1" applyProtection="1">
      <protection locked="0"/>
    </xf>
    <xf numFmtId="49" fontId="30" fillId="2" borderId="14" xfId="0" applyNumberFormat="1" applyFont="1" applyFill="1" applyBorder="1" applyAlignment="1" applyProtection="1">
      <protection locked="0"/>
    </xf>
    <xf numFmtId="49" fontId="30" fillId="2" borderId="15" xfId="0" applyNumberFormat="1" applyFont="1" applyFill="1" applyBorder="1" applyAlignment="1" applyProtection="1">
      <protection locked="0"/>
    </xf>
    <xf numFmtId="49" fontId="0" fillId="2" borderId="13" xfId="0" applyNumberFormat="1" applyFill="1" applyBorder="1" applyAlignment="1" applyProtection="1">
      <protection locked="0"/>
    </xf>
    <xf numFmtId="49" fontId="0" fillId="2" borderId="14" xfId="0" applyNumberFormat="1" applyFill="1" applyBorder="1" applyAlignment="1" applyProtection="1">
      <protection locked="0"/>
    </xf>
    <xf numFmtId="49" fontId="0" fillId="2" borderId="15" xfId="0" applyNumberFormat="1" applyFill="1" applyBorder="1" applyAlignment="1" applyProtection="1">
      <protection locked="0"/>
    </xf>
    <xf numFmtId="49" fontId="27" fillId="2" borderId="13" xfId="0" applyNumberFormat="1" applyFont="1" applyFill="1" applyBorder="1" applyAlignment="1" applyProtection="1">
      <protection locked="0"/>
    </xf>
    <xf numFmtId="49" fontId="27" fillId="2" borderId="22" xfId="0" applyNumberFormat="1" applyFont="1" applyFill="1" applyBorder="1" applyAlignment="1" applyProtection="1">
      <protection locked="0"/>
    </xf>
    <xf numFmtId="49" fontId="0" fillId="2" borderId="10" xfId="0" applyNumberFormat="1" applyFill="1" applyBorder="1" applyAlignment="1" applyProtection="1">
      <protection locked="0"/>
    </xf>
    <xf numFmtId="49" fontId="35" fillId="2" borderId="15" xfId="4" applyNumberFormat="1" applyFill="1" applyBorder="1" applyAlignment="1" applyProtection="1">
      <protection locked="0"/>
    </xf>
    <xf numFmtId="49" fontId="0" fillId="2" borderId="22" xfId="0" applyNumberFormat="1" applyFill="1" applyBorder="1" applyAlignment="1" applyProtection="1">
      <protection locked="0"/>
    </xf>
    <xf numFmtId="49" fontId="30" fillId="2" borderId="13" xfId="2" applyNumberFormat="1" applyFont="1" applyFill="1" applyBorder="1" applyAlignment="1" applyProtection="1">
      <protection locked="0"/>
    </xf>
    <xf numFmtId="49" fontId="30" fillId="2" borderId="14" xfId="2" applyNumberFormat="1" applyFont="1" applyFill="1" applyBorder="1" applyAlignment="1" applyProtection="1">
      <protection locked="0"/>
    </xf>
    <xf numFmtId="49" fontId="30" fillId="2" borderId="15" xfId="2" applyNumberFormat="1" applyFont="1" applyFill="1" applyBorder="1" applyAlignment="1" applyProtection="1">
      <protection locked="0"/>
    </xf>
    <xf numFmtId="49" fontId="27" fillId="2" borderId="13" xfId="2" applyNumberFormat="1" applyFill="1" applyBorder="1" applyAlignment="1" applyProtection="1">
      <protection locked="0"/>
    </xf>
    <xf numFmtId="49" fontId="27" fillId="2" borderId="14" xfId="2" applyNumberFormat="1" applyFill="1" applyBorder="1" applyAlignment="1" applyProtection="1">
      <protection locked="0"/>
    </xf>
    <xf numFmtId="49" fontId="27" fillId="2" borderId="15" xfId="2" applyNumberFormat="1" applyFill="1" applyBorder="1" applyAlignment="1" applyProtection="1">
      <protection locked="0"/>
    </xf>
    <xf numFmtId="49" fontId="27" fillId="2" borderId="22" xfId="2" applyNumberFormat="1" applyFill="1" applyBorder="1" applyAlignment="1" applyProtection="1">
      <protection locked="0"/>
    </xf>
    <xf numFmtId="49" fontId="27" fillId="2" borderId="10" xfId="2" applyNumberFormat="1" applyFill="1" applyBorder="1" applyAlignment="1" applyProtection="1">
      <protection locked="0"/>
    </xf>
    <xf numFmtId="49" fontId="27" fillId="2" borderId="14" xfId="0" applyNumberFormat="1" applyFont="1" applyFill="1" applyBorder="1" applyAlignment="1" applyProtection="1">
      <protection locked="0"/>
    </xf>
    <xf numFmtId="49" fontId="27" fillId="2" borderId="15" xfId="0" applyNumberFormat="1" applyFont="1" applyFill="1" applyBorder="1" applyAlignment="1" applyProtection="1">
      <protection locked="0"/>
    </xf>
    <xf numFmtId="0" fontId="28" fillId="0" borderId="0" xfId="2" applyFont="1" applyAlignment="1">
      <alignment horizontal="center"/>
    </xf>
    <xf numFmtId="49" fontId="27" fillId="2" borderId="13" xfId="2" applyNumberFormat="1" applyFont="1" applyFill="1" applyBorder="1" applyAlignment="1" applyProtection="1">
      <protection locked="0"/>
    </xf>
    <xf numFmtId="49" fontId="27" fillId="2" borderId="14" xfId="2" applyNumberFormat="1" applyFont="1" applyFill="1" applyBorder="1" applyAlignment="1" applyProtection="1">
      <protection locked="0"/>
    </xf>
    <xf numFmtId="49" fontId="27" fillId="2" borderId="15" xfId="2" applyNumberFormat="1" applyFont="1" applyFill="1" applyBorder="1" applyAlignment="1" applyProtection="1">
      <protection locked="0"/>
    </xf>
    <xf numFmtId="49" fontId="74" fillId="2" borderId="13" xfId="0" applyNumberFormat="1" applyFont="1" applyFill="1" applyBorder="1" applyAlignment="1" applyProtection="1">
      <protection locked="0"/>
    </xf>
    <xf numFmtId="49" fontId="74" fillId="2" borderId="14" xfId="0" applyNumberFormat="1" applyFont="1" applyFill="1" applyBorder="1" applyAlignment="1" applyProtection="1">
      <protection locked="0"/>
    </xf>
    <xf numFmtId="49" fontId="74" fillId="2" borderId="15" xfId="0" applyNumberFormat="1" applyFont="1" applyFill="1" applyBorder="1" applyAlignment="1" applyProtection="1">
      <protection locked="0"/>
    </xf>
    <xf numFmtId="49" fontId="27" fillId="6" borderId="15" xfId="0" applyNumberFormat="1" applyFont="1" applyFill="1" applyBorder="1" applyAlignment="1" applyProtection="1">
      <protection locked="0"/>
    </xf>
    <xf numFmtId="49" fontId="27" fillId="6" borderId="13" xfId="0" applyNumberFormat="1" applyFont="1" applyFill="1" applyBorder="1" applyAlignment="1" applyProtection="1">
      <protection locked="0"/>
    </xf>
    <xf numFmtId="49" fontId="27" fillId="6" borderId="14" xfId="0" applyNumberFormat="1" applyFont="1" applyFill="1" applyBorder="1" applyAlignment="1" applyProtection="1">
      <protection locked="0"/>
    </xf>
    <xf numFmtId="49" fontId="30" fillId="2" borderId="13" xfId="0" applyNumberFormat="1" applyFont="1" applyFill="1" applyBorder="1" applyAlignment="1" applyProtection="1">
      <protection locked="0"/>
    </xf>
    <xf numFmtId="49" fontId="30" fillId="2" borderId="14" xfId="0" applyNumberFormat="1" applyFont="1" applyFill="1" applyBorder="1" applyAlignment="1" applyProtection="1">
      <protection locked="0"/>
    </xf>
    <xf numFmtId="49" fontId="30" fillId="2" borderId="15" xfId="0" applyNumberFormat="1" applyFont="1" applyFill="1" applyBorder="1" applyAlignment="1" applyProtection="1">
      <protection locked="0"/>
    </xf>
    <xf numFmtId="0" fontId="27" fillId="0" borderId="0" xfId="0" applyFont="1" applyAlignment="1"/>
    <xf numFmtId="0" fontId="0" fillId="0" borderId="0" xfId="0" applyAlignment="1"/>
    <xf numFmtId="49" fontId="0" fillId="2" borderId="13" xfId="0" applyNumberFormat="1" applyFill="1" applyBorder="1" applyAlignment="1" applyProtection="1">
      <protection locked="0"/>
    </xf>
    <xf numFmtId="49" fontId="0" fillId="2" borderId="14" xfId="0" applyNumberFormat="1" applyFill="1" applyBorder="1" applyAlignment="1" applyProtection="1">
      <protection locked="0"/>
    </xf>
    <xf numFmtId="49" fontId="0" fillId="2" borderId="15" xfId="0" applyNumberFormat="1" applyFill="1" applyBorder="1" applyAlignment="1" applyProtection="1">
      <protection locked="0"/>
    </xf>
    <xf numFmtId="49" fontId="27" fillId="2" borderId="13" xfId="0" applyNumberFormat="1" applyFont="1" applyFill="1" applyBorder="1" applyAlignment="1" applyProtection="1">
      <protection locked="0"/>
    </xf>
    <xf numFmtId="0" fontId="28" fillId="0" borderId="10" xfId="0" applyFont="1" applyBorder="1" applyAlignment="1">
      <alignment wrapText="1"/>
    </xf>
    <xf numFmtId="0" fontId="0" fillId="0" borderId="10" xfId="0" applyBorder="1" applyAlignment="1">
      <alignment wrapText="1"/>
    </xf>
    <xf numFmtId="49" fontId="27" fillId="2" borderId="22" xfId="0" applyNumberFormat="1" applyFont="1" applyFill="1" applyBorder="1" applyAlignment="1" applyProtection="1">
      <protection locked="0"/>
    </xf>
    <xf numFmtId="49" fontId="0" fillId="2" borderId="10" xfId="0" applyNumberFormat="1" applyFill="1" applyBorder="1" applyAlignment="1" applyProtection="1">
      <protection locked="0"/>
    </xf>
    <xf numFmtId="49" fontId="0" fillId="2" borderId="22" xfId="0" applyNumberFormat="1" applyFill="1" applyBorder="1" applyAlignment="1" applyProtection="1">
      <protection locked="0"/>
    </xf>
    <xf numFmtId="49" fontId="30" fillId="2" borderId="13" xfId="2" applyNumberFormat="1" applyFont="1" applyFill="1" applyBorder="1" applyAlignment="1" applyProtection="1">
      <protection locked="0"/>
    </xf>
    <xf numFmtId="49" fontId="30" fillId="2" borderId="14" xfId="2" applyNumberFormat="1" applyFont="1" applyFill="1" applyBorder="1" applyAlignment="1" applyProtection="1">
      <protection locked="0"/>
    </xf>
    <xf numFmtId="49" fontId="30" fillId="2" borderId="15" xfId="2" applyNumberFormat="1" applyFont="1" applyFill="1" applyBorder="1" applyAlignment="1" applyProtection="1">
      <protection locked="0"/>
    </xf>
    <xf numFmtId="49" fontId="27" fillId="2" borderId="13" xfId="2" applyNumberFormat="1" applyFill="1" applyBorder="1" applyAlignment="1" applyProtection="1">
      <protection locked="0"/>
    </xf>
    <xf numFmtId="49" fontId="27" fillId="2" borderId="14" xfId="2" applyNumberFormat="1" applyFill="1" applyBorder="1" applyAlignment="1" applyProtection="1">
      <protection locked="0"/>
    </xf>
    <xf numFmtId="49" fontId="27" fillId="2" borderId="15" xfId="2" applyNumberFormat="1" applyFill="1" applyBorder="1" applyAlignment="1" applyProtection="1">
      <protection locked="0"/>
    </xf>
    <xf numFmtId="49" fontId="27" fillId="2" borderId="22" xfId="2" applyNumberFormat="1" applyFill="1" applyBorder="1" applyAlignment="1" applyProtection="1">
      <protection locked="0"/>
    </xf>
    <xf numFmtId="49" fontId="27" fillId="2" borderId="10" xfId="2" applyNumberFormat="1" applyFill="1" applyBorder="1" applyAlignment="1" applyProtection="1">
      <protection locked="0"/>
    </xf>
    <xf numFmtId="0" fontId="30" fillId="2" borderId="14" xfId="0" applyNumberFormat="1" applyFont="1" applyFill="1" applyBorder="1" applyAlignment="1" applyProtection="1">
      <protection locked="0"/>
    </xf>
    <xf numFmtId="0" fontId="30" fillId="2" borderId="15" xfId="0" applyNumberFormat="1" applyFont="1" applyFill="1" applyBorder="1" applyAlignment="1" applyProtection="1">
      <protection locked="0"/>
    </xf>
    <xf numFmtId="3" fontId="0" fillId="2" borderId="25" xfId="0" applyNumberFormat="1" applyFill="1" applyBorder="1" applyProtection="1">
      <protection locked="0"/>
    </xf>
    <xf numFmtId="164" fontId="0" fillId="2" borderId="25" xfId="0" applyNumberFormat="1" applyFill="1" applyBorder="1" applyProtection="1">
      <protection locked="0"/>
    </xf>
    <xf numFmtId="164" fontId="0" fillId="2" borderId="25" xfId="0" applyNumberFormat="1" applyFill="1" applyBorder="1"/>
    <xf numFmtId="3" fontId="27" fillId="2" borderId="25" xfId="0" applyNumberFormat="1" applyFont="1" applyFill="1" applyBorder="1" applyProtection="1">
      <protection locked="0"/>
    </xf>
    <xf numFmtId="164" fontId="0" fillId="0" borderId="25" xfId="0" applyNumberFormat="1" applyFill="1" applyBorder="1"/>
    <xf numFmtId="3" fontId="0" fillId="2" borderId="25" xfId="0" applyNumberFormat="1" applyFill="1" applyBorder="1"/>
    <xf numFmtId="3" fontId="0" fillId="5" borderId="25" xfId="0" applyNumberFormat="1" applyFill="1" applyBorder="1" applyProtection="1">
      <protection locked="0"/>
    </xf>
    <xf numFmtId="164" fontId="0" fillId="5" borderId="25" xfId="0" applyNumberFormat="1" applyFill="1" applyBorder="1" applyProtection="1"/>
    <xf numFmtId="1" fontId="0" fillId="2" borderId="25" xfId="0" applyNumberFormat="1" applyFill="1" applyBorder="1"/>
    <xf numFmtId="0" fontId="0" fillId="2" borderId="25" xfId="0" applyFill="1" applyBorder="1" applyProtection="1">
      <protection locked="0"/>
    </xf>
    <xf numFmtId="0" fontId="69" fillId="0" borderId="0" xfId="0" applyFont="1"/>
    <xf numFmtId="0" fontId="0" fillId="2" borderId="25" xfId="0" applyFill="1" applyBorder="1" applyProtection="1"/>
    <xf numFmtId="164" fontId="0" fillId="2" borderId="25" xfId="0" applyNumberFormat="1" applyFill="1" applyBorder="1" applyProtection="1"/>
    <xf numFmtId="164" fontId="0" fillId="3" borderId="25" xfId="0" applyNumberFormat="1" applyFill="1" applyBorder="1"/>
    <xf numFmtId="4" fontId="0" fillId="2" borderId="25" xfId="0" applyNumberFormat="1" applyFill="1" applyBorder="1"/>
    <xf numFmtId="10" fontId="0" fillId="2" borderId="25" xfId="0" applyNumberFormat="1" applyFill="1" applyBorder="1" applyProtection="1">
      <protection locked="0"/>
    </xf>
    <xf numFmtId="10" fontId="0" fillId="2" borderId="25" xfId="1" applyNumberFormat="1" applyFont="1" applyFill="1" applyBorder="1" applyProtection="1"/>
    <xf numFmtId="167" fontId="0" fillId="2" borderId="25" xfId="0" applyNumberFormat="1" applyFill="1" applyBorder="1" applyProtection="1">
      <protection locked="0"/>
    </xf>
    <xf numFmtId="3" fontId="74" fillId="2" borderId="25" xfId="0" applyNumberFormat="1" applyFont="1" applyFill="1" applyBorder="1" applyProtection="1">
      <protection locked="0"/>
    </xf>
    <xf numFmtId="164" fontId="74" fillId="2" borderId="25" xfId="0" applyNumberFormat="1" applyFont="1" applyFill="1" applyBorder="1" applyProtection="1">
      <protection locked="0"/>
    </xf>
    <xf numFmtId="164" fontId="74" fillId="2" borderId="13" xfId="0" applyNumberFormat="1" applyFont="1" applyFill="1" applyBorder="1" applyProtection="1">
      <protection locked="0"/>
    </xf>
    <xf numFmtId="164" fontId="74" fillId="2" borderId="25" xfId="0" applyNumberFormat="1" applyFont="1" applyFill="1" applyBorder="1"/>
    <xf numFmtId="164" fontId="74" fillId="0" borderId="25" xfId="0" applyNumberFormat="1" applyFont="1" applyFill="1" applyBorder="1"/>
    <xf numFmtId="3" fontId="74" fillId="2" borderId="25" xfId="0" applyNumberFormat="1" applyFont="1" applyFill="1" applyBorder="1"/>
    <xf numFmtId="164" fontId="74" fillId="0" borderId="12" xfId="0" applyNumberFormat="1" applyFont="1" applyFill="1" applyBorder="1"/>
    <xf numFmtId="0" fontId="74" fillId="8" borderId="0" xfId="0" applyFont="1" applyFill="1"/>
    <xf numFmtId="3" fontId="74" fillId="5" borderId="25" xfId="0" applyNumberFormat="1" applyFont="1" applyFill="1" applyBorder="1" applyProtection="1">
      <protection locked="0"/>
    </xf>
    <xf numFmtId="164" fontId="74" fillId="5" borderId="13" xfId="0" applyNumberFormat="1" applyFont="1" applyFill="1" applyBorder="1" applyProtection="1">
      <protection locked="0"/>
    </xf>
    <xf numFmtId="164" fontId="74" fillId="5" borderId="25" xfId="0" applyNumberFormat="1" applyFont="1" applyFill="1" applyBorder="1" applyProtection="1"/>
    <xf numFmtId="1" fontId="74" fillId="2" borderId="25" xfId="0" applyNumberFormat="1" applyFont="1" applyFill="1" applyBorder="1"/>
    <xf numFmtId="164" fontId="74" fillId="3" borderId="13" xfId="0" applyNumberFormat="1" applyFont="1" applyFill="1" applyBorder="1" applyProtection="1"/>
    <xf numFmtId="164" fontId="74" fillId="3" borderId="0" xfId="0" applyNumberFormat="1" applyFont="1" applyFill="1" applyBorder="1" applyProtection="1"/>
    <xf numFmtId="0" fontId="74" fillId="2" borderId="25" xfId="0" applyFont="1" applyFill="1" applyBorder="1" applyProtection="1">
      <protection locked="0"/>
    </xf>
    <xf numFmtId="164" fontId="74" fillId="2" borderId="17" xfId="0" applyNumberFormat="1" applyFont="1" applyFill="1" applyBorder="1" applyProtection="1">
      <protection locked="0"/>
    </xf>
    <xf numFmtId="164" fontId="74" fillId="3" borderId="0" xfId="0" applyNumberFormat="1" applyFont="1" applyFill="1" applyBorder="1" applyProtection="1">
      <protection locked="0"/>
    </xf>
    <xf numFmtId="0" fontId="74" fillId="2" borderId="25" xfId="0" applyFont="1" applyFill="1" applyBorder="1" applyProtection="1"/>
    <xf numFmtId="164" fontId="74" fillId="2" borderId="13" xfId="0" applyNumberFormat="1" applyFont="1" applyFill="1" applyBorder="1" applyProtection="1"/>
    <xf numFmtId="164" fontId="74" fillId="2" borderId="25" xfId="0" applyNumberFormat="1" applyFont="1" applyFill="1" applyBorder="1" applyProtection="1"/>
    <xf numFmtId="164" fontId="74" fillId="3" borderId="25" xfId="0" applyNumberFormat="1" applyFont="1" applyFill="1" applyBorder="1"/>
    <xf numFmtId="164" fontId="74" fillId="2" borderId="18" xfId="0" applyNumberFormat="1" applyFont="1" applyFill="1" applyBorder="1" applyProtection="1">
      <protection locked="0"/>
    </xf>
    <xf numFmtId="0" fontId="74" fillId="0" borderId="0" xfId="0" applyFont="1" applyFill="1" applyBorder="1"/>
    <xf numFmtId="10" fontId="74" fillId="2" borderId="25" xfId="0" applyNumberFormat="1" applyFont="1" applyFill="1" applyBorder="1" applyProtection="1">
      <protection locked="0"/>
    </xf>
    <xf numFmtId="164" fontId="74" fillId="3" borderId="17" xfId="0" applyNumberFormat="1" applyFont="1" applyFill="1" applyBorder="1"/>
    <xf numFmtId="10" fontId="74" fillId="2" borderId="25" xfId="1" applyNumberFormat="1" applyFont="1" applyFill="1" applyBorder="1" applyProtection="1"/>
    <xf numFmtId="38" fontId="0" fillId="0" borderId="0" xfId="0" applyNumberFormat="1"/>
    <xf numFmtId="44" fontId="0" fillId="2" borderId="25" xfId="19" applyFont="1" applyFill="1" applyBorder="1" applyProtection="1">
      <protection locked="0"/>
    </xf>
    <xf numFmtId="166" fontId="0" fillId="2" borderId="25" xfId="84" applyNumberFormat="1" applyFont="1" applyFill="1" applyBorder="1"/>
    <xf numFmtId="166" fontId="0" fillId="2" borderId="25" xfId="84" applyNumberFormat="1" applyFont="1" applyFill="1" applyBorder="1" applyProtection="1">
      <protection locked="0"/>
    </xf>
    <xf numFmtId="168" fontId="0" fillId="2" borderId="25" xfId="58" applyNumberFormat="1" applyFont="1" applyFill="1" applyBorder="1" applyProtection="1">
      <protection locked="0"/>
    </xf>
    <xf numFmtId="166" fontId="0" fillId="2" borderId="25" xfId="84" applyNumberFormat="1" applyFont="1" applyFill="1" applyBorder="1" applyProtection="1"/>
    <xf numFmtId="168" fontId="0" fillId="2" borderId="25" xfId="58" applyNumberFormat="1" applyFont="1" applyFill="1" applyBorder="1" applyProtection="1"/>
    <xf numFmtId="3" fontId="27" fillId="2" borderId="25" xfId="2" applyNumberFormat="1" applyFill="1" applyBorder="1" applyProtection="1">
      <protection locked="0"/>
    </xf>
    <xf numFmtId="164" fontId="27" fillId="2" borderId="25" xfId="2" applyNumberFormat="1" applyFill="1" applyBorder="1" applyProtection="1">
      <protection locked="0"/>
    </xf>
    <xf numFmtId="164" fontId="27" fillId="2" borderId="25" xfId="2" applyNumberFormat="1" applyFill="1" applyBorder="1"/>
    <xf numFmtId="164" fontId="27" fillId="0" borderId="25" xfId="2" applyNumberFormat="1" applyFill="1" applyBorder="1"/>
    <xf numFmtId="3" fontId="27" fillId="2" borderId="25" xfId="2" applyNumberFormat="1" applyFill="1" applyBorder="1"/>
    <xf numFmtId="0" fontId="27" fillId="2" borderId="25" xfId="2" applyFill="1" applyBorder="1" applyProtection="1"/>
    <xf numFmtId="164" fontId="27" fillId="2" borderId="25" xfId="2" applyNumberFormat="1" applyFill="1" applyBorder="1" applyProtection="1"/>
    <xf numFmtId="164" fontId="27" fillId="3" borderId="25" xfId="2" applyNumberFormat="1" applyFill="1" applyBorder="1"/>
    <xf numFmtId="3" fontId="27" fillId="2" borderId="25" xfId="2" applyNumberFormat="1" applyFill="1" applyBorder="1" applyProtection="1"/>
    <xf numFmtId="10" fontId="27" fillId="5" borderId="25" xfId="2" applyNumberFormat="1" applyFill="1" applyBorder="1" applyProtection="1">
      <protection locked="0"/>
    </xf>
    <xf numFmtId="164" fontId="27" fillId="5" borderId="25" xfId="2" applyNumberFormat="1" applyFill="1" applyBorder="1" applyProtection="1">
      <protection locked="0"/>
    </xf>
    <xf numFmtId="7" fontId="27" fillId="5" borderId="25" xfId="2" applyNumberFormat="1" applyFill="1" applyBorder="1" applyProtection="1">
      <protection locked="0"/>
    </xf>
    <xf numFmtId="10" fontId="0" fillId="2" borderId="25" xfId="15" applyNumberFormat="1" applyFont="1" applyFill="1" applyBorder="1" applyProtection="1"/>
    <xf numFmtId="0" fontId="79" fillId="0" borderId="0" xfId="0" applyFont="1"/>
    <xf numFmtId="0" fontId="28" fillId="0" borderId="0" xfId="0" applyFont="1" applyAlignment="1">
      <alignment horizontal="center"/>
    </xf>
    <xf numFmtId="168" fontId="0" fillId="2" borderId="25" xfId="58" applyNumberFormat="1" applyFont="1" applyFill="1" applyBorder="1"/>
    <xf numFmtId="168" fontId="0" fillId="0" borderId="25" xfId="58" applyNumberFormat="1" applyFont="1" applyFill="1" applyBorder="1"/>
    <xf numFmtId="168" fontId="0" fillId="3" borderId="19" xfId="58" applyNumberFormat="1" applyFont="1" applyFill="1" applyBorder="1"/>
    <xf numFmtId="3" fontId="27" fillId="5" borderId="25" xfId="0" applyNumberFormat="1" applyFont="1" applyFill="1" applyBorder="1" applyProtection="1">
      <protection locked="0"/>
    </xf>
    <xf numFmtId="168" fontId="27" fillId="2" borderId="25" xfId="58" applyNumberFormat="1" applyFont="1" applyFill="1" applyBorder="1"/>
    <xf numFmtId="49" fontId="28" fillId="2" borderId="14" xfId="0" applyNumberFormat="1" applyFont="1" applyFill="1" applyBorder="1" applyAlignment="1" applyProtection="1">
      <protection locked="0"/>
    </xf>
    <xf numFmtId="49" fontId="28" fillId="2" borderId="15" xfId="0" applyNumberFormat="1" applyFont="1" applyFill="1" applyBorder="1" applyAlignment="1" applyProtection="1">
      <protection locked="0"/>
    </xf>
    <xf numFmtId="168" fontId="0" fillId="3" borderId="13" xfId="58" applyNumberFormat="1" applyFont="1" applyFill="1" applyBorder="1" applyProtection="1"/>
    <xf numFmtId="168" fontId="0" fillId="3" borderId="25" xfId="58" applyNumberFormat="1" applyFont="1" applyFill="1" applyBorder="1"/>
    <xf numFmtId="167" fontId="0" fillId="2" borderId="25" xfId="0" applyNumberFormat="1" applyFill="1" applyBorder="1" applyProtection="1"/>
    <xf numFmtId="10" fontId="0" fillId="2" borderId="25" xfId="60" applyNumberFormat="1" applyFont="1" applyFill="1" applyBorder="1" applyProtection="1"/>
    <xf numFmtId="44" fontId="0" fillId="2" borderId="25" xfId="19" applyFont="1" applyFill="1" applyBorder="1"/>
    <xf numFmtId="166" fontId="0" fillId="2" borderId="25" xfId="18" applyNumberFormat="1" applyFont="1" applyFill="1" applyBorder="1"/>
    <xf numFmtId="43" fontId="0" fillId="2" borderId="25" xfId="18" applyFont="1" applyFill="1" applyBorder="1" applyProtection="1"/>
    <xf numFmtId="44" fontId="0" fillId="2" borderId="25" xfId="19" applyFont="1" applyFill="1" applyBorder="1" applyProtection="1"/>
    <xf numFmtId="0" fontId="63" fillId="0" borderId="0" xfId="0" applyFont="1"/>
    <xf numFmtId="0" fontId="69" fillId="0" borderId="0" xfId="0" applyFont="1" applyAlignment="1">
      <alignment horizontal="center"/>
    </xf>
    <xf numFmtId="0" fontId="63" fillId="3" borderId="0" xfId="0" applyFont="1" applyFill="1" applyBorder="1" applyAlignment="1">
      <alignment horizontal="center"/>
    </xf>
    <xf numFmtId="3" fontId="0" fillId="2" borderId="25" xfId="0" applyNumberFormat="1" applyFill="1" applyBorder="1" applyProtection="1"/>
    <xf numFmtId="10" fontId="73" fillId="5" borderId="25" xfId="2" applyNumberFormat="1" applyFont="1" applyFill="1" applyBorder="1"/>
    <xf numFmtId="3" fontId="0" fillId="0" borderId="17" xfId="0" applyNumberFormat="1" applyFill="1" applyBorder="1"/>
    <xf numFmtId="164" fontId="0" fillId="0" borderId="17" xfId="0" applyNumberFormat="1" applyFill="1" applyBorder="1"/>
    <xf numFmtId="3" fontId="0" fillId="5" borderId="25" xfId="0" applyNumberFormat="1" applyFill="1" applyBorder="1"/>
    <xf numFmtId="49" fontId="0" fillId="2" borderId="26" xfId="0" applyNumberFormat="1" applyFont="1" applyFill="1" applyBorder="1" applyAlignment="1" applyProtection="1">
      <protection locked="0"/>
    </xf>
    <xf numFmtId="3" fontId="0" fillId="2" borderId="25" xfId="0" applyNumberFormat="1" applyFill="1" applyBorder="1" applyAlignment="1" applyProtection="1">
      <alignment horizontal="center"/>
      <protection locked="0"/>
    </xf>
    <xf numFmtId="42" fontId="0" fillId="5" borderId="25" xfId="84" applyNumberFormat="1" applyFont="1" applyFill="1" applyBorder="1" applyProtection="1">
      <protection locked="0"/>
    </xf>
    <xf numFmtId="42" fontId="28" fillId="0" borderId="0" xfId="84" applyNumberFormat="1" applyFont="1" applyAlignment="1">
      <alignment horizontal="center" wrapText="1"/>
    </xf>
    <xf numFmtId="42" fontId="0" fillId="0" borderId="0" xfId="84" applyNumberFormat="1" applyFont="1"/>
    <xf numFmtId="37" fontId="0" fillId="2" borderId="25" xfId="84" applyNumberFormat="1" applyFont="1" applyFill="1" applyBorder="1" applyProtection="1">
      <protection locked="0"/>
    </xf>
    <xf numFmtId="168" fontId="0" fillId="5" borderId="25" xfId="58" applyNumberFormat="1" applyFont="1" applyFill="1" applyBorder="1" applyProtection="1">
      <protection locked="0"/>
    </xf>
    <xf numFmtId="168" fontId="0" fillId="5" borderId="25" xfId="58" applyNumberFormat="1" applyFont="1" applyFill="1" applyBorder="1"/>
    <xf numFmtId="43" fontId="0" fillId="2" borderId="25" xfId="84" applyFont="1" applyFill="1" applyBorder="1" applyProtection="1">
      <protection locked="0"/>
    </xf>
    <xf numFmtId="43" fontId="27" fillId="2" borderId="25" xfId="84" applyFont="1" applyFill="1" applyBorder="1" applyProtection="1">
      <protection locked="0"/>
    </xf>
    <xf numFmtId="43" fontId="0" fillId="0" borderId="0" xfId="84" applyFont="1"/>
    <xf numFmtId="42" fontId="0" fillId="0" borderId="0" xfId="84" applyNumberFormat="1" applyFont="1" applyFill="1"/>
    <xf numFmtId="37" fontId="0" fillId="2" borderId="25" xfId="84" applyNumberFormat="1" applyFont="1" applyFill="1" applyBorder="1"/>
    <xf numFmtId="42" fontId="0" fillId="5" borderId="25" xfId="84" applyNumberFormat="1" applyFont="1" applyFill="1" applyBorder="1"/>
    <xf numFmtId="42" fontId="0" fillId="0" borderId="20" xfId="84" applyNumberFormat="1" applyFont="1" applyFill="1" applyBorder="1"/>
    <xf numFmtId="168" fontId="0" fillId="0" borderId="17" xfId="58" applyNumberFormat="1" applyFont="1" applyFill="1" applyBorder="1"/>
    <xf numFmtId="42" fontId="0" fillId="0" borderId="0" xfId="84" applyNumberFormat="1" applyFont="1" applyFill="1" applyBorder="1"/>
    <xf numFmtId="168" fontId="0" fillId="0" borderId="10" xfId="58" applyNumberFormat="1" applyFont="1" applyBorder="1"/>
    <xf numFmtId="42" fontId="0" fillId="5" borderId="25" xfId="0" applyNumberFormat="1" applyFill="1" applyBorder="1"/>
    <xf numFmtId="42" fontId="0" fillId="5" borderId="17" xfId="0" applyNumberFormat="1" applyFill="1" applyBorder="1"/>
    <xf numFmtId="37" fontId="0" fillId="5" borderId="25" xfId="84" applyNumberFormat="1" applyFont="1" applyFill="1" applyBorder="1" applyProtection="1">
      <protection locked="0"/>
    </xf>
    <xf numFmtId="37" fontId="0" fillId="0" borderId="0" xfId="84" applyNumberFormat="1" applyFont="1"/>
    <xf numFmtId="0" fontId="0" fillId="0" borderId="0" xfId="0" applyFill="1" applyBorder="1" applyAlignment="1">
      <alignment horizontal="left"/>
    </xf>
    <xf numFmtId="42" fontId="28" fillId="0" borderId="0" xfId="84" applyNumberFormat="1" applyFont="1" applyBorder="1" applyAlignment="1">
      <alignment horizontal="center" wrapText="1"/>
    </xf>
    <xf numFmtId="42" fontId="0" fillId="3" borderId="0" xfId="84" applyNumberFormat="1" applyFont="1" applyFill="1" applyBorder="1"/>
    <xf numFmtId="43" fontId="0" fillId="2" borderId="17" xfId="84" applyFont="1" applyFill="1" applyBorder="1" applyProtection="1">
      <protection locked="0"/>
    </xf>
    <xf numFmtId="42" fontId="0" fillId="5" borderId="17" xfId="84" applyNumberFormat="1" applyFont="1" applyFill="1" applyBorder="1" applyProtection="1">
      <protection locked="0"/>
    </xf>
    <xf numFmtId="43" fontId="0" fillId="3" borderId="0" xfId="84" applyFont="1" applyFill="1" applyBorder="1" applyProtection="1">
      <protection locked="0"/>
    </xf>
    <xf numFmtId="42" fontId="0" fillId="3" borderId="0" xfId="84" applyNumberFormat="1" applyFont="1" applyFill="1" applyBorder="1" applyProtection="1">
      <protection locked="0"/>
    </xf>
    <xf numFmtId="43" fontId="0" fillId="2" borderId="25" xfId="84" applyFont="1" applyFill="1" applyBorder="1" applyProtection="1"/>
    <xf numFmtId="42" fontId="0" fillId="5" borderId="25" xfId="84" applyNumberFormat="1" applyFont="1" applyFill="1" applyBorder="1" applyProtection="1"/>
    <xf numFmtId="168" fontId="0" fillId="5" borderId="13" xfId="58" applyNumberFormat="1" applyFont="1" applyFill="1" applyBorder="1" applyProtection="1"/>
    <xf numFmtId="168" fontId="0" fillId="5" borderId="25" xfId="58" applyNumberFormat="1" applyFont="1" applyFill="1" applyBorder="1" applyProtection="1"/>
    <xf numFmtId="168" fontId="0" fillId="0" borderId="0" xfId="58" applyNumberFormat="1" applyFont="1" applyFill="1"/>
    <xf numFmtId="168" fontId="0" fillId="8" borderId="0" xfId="58" applyNumberFormat="1" applyFont="1" applyFill="1"/>
    <xf numFmtId="168" fontId="0" fillId="8" borderId="25" xfId="58" applyNumberFormat="1" applyFont="1" applyFill="1" applyBorder="1"/>
    <xf numFmtId="37" fontId="0" fillId="2" borderId="25" xfId="84" applyNumberFormat="1" applyFont="1" applyFill="1" applyBorder="1" applyProtection="1"/>
    <xf numFmtId="42" fontId="0" fillId="2" borderId="25" xfId="84" applyNumberFormat="1" applyFont="1" applyFill="1" applyBorder="1" applyProtection="1"/>
    <xf numFmtId="42" fontId="0" fillId="0" borderId="0" xfId="84" applyNumberFormat="1" applyFont="1" applyFill="1" applyBorder="1" applyProtection="1"/>
    <xf numFmtId="42" fontId="0" fillId="5" borderId="18" xfId="84" applyNumberFormat="1" applyFont="1" applyFill="1" applyBorder="1" applyProtection="1">
      <protection locked="0"/>
    </xf>
    <xf numFmtId="42" fontId="0" fillId="2" borderId="25" xfId="0" applyNumberFormat="1" applyFill="1" applyBorder="1"/>
    <xf numFmtId="166" fontId="0" fillId="5" borderId="25" xfId="84" applyNumberFormat="1" applyFont="1" applyFill="1" applyBorder="1"/>
    <xf numFmtId="10" fontId="11" fillId="5" borderId="25" xfId="52" applyNumberFormat="1" applyFill="1" applyBorder="1" applyProtection="1">
      <protection locked="0"/>
    </xf>
    <xf numFmtId="42" fontId="0" fillId="2" borderId="25" xfId="0" applyNumberFormat="1" applyFill="1" applyBorder="1" applyProtection="1">
      <protection locked="0"/>
    </xf>
    <xf numFmtId="167" fontId="0" fillId="5" borderId="25" xfId="0" applyNumberFormat="1" applyFill="1" applyBorder="1" applyProtection="1">
      <protection locked="0"/>
    </xf>
    <xf numFmtId="1" fontId="0" fillId="2" borderId="17" xfId="0" applyNumberFormat="1" applyFill="1" applyBorder="1"/>
    <xf numFmtId="42" fontId="0" fillId="5" borderId="17" xfId="84" applyNumberFormat="1" applyFont="1" applyFill="1" applyBorder="1"/>
    <xf numFmtId="168" fontId="0" fillId="5" borderId="17" xfId="58" applyNumberFormat="1" applyFont="1" applyFill="1" applyBorder="1"/>
    <xf numFmtId="1" fontId="0" fillId="0" borderId="20" xfId="0" applyNumberFormat="1" applyBorder="1"/>
    <xf numFmtId="42" fontId="0" fillId="0" borderId="20" xfId="84" applyNumberFormat="1" applyFont="1" applyBorder="1"/>
    <xf numFmtId="1" fontId="0" fillId="2" borderId="21" xfId="0" applyNumberFormat="1" applyFill="1" applyBorder="1"/>
    <xf numFmtId="42" fontId="0" fillId="5" borderId="21" xfId="84" applyNumberFormat="1" applyFont="1" applyFill="1" applyBorder="1"/>
    <xf numFmtId="168" fontId="0" fillId="5" borderId="21" xfId="58" applyNumberFormat="1" applyFont="1" applyFill="1" applyBorder="1"/>
    <xf numFmtId="166" fontId="0" fillId="2" borderId="25" xfId="18" applyNumberFormat="1" applyFont="1" applyFill="1" applyBorder="1" applyProtection="1">
      <protection locked="0"/>
    </xf>
    <xf numFmtId="10" fontId="0" fillId="2" borderId="25" xfId="1" applyNumberFormat="1" applyFont="1" applyFill="1" applyBorder="1" applyProtection="1">
      <protection locked="0"/>
    </xf>
    <xf numFmtId="167" fontId="0" fillId="2" borderId="25" xfId="0" applyNumberFormat="1" applyFill="1" applyBorder="1"/>
    <xf numFmtId="164" fontId="0" fillId="5" borderId="25" xfId="0" applyNumberFormat="1" applyFill="1" applyBorder="1" applyProtection="1">
      <protection locked="0"/>
    </xf>
    <xf numFmtId="164" fontId="0" fillId="5" borderId="25" xfId="0" applyNumberFormat="1" applyFill="1" applyBorder="1"/>
    <xf numFmtId="49" fontId="0" fillId="0" borderId="22" xfId="0" applyNumberFormat="1" applyFill="1" applyBorder="1" applyAlignment="1" applyProtection="1">
      <protection locked="0"/>
    </xf>
    <xf numFmtId="49" fontId="0" fillId="0" borderId="10" xfId="0" applyNumberFormat="1" applyFill="1" applyBorder="1" applyAlignment="1" applyProtection="1">
      <protection locked="0"/>
    </xf>
    <xf numFmtId="49" fontId="0" fillId="0" borderId="15" xfId="0" applyNumberFormat="1" applyFill="1" applyBorder="1" applyAlignment="1" applyProtection="1">
      <protection locked="0"/>
    </xf>
    <xf numFmtId="0" fontId="27" fillId="0" borderId="13" xfId="0" applyFont="1" applyFill="1" applyBorder="1"/>
    <xf numFmtId="49" fontId="0" fillId="0" borderId="14" xfId="0" applyNumberFormat="1" applyFill="1" applyBorder="1" applyAlignment="1" applyProtection="1">
      <protection locked="0"/>
    </xf>
    <xf numFmtId="164" fontId="0" fillId="5" borderId="25" xfId="58" applyNumberFormat="1" applyFont="1" applyFill="1" applyBorder="1"/>
    <xf numFmtId="49" fontId="0" fillId="0" borderId="13" xfId="0" applyNumberFormat="1" applyFill="1" applyBorder="1" applyAlignment="1" applyProtection="1">
      <protection locked="0"/>
    </xf>
    <xf numFmtId="49" fontId="27" fillId="0" borderId="13" xfId="0" applyNumberFormat="1" applyFont="1" applyFill="1" applyBorder="1" applyAlignment="1" applyProtection="1">
      <protection locked="0"/>
    </xf>
    <xf numFmtId="164" fontId="0" fillId="0" borderId="25" xfId="0" applyNumberFormat="1" applyFill="1" applyBorder="1" applyProtection="1">
      <protection locked="0"/>
    </xf>
    <xf numFmtId="10" fontId="0" fillId="0" borderId="25" xfId="0" applyNumberFormat="1" applyFill="1" applyBorder="1" applyProtection="1">
      <protection locked="0"/>
    </xf>
    <xf numFmtId="164" fontId="0" fillId="0" borderId="25" xfId="0" applyNumberFormat="1" applyFill="1" applyBorder="1" applyProtection="1"/>
    <xf numFmtId="5" fontId="27" fillId="2" borderId="25" xfId="2" applyNumberFormat="1" applyFill="1" applyBorder="1" applyProtection="1">
      <protection locked="0"/>
    </xf>
    <xf numFmtId="3" fontId="27" fillId="2" borderId="25" xfId="2" applyNumberFormat="1" applyFont="1" applyFill="1" applyBorder="1" applyProtection="1">
      <protection locked="0"/>
    </xf>
    <xf numFmtId="167" fontId="27" fillId="2" borderId="25" xfId="2" applyNumberFormat="1" applyFill="1" applyBorder="1"/>
    <xf numFmtId="166" fontId="27" fillId="2" borderId="25" xfId="18" applyNumberFormat="1" applyFont="1" applyFill="1" applyBorder="1"/>
    <xf numFmtId="164" fontId="27" fillId="3" borderId="22" xfId="2" applyNumberFormat="1" applyFill="1" applyBorder="1" applyProtection="1"/>
    <xf numFmtId="167" fontId="27" fillId="2" borderId="25" xfId="2" applyNumberFormat="1" applyFill="1" applyBorder="1" applyProtection="1"/>
    <xf numFmtId="37" fontId="27" fillId="2" borderId="25" xfId="2" applyNumberFormat="1" applyFill="1" applyBorder="1" applyProtection="1">
      <protection locked="0"/>
    </xf>
    <xf numFmtId="167" fontId="27" fillId="2" borderId="25" xfId="2" applyNumberFormat="1" applyFill="1" applyBorder="1" applyProtection="1">
      <protection locked="0"/>
    </xf>
    <xf numFmtId="10" fontId="27" fillId="2" borderId="25" xfId="2" applyNumberFormat="1" applyFill="1" applyBorder="1" applyProtection="1">
      <protection locked="0"/>
    </xf>
    <xf numFmtId="7" fontId="27" fillId="2" borderId="25" xfId="2" applyNumberFormat="1" applyFill="1" applyBorder="1"/>
    <xf numFmtId="10" fontId="27" fillId="2" borderId="25" xfId="15" applyNumberFormat="1" applyFont="1" applyFill="1" applyBorder="1" applyProtection="1"/>
    <xf numFmtId="0" fontId="74" fillId="0" borderId="0" xfId="0" applyFont="1" applyFill="1" applyAlignment="1">
      <alignment horizontal="centerContinuous"/>
    </xf>
    <xf numFmtId="166" fontId="74" fillId="0" borderId="0" xfId="59" applyNumberFormat="1" applyFont="1" applyAlignment="1">
      <alignment horizontal="center" wrapText="1"/>
    </xf>
    <xf numFmtId="41" fontId="74" fillId="0" borderId="0" xfId="59" applyNumberFormat="1" applyFont="1"/>
    <xf numFmtId="169" fontId="74" fillId="0" borderId="0" xfId="0" applyNumberFormat="1" applyFont="1"/>
    <xf numFmtId="0" fontId="74" fillId="0" borderId="0" xfId="0" applyFont="1" applyFill="1"/>
    <xf numFmtId="41" fontId="74" fillId="0" borderId="0" xfId="59" applyNumberFormat="1" applyFont="1" applyAlignment="1">
      <alignment horizontal="center"/>
    </xf>
    <xf numFmtId="169" fontId="74" fillId="0" borderId="0" xfId="59" applyNumberFormat="1" applyFont="1" applyAlignment="1">
      <alignment horizontal="center"/>
    </xf>
    <xf numFmtId="0" fontId="75" fillId="0" borderId="0" xfId="0" applyFont="1" applyFill="1" applyAlignment="1">
      <alignment horizontal="center" wrapText="1"/>
    </xf>
    <xf numFmtId="169" fontId="74" fillId="0" borderId="0" xfId="60" applyNumberFormat="1" applyFont="1" applyAlignment="1">
      <alignment horizontal="center"/>
    </xf>
    <xf numFmtId="168" fontId="74" fillId="2" borderId="25" xfId="19" applyNumberFormat="1" applyFont="1" applyFill="1" applyBorder="1" applyProtection="1">
      <protection locked="0"/>
    </xf>
    <xf numFmtId="164" fontId="74" fillId="0" borderId="0" xfId="0" applyNumberFormat="1" applyFont="1" applyFill="1" applyBorder="1"/>
    <xf numFmtId="169" fontId="74" fillId="0" borderId="0" xfId="60" applyNumberFormat="1" applyFont="1"/>
    <xf numFmtId="168" fontId="74" fillId="2" borderId="25" xfId="19" applyNumberFormat="1" applyFont="1" applyFill="1" applyBorder="1"/>
    <xf numFmtId="164" fontId="74" fillId="0" borderId="0" xfId="0" applyNumberFormat="1" applyFont="1" applyFill="1" applyBorder="1" applyProtection="1"/>
    <xf numFmtId="166" fontId="74" fillId="0" borderId="0" xfId="59" applyNumberFormat="1" applyFont="1"/>
    <xf numFmtId="168" fontId="74" fillId="5" borderId="25" xfId="19" applyNumberFormat="1" applyFont="1" applyFill="1" applyBorder="1" applyProtection="1">
      <protection locked="0"/>
    </xf>
    <xf numFmtId="168" fontId="74" fillId="5" borderId="13" xfId="19" applyNumberFormat="1" applyFont="1" applyFill="1" applyBorder="1" applyProtection="1">
      <protection locked="0"/>
    </xf>
    <xf numFmtId="41" fontId="81" fillId="0" borderId="0" xfId="59" applyNumberFormat="1" applyFont="1"/>
    <xf numFmtId="9" fontId="74" fillId="0" borderId="0" xfId="60" applyFont="1"/>
    <xf numFmtId="0" fontId="75" fillId="0" borderId="0" xfId="0" applyFont="1" applyFill="1" applyBorder="1" applyAlignment="1">
      <alignment horizontal="center" wrapText="1"/>
    </xf>
    <xf numFmtId="168" fontId="74" fillId="2" borderId="25" xfId="19" applyNumberFormat="1" applyFont="1" applyFill="1" applyBorder="1" applyProtection="1"/>
    <xf numFmtId="3" fontId="74" fillId="0" borderId="0" xfId="0" applyNumberFormat="1" applyFont="1" applyFill="1" applyBorder="1"/>
    <xf numFmtId="166" fontId="74" fillId="0" borderId="0" xfId="59" applyNumberFormat="1" applyFont="1" applyBorder="1" applyAlignment="1">
      <alignment horizontal="center" wrapText="1"/>
    </xf>
    <xf numFmtId="43" fontId="74" fillId="0" borderId="0" xfId="59" applyFont="1" applyBorder="1"/>
    <xf numFmtId="169" fontId="74" fillId="0" borderId="0" xfId="0" applyNumberFormat="1" applyFont="1" applyBorder="1"/>
    <xf numFmtId="166" fontId="75" fillId="2" borderId="25" xfId="59" applyNumberFormat="1" applyFont="1" applyFill="1" applyBorder="1" applyProtection="1">
      <protection locked="0"/>
    </xf>
    <xf numFmtId="169" fontId="81" fillId="0" borderId="0" xfId="60" applyNumberFormat="1" applyFont="1"/>
    <xf numFmtId="10" fontId="28" fillId="2" borderId="25" xfId="0" applyNumberFormat="1" applyFont="1" applyFill="1" applyBorder="1" applyProtection="1">
      <protection locked="0"/>
    </xf>
    <xf numFmtId="10" fontId="74" fillId="0" borderId="0" xfId="60" applyNumberFormat="1" applyFont="1" applyAlignment="1">
      <alignment horizontal="center" wrapText="1"/>
    </xf>
    <xf numFmtId="41" fontId="74" fillId="0" borderId="0" xfId="60" applyNumberFormat="1" applyFont="1"/>
    <xf numFmtId="167" fontId="28" fillId="2" borderId="25" xfId="0" applyNumberFormat="1" applyFont="1" applyFill="1" applyBorder="1" applyProtection="1">
      <protection locked="0"/>
    </xf>
    <xf numFmtId="167" fontId="28" fillId="2" borderId="25" xfId="0" applyNumberFormat="1" applyFont="1" applyFill="1" applyBorder="1" applyProtection="1"/>
    <xf numFmtId="10" fontId="74" fillId="2" borderId="25" xfId="60" applyNumberFormat="1" applyFont="1" applyFill="1" applyBorder="1" applyProtection="1"/>
    <xf numFmtId="166" fontId="75" fillId="0" borderId="0" xfId="59" applyNumberFormat="1" applyFont="1" applyFill="1" applyBorder="1"/>
    <xf numFmtId="3" fontId="75" fillId="0" borderId="0" xfId="0" applyNumberFormat="1" applyFont="1" applyFill="1" applyBorder="1"/>
    <xf numFmtId="164" fontId="75" fillId="0" borderId="0" xfId="0" applyNumberFormat="1" applyFont="1" applyFill="1" applyBorder="1"/>
    <xf numFmtId="0" fontId="75" fillId="0" borderId="0" xfId="0" applyFont="1" applyFill="1" applyBorder="1"/>
    <xf numFmtId="10" fontId="75" fillId="0" borderId="0" xfId="60" applyNumberFormat="1" applyFont="1" applyFill="1" applyBorder="1" applyProtection="1"/>
    <xf numFmtId="10" fontId="74" fillId="0" borderId="0" xfId="60" applyNumberFormat="1" applyFont="1" applyAlignment="1">
      <alignment horizontal="right" wrapText="1"/>
    </xf>
    <xf numFmtId="9" fontId="0" fillId="0" borderId="0" xfId="1" applyFont="1"/>
    <xf numFmtId="166" fontId="27" fillId="0" borderId="0" xfId="59" applyNumberFormat="1" applyFont="1" applyAlignment="1">
      <alignment horizontal="center" wrapText="1"/>
    </xf>
    <xf numFmtId="166" fontId="0" fillId="0" borderId="0" xfId="59" applyNumberFormat="1" applyFont="1" applyAlignment="1">
      <alignment horizontal="center" wrapText="1"/>
    </xf>
    <xf numFmtId="168" fontId="0" fillId="2" borderId="25" xfId="19" applyNumberFormat="1" applyFont="1" applyFill="1" applyBorder="1" applyProtection="1">
      <protection locked="0"/>
    </xf>
    <xf numFmtId="168" fontId="0" fillId="2" borderId="25" xfId="19" applyNumberFormat="1" applyFont="1" applyFill="1" applyBorder="1"/>
    <xf numFmtId="0" fontId="28" fillId="5" borderId="0" xfId="0" applyFont="1" applyFill="1" applyAlignment="1">
      <alignment horizontal="right"/>
    </xf>
    <xf numFmtId="168" fontId="0" fillId="2" borderId="25" xfId="19" applyNumberFormat="1" applyFont="1" applyFill="1" applyBorder="1" applyAlignment="1" applyProtection="1">
      <alignment horizontal="right"/>
      <protection locked="0"/>
    </xf>
    <xf numFmtId="168" fontId="0" fillId="5" borderId="25" xfId="19" applyNumberFormat="1" applyFont="1" applyFill="1" applyBorder="1" applyProtection="1">
      <protection locked="0"/>
    </xf>
    <xf numFmtId="168" fontId="27" fillId="2" borderId="25" xfId="19" applyNumberFormat="1" applyFont="1" applyFill="1" applyBorder="1" applyProtection="1">
      <protection locked="0"/>
    </xf>
    <xf numFmtId="168" fontId="0" fillId="2" borderId="25" xfId="19" applyNumberFormat="1" applyFont="1" applyFill="1" applyBorder="1" applyProtection="1"/>
    <xf numFmtId="166" fontId="0" fillId="0" borderId="0" xfId="59" applyNumberFormat="1" applyFont="1" applyBorder="1" applyAlignment="1">
      <alignment horizontal="center" wrapText="1"/>
    </xf>
    <xf numFmtId="168" fontId="27" fillId="0" borderId="0" xfId="19" applyNumberFormat="1" applyFont="1"/>
    <xf numFmtId="44" fontId="0" fillId="0" borderId="0" xfId="19" applyNumberFormat="1" applyFont="1"/>
    <xf numFmtId="171" fontId="0" fillId="0" borderId="0" xfId="19" applyNumberFormat="1" applyFont="1"/>
    <xf numFmtId="10" fontId="0" fillId="0" borderId="0" xfId="60" applyNumberFormat="1" applyFont="1" applyAlignment="1">
      <alignment horizontal="center" wrapText="1"/>
    </xf>
    <xf numFmtId="10" fontId="27" fillId="2" borderId="25" xfId="60" applyNumberFormat="1" applyFont="1" applyFill="1" applyBorder="1" applyProtection="1"/>
    <xf numFmtId="164" fontId="27" fillId="2" borderId="25" xfId="0" applyNumberFormat="1" applyFont="1" applyFill="1" applyBorder="1" applyProtection="1">
      <protection locked="0"/>
    </xf>
    <xf numFmtId="0" fontId="27" fillId="0" borderId="0" xfId="0" applyFont="1" applyAlignment="1">
      <alignment horizontal="left"/>
    </xf>
    <xf numFmtId="0" fontId="27" fillId="0" borderId="0" xfId="0" applyFont="1" applyAlignment="1">
      <alignment horizontal="centerContinuous"/>
    </xf>
    <xf numFmtId="167" fontId="27" fillId="5" borderId="25" xfId="0" applyNumberFormat="1" applyFont="1" applyFill="1" applyBorder="1" applyProtection="1">
      <protection locked="0"/>
    </xf>
    <xf numFmtId="167" fontId="27" fillId="2" borderId="25" xfId="0" applyNumberFormat="1" applyFont="1" applyFill="1" applyBorder="1"/>
    <xf numFmtId="3" fontId="27" fillId="2" borderId="13" xfId="0" applyNumberFormat="1" applyFont="1" applyFill="1" applyBorder="1" applyProtection="1">
      <protection locked="0"/>
    </xf>
    <xf numFmtId="3" fontId="27" fillId="2" borderId="25" xfId="0" applyNumberFormat="1" applyFont="1" applyFill="1" applyBorder="1"/>
    <xf numFmtId="3" fontId="27" fillId="5" borderId="13" xfId="0" applyNumberFormat="1" applyFont="1" applyFill="1" applyBorder="1" applyProtection="1">
      <protection locked="0"/>
    </xf>
    <xf numFmtId="3" fontId="27" fillId="5" borderId="25" xfId="0" applyNumberFormat="1" applyFont="1" applyFill="1" applyBorder="1"/>
    <xf numFmtId="167" fontId="27" fillId="2" borderId="13" xfId="0" applyNumberFormat="1" applyFont="1" applyFill="1" applyBorder="1" applyProtection="1">
      <protection locked="0"/>
    </xf>
    <xf numFmtId="164" fontId="27" fillId="0" borderId="25" xfId="0" applyNumberFormat="1" applyFont="1" applyFill="1" applyBorder="1"/>
    <xf numFmtId="3" fontId="27" fillId="0" borderId="12" xfId="0" applyNumberFormat="1" applyFont="1" applyFill="1" applyBorder="1"/>
    <xf numFmtId="164" fontId="27" fillId="0" borderId="12" xfId="0" applyNumberFormat="1" applyFont="1" applyFill="1" applyBorder="1"/>
    <xf numFmtId="164" fontId="27" fillId="3" borderId="19" xfId="0" applyNumberFormat="1" applyFont="1" applyFill="1" applyBorder="1"/>
    <xf numFmtId="167" fontId="27" fillId="2" borderId="25" xfId="0" applyNumberFormat="1" applyFont="1" applyFill="1" applyBorder="1" applyProtection="1">
      <protection locked="0"/>
    </xf>
    <xf numFmtId="164" fontId="27" fillId="2" borderId="25" xfId="0" applyNumberFormat="1" applyFont="1" applyFill="1" applyBorder="1"/>
    <xf numFmtId="164" fontId="27" fillId="5" borderId="13" xfId="0" applyNumberFormat="1" applyFont="1" applyFill="1" applyBorder="1" applyProtection="1">
      <protection locked="0"/>
    </xf>
    <xf numFmtId="164" fontId="27" fillId="5" borderId="25" xfId="0" applyNumberFormat="1" applyFont="1" applyFill="1" applyBorder="1" applyProtection="1"/>
    <xf numFmtId="1" fontId="27" fillId="2" borderId="25" xfId="0" applyNumberFormat="1" applyFont="1" applyFill="1" applyBorder="1"/>
    <xf numFmtId="0" fontId="27" fillId="0" borderId="12" xfId="0" applyFont="1" applyBorder="1"/>
    <xf numFmtId="166" fontId="27" fillId="5" borderId="25" xfId="18" applyNumberFormat="1" applyFont="1" applyFill="1" applyBorder="1" applyProtection="1">
      <protection locked="0"/>
    </xf>
    <xf numFmtId="49" fontId="27" fillId="5" borderId="13" xfId="0" applyNumberFormat="1" applyFont="1" applyFill="1" applyBorder="1" applyAlignment="1" applyProtection="1">
      <protection locked="0"/>
    </xf>
    <xf numFmtId="49" fontId="27" fillId="5" borderId="14" xfId="0" applyNumberFormat="1" applyFont="1" applyFill="1" applyBorder="1" applyAlignment="1" applyProtection="1">
      <protection locked="0"/>
    </xf>
    <xf numFmtId="49" fontId="27" fillId="5" borderId="15" xfId="0" applyNumberFormat="1" applyFont="1" applyFill="1" applyBorder="1" applyAlignment="1" applyProtection="1">
      <protection locked="0"/>
    </xf>
    <xf numFmtId="166" fontId="27" fillId="2" borderId="25" xfId="18" applyNumberFormat="1" applyFont="1" applyFill="1" applyBorder="1" applyProtection="1">
      <protection locked="0"/>
    </xf>
    <xf numFmtId="164" fontId="27" fillId="3" borderId="13" xfId="0" applyNumberFormat="1" applyFont="1" applyFill="1" applyBorder="1" applyProtection="1"/>
    <xf numFmtId="0" fontId="27" fillId="0" borderId="20" xfId="0" applyFont="1" applyBorder="1"/>
    <xf numFmtId="0" fontId="27" fillId="3" borderId="0" xfId="0" applyFont="1" applyFill="1" applyBorder="1"/>
    <xf numFmtId="164" fontId="27" fillId="3" borderId="0" xfId="0" applyNumberFormat="1" applyFont="1" applyFill="1" applyBorder="1" applyProtection="1"/>
    <xf numFmtId="164" fontId="27" fillId="3" borderId="0" xfId="0" applyNumberFormat="1" applyFont="1" applyFill="1" applyBorder="1"/>
    <xf numFmtId="0" fontId="27" fillId="2" borderId="25" xfId="0" applyFont="1" applyFill="1" applyBorder="1" applyProtection="1">
      <protection locked="0"/>
    </xf>
    <xf numFmtId="3" fontId="27" fillId="2" borderId="17" xfId="0" applyNumberFormat="1" applyFont="1" applyFill="1" applyBorder="1" applyProtection="1">
      <protection locked="0"/>
    </xf>
    <xf numFmtId="164" fontId="27" fillId="2" borderId="17" xfId="0" applyNumberFormat="1" applyFont="1" applyFill="1" applyBorder="1" applyProtection="1">
      <protection locked="0"/>
    </xf>
    <xf numFmtId="49" fontId="27" fillId="2" borderId="10" xfId="0" applyNumberFormat="1" applyFont="1" applyFill="1" applyBorder="1" applyAlignment="1" applyProtection="1">
      <protection locked="0"/>
    </xf>
    <xf numFmtId="49" fontId="27" fillId="2" borderId="16" xfId="0" applyNumberFormat="1" applyFont="1" applyFill="1" applyBorder="1" applyAlignment="1" applyProtection="1">
      <protection locked="0"/>
    </xf>
    <xf numFmtId="3" fontId="27" fillId="3" borderId="0" xfId="0" applyNumberFormat="1" applyFont="1" applyFill="1" applyBorder="1" applyProtection="1">
      <protection locked="0"/>
    </xf>
    <xf numFmtId="164" fontId="27" fillId="3" borderId="0" xfId="0" applyNumberFormat="1" applyFont="1" applyFill="1" applyBorder="1" applyProtection="1">
      <protection locked="0"/>
    </xf>
    <xf numFmtId="0" fontId="27" fillId="2" borderId="25" xfId="0" applyFont="1" applyFill="1" applyBorder="1" applyProtection="1"/>
    <xf numFmtId="164" fontId="27" fillId="2" borderId="13" xfId="0" applyNumberFormat="1" applyFont="1" applyFill="1" applyBorder="1" applyProtection="1"/>
    <xf numFmtId="167" fontId="27" fillId="2" borderId="25" xfId="0" applyNumberFormat="1" applyFont="1" applyFill="1" applyBorder="1" applyProtection="1"/>
    <xf numFmtId="164" fontId="27" fillId="5" borderId="25" xfId="0" applyNumberFormat="1" applyFont="1" applyFill="1" applyBorder="1" applyProtection="1">
      <protection locked="0"/>
    </xf>
    <xf numFmtId="164" fontId="27" fillId="3" borderId="25" xfId="0" applyNumberFormat="1" applyFont="1" applyFill="1" applyBorder="1"/>
    <xf numFmtId="164" fontId="27" fillId="2" borderId="25" xfId="0" applyNumberFormat="1" applyFont="1" applyFill="1" applyBorder="1" applyProtection="1"/>
    <xf numFmtId="3" fontId="27" fillId="2" borderId="18" xfId="0" applyNumberFormat="1" applyFont="1" applyFill="1" applyBorder="1" applyProtection="1">
      <protection locked="0"/>
    </xf>
    <xf numFmtId="164" fontId="27" fillId="2" borderId="18" xfId="0" applyNumberFormat="1" applyFont="1" applyFill="1" applyBorder="1" applyProtection="1">
      <protection locked="0"/>
    </xf>
    <xf numFmtId="0" fontId="27" fillId="0" borderId="10" xfId="0" applyFont="1" applyBorder="1" applyAlignment="1">
      <alignment horizontal="left"/>
    </xf>
    <xf numFmtId="0" fontId="27" fillId="0" borderId="10" xfId="0" applyFont="1" applyBorder="1"/>
    <xf numFmtId="10" fontId="27" fillId="5" borderId="25" xfId="0" applyNumberFormat="1" applyFont="1" applyFill="1" applyBorder="1" applyProtection="1">
      <protection locked="0"/>
    </xf>
    <xf numFmtId="3" fontId="27" fillId="2" borderId="17" xfId="0" applyNumberFormat="1" applyFont="1" applyFill="1" applyBorder="1"/>
    <xf numFmtId="3" fontId="27" fillId="3" borderId="17" xfId="0" applyNumberFormat="1" applyFont="1" applyFill="1" applyBorder="1"/>
    <xf numFmtId="164" fontId="27" fillId="3" borderId="17" xfId="0" applyNumberFormat="1" applyFont="1" applyFill="1" applyBorder="1"/>
    <xf numFmtId="167" fontId="27" fillId="2" borderId="17" xfId="0" applyNumberFormat="1" applyFont="1" applyFill="1" applyBorder="1"/>
    <xf numFmtId="3" fontId="27" fillId="2" borderId="21" xfId="0" applyNumberFormat="1" applyFont="1" applyFill="1" applyBorder="1"/>
    <xf numFmtId="10" fontId="27" fillId="2" borderId="25" xfId="1" applyNumberFormat="1" applyFont="1" applyFill="1" applyBorder="1" applyProtection="1"/>
    <xf numFmtId="172" fontId="0" fillId="2" borderId="25" xfId="84" applyNumberFormat="1" applyFont="1" applyFill="1" applyBorder="1" applyProtection="1">
      <protection locked="0"/>
    </xf>
    <xf numFmtId="3" fontId="0" fillId="8" borderId="25" xfId="0" applyNumberFormat="1" applyFill="1" applyBorder="1" applyProtection="1">
      <protection locked="0"/>
    </xf>
    <xf numFmtId="164" fontId="0" fillId="8" borderId="25" xfId="0" applyNumberFormat="1" applyFill="1" applyBorder="1" applyProtection="1">
      <protection locked="0"/>
    </xf>
    <xf numFmtId="164" fontId="0" fillId="8" borderId="13" xfId="0" applyNumberFormat="1" applyFill="1" applyBorder="1" applyProtection="1">
      <protection locked="0"/>
    </xf>
    <xf numFmtId="164" fontId="0" fillId="8" borderId="25" xfId="0" applyNumberFormat="1" applyFill="1" applyBorder="1"/>
    <xf numFmtId="44" fontId="0" fillId="2" borderId="25" xfId="0" applyNumberFormat="1" applyFill="1" applyBorder="1" applyProtection="1">
      <protection locked="0"/>
    </xf>
    <xf numFmtId="7" fontId="0" fillId="2" borderId="25" xfId="0" applyNumberFormat="1" applyFill="1" applyBorder="1" applyProtection="1"/>
    <xf numFmtId="37" fontId="0" fillId="2" borderId="25" xfId="0" applyNumberFormat="1" applyFill="1" applyBorder="1" applyProtection="1">
      <protection locked="0"/>
    </xf>
    <xf numFmtId="2" fontId="0" fillId="2" borderId="25" xfId="0" applyNumberFormat="1" applyFill="1" applyBorder="1" applyProtection="1">
      <protection locked="0"/>
    </xf>
    <xf numFmtId="2" fontId="0" fillId="2" borderId="25" xfId="0" applyNumberFormat="1" applyFill="1" applyBorder="1" applyProtection="1"/>
    <xf numFmtId="166" fontId="0" fillId="2" borderId="17" xfId="84" applyNumberFormat="1" applyFont="1" applyFill="1" applyBorder="1"/>
    <xf numFmtId="10" fontId="27" fillId="2" borderId="25" xfId="0" applyNumberFormat="1" applyFont="1" applyFill="1" applyBorder="1" applyProtection="1">
      <protection locked="0"/>
    </xf>
    <xf numFmtId="3" fontId="0" fillId="0" borderId="25" xfId="0" applyNumberFormat="1" applyFill="1" applyBorder="1" applyProtection="1">
      <protection locked="0"/>
    </xf>
    <xf numFmtId="167" fontId="0" fillId="0" borderId="25" xfId="0" applyNumberFormat="1" applyFill="1" applyBorder="1" applyProtection="1">
      <protection locked="0"/>
    </xf>
    <xf numFmtId="164" fontId="0" fillId="0" borderId="13" xfId="0" applyNumberFormat="1" applyFill="1" applyBorder="1" applyProtection="1">
      <protection locked="0"/>
    </xf>
    <xf numFmtId="167" fontId="0" fillId="0" borderId="25" xfId="0" applyNumberFormat="1" applyFill="1" applyBorder="1"/>
    <xf numFmtId="167" fontId="0" fillId="0" borderId="13" xfId="0" applyNumberFormat="1" applyFill="1" applyBorder="1" applyProtection="1">
      <protection locked="0"/>
    </xf>
    <xf numFmtId="3" fontId="27" fillId="0" borderId="25" xfId="0" applyNumberFormat="1" applyFont="1" applyFill="1" applyBorder="1" applyProtection="1">
      <protection locked="0"/>
    </xf>
    <xf numFmtId="167" fontId="27" fillId="0" borderId="25" xfId="0" applyNumberFormat="1" applyFont="1" applyFill="1" applyBorder="1" applyProtection="1">
      <protection locked="0"/>
    </xf>
    <xf numFmtId="167" fontId="27" fillId="0" borderId="13" xfId="0" applyNumberFormat="1" applyFont="1" applyFill="1" applyBorder="1" applyProtection="1">
      <protection locked="0"/>
    </xf>
    <xf numFmtId="3" fontId="0" fillId="0" borderId="25" xfId="0" applyNumberFormat="1" applyFill="1" applyBorder="1"/>
    <xf numFmtId="167" fontId="0" fillId="0" borderId="12" xfId="0" applyNumberFormat="1" applyFill="1" applyBorder="1"/>
    <xf numFmtId="167" fontId="0" fillId="3" borderId="19" xfId="0" applyNumberFormat="1" applyFill="1" applyBorder="1"/>
    <xf numFmtId="4" fontId="0" fillId="0" borderId="25" xfId="0" applyNumberFormat="1" applyFill="1" applyBorder="1" applyProtection="1">
      <protection locked="0"/>
    </xf>
    <xf numFmtId="166" fontId="0" fillId="0" borderId="25" xfId="84" applyNumberFormat="1" applyFont="1" applyFill="1" applyBorder="1"/>
    <xf numFmtId="167" fontId="0" fillId="0" borderId="12" xfId="0" applyNumberFormat="1" applyBorder="1"/>
    <xf numFmtId="167" fontId="0" fillId="0" borderId="0" xfId="0" applyNumberFormat="1" applyFill="1"/>
    <xf numFmtId="37" fontId="0" fillId="0" borderId="25" xfId="0" applyNumberFormat="1" applyFill="1" applyBorder="1" applyProtection="1">
      <protection locked="0"/>
    </xf>
    <xf numFmtId="0" fontId="0" fillId="0" borderId="25" xfId="0" applyFill="1" applyBorder="1" applyProtection="1">
      <protection locked="0"/>
    </xf>
    <xf numFmtId="3" fontId="0" fillId="0" borderId="17" xfId="0" applyNumberFormat="1" applyFill="1" applyBorder="1" applyProtection="1">
      <protection locked="0"/>
    </xf>
    <xf numFmtId="167" fontId="0" fillId="0" borderId="17" xfId="0" applyNumberFormat="1" applyFill="1" applyBorder="1" applyProtection="1">
      <protection locked="0"/>
    </xf>
    <xf numFmtId="49" fontId="0" fillId="0" borderId="16" xfId="0" applyNumberFormat="1" applyFill="1" applyBorder="1" applyAlignment="1" applyProtection="1">
      <protection locked="0"/>
    </xf>
    <xf numFmtId="166" fontId="0" fillId="0" borderId="25" xfId="84" applyNumberFormat="1" applyFont="1" applyFill="1" applyBorder="1" applyProtection="1"/>
    <xf numFmtId="167" fontId="0" fillId="0" borderId="25" xfId="0" applyNumberFormat="1" applyFill="1" applyBorder="1" applyProtection="1"/>
    <xf numFmtId="167" fontId="0" fillId="3" borderId="25" xfId="0" applyNumberFormat="1" applyFill="1" applyBorder="1"/>
    <xf numFmtId="0" fontId="0" fillId="12" borderId="25" xfId="0" applyFill="1" applyBorder="1" applyProtection="1"/>
    <xf numFmtId="164" fontId="0" fillId="12" borderId="25" xfId="0" applyNumberFormat="1" applyFill="1" applyBorder="1" applyProtection="1"/>
    <xf numFmtId="167" fontId="0" fillId="12" borderId="25" xfId="0" applyNumberFormat="1" applyFill="1" applyBorder="1" applyProtection="1"/>
    <xf numFmtId="167" fontId="27" fillId="0" borderId="25" xfId="22" applyNumberFormat="1" applyFont="1" applyFill="1" applyBorder="1" applyProtection="1">
      <protection locked="0"/>
    </xf>
    <xf numFmtId="168" fontId="27" fillId="0" borderId="25" xfId="58" applyNumberFormat="1" applyFont="1" applyFill="1" applyBorder="1" applyProtection="1">
      <protection locked="0"/>
    </xf>
    <xf numFmtId="168" fontId="0" fillId="0" borderId="25" xfId="58" applyNumberFormat="1" applyFont="1" applyFill="1" applyBorder="1" applyProtection="1">
      <protection locked="0"/>
    </xf>
    <xf numFmtId="167" fontId="0" fillId="0" borderId="17" xfId="0" applyNumberFormat="1" applyFill="1" applyBorder="1"/>
    <xf numFmtId="166" fontId="0" fillId="0" borderId="21" xfId="84" applyNumberFormat="1" applyFont="1" applyFill="1" applyBorder="1"/>
    <xf numFmtId="3" fontId="0" fillId="0" borderId="21" xfId="0" applyNumberFormat="1" applyFill="1" applyBorder="1"/>
    <xf numFmtId="10" fontId="0" fillId="0" borderId="25" xfId="1" applyNumberFormat="1" applyFont="1" applyFill="1" applyBorder="1" applyProtection="1"/>
    <xf numFmtId="3" fontId="27" fillId="0" borderId="0" xfId="2" applyNumberFormat="1" applyAlignment="1">
      <alignment horizontal="centerContinuous"/>
    </xf>
    <xf numFmtId="3" fontId="27" fillId="0" borderId="0" xfId="2" applyNumberFormat="1"/>
    <xf numFmtId="3" fontId="28" fillId="0" borderId="0" xfId="2" applyNumberFormat="1" applyFont="1" applyAlignment="1">
      <alignment horizontal="right"/>
    </xf>
    <xf numFmtId="3" fontId="28" fillId="0" borderId="0" xfId="2" applyNumberFormat="1" applyFont="1" applyAlignment="1">
      <alignment horizontal="center" wrapText="1"/>
    </xf>
    <xf numFmtId="164" fontId="27" fillId="5" borderId="25" xfId="2" applyNumberFormat="1" applyFill="1" applyBorder="1" applyProtection="1"/>
    <xf numFmtId="3" fontId="27" fillId="0" borderId="12" xfId="2" applyNumberFormat="1" applyBorder="1"/>
    <xf numFmtId="3" fontId="27" fillId="0" borderId="20" xfId="2" applyNumberFormat="1" applyBorder="1"/>
    <xf numFmtId="3" fontId="28" fillId="0" borderId="0" xfId="2" applyNumberFormat="1" applyFont="1" applyBorder="1" applyAlignment="1">
      <alignment horizontal="center" wrapText="1"/>
    </xf>
    <xf numFmtId="3" fontId="27" fillId="3" borderId="0" xfId="2" applyNumberFormat="1" applyFill="1" applyBorder="1"/>
    <xf numFmtId="3" fontId="27" fillId="0" borderId="0" xfId="2" applyNumberFormat="1" applyFill="1" applyBorder="1"/>
    <xf numFmtId="3" fontId="28" fillId="0" borderId="0" xfId="2" applyNumberFormat="1" applyFont="1"/>
    <xf numFmtId="6" fontId="26" fillId="0" borderId="0" xfId="3" applyNumberFormat="1" applyFill="1" applyAlignment="1">
      <alignment horizontal="right"/>
    </xf>
    <xf numFmtId="0" fontId="2" fillId="0" borderId="0" xfId="3" applyFont="1" applyFill="1"/>
    <xf numFmtId="49" fontId="30" fillId="0" borderId="14" xfId="0" applyNumberFormat="1" applyFont="1" applyFill="1" applyBorder="1" applyAlignment="1" applyProtection="1">
      <protection locked="0"/>
    </xf>
    <xf numFmtId="49" fontId="30" fillId="0" borderId="15" xfId="0" applyNumberFormat="1" applyFont="1" applyFill="1" applyBorder="1" applyAlignment="1" applyProtection="1">
      <protection locked="0"/>
    </xf>
    <xf numFmtId="49" fontId="27" fillId="0" borderId="13" xfId="22" applyNumberFormat="1" applyFont="1" applyFill="1" applyBorder="1" applyAlignment="1" applyProtection="1">
      <protection locked="0"/>
    </xf>
    <xf numFmtId="49" fontId="27" fillId="0" borderId="14" xfId="22" applyNumberFormat="1" applyFont="1" applyFill="1" applyBorder="1" applyAlignment="1" applyProtection="1">
      <protection locked="0"/>
    </xf>
    <xf numFmtId="49" fontId="27" fillId="0" borderId="15" xfId="22" applyNumberFormat="1" applyFont="1" applyFill="1" applyBorder="1" applyAlignment="1" applyProtection="1">
      <protection locked="0"/>
    </xf>
    <xf numFmtId="49" fontId="27" fillId="0" borderId="13" xfId="0" applyNumberFormat="1" applyFont="1" applyFill="1" applyBorder="1" applyAlignment="1" applyProtection="1">
      <protection locked="0"/>
    </xf>
    <xf numFmtId="49" fontId="30" fillId="0" borderId="13" xfId="0" applyNumberFormat="1" applyFont="1" applyFill="1" applyBorder="1" applyAlignment="1" applyProtection="1">
      <protection locked="0"/>
    </xf>
    <xf numFmtId="49" fontId="0" fillId="0" borderId="13" xfId="0" applyNumberFormat="1" applyFill="1" applyBorder="1" applyAlignment="1" applyProtection="1">
      <protection locked="0"/>
    </xf>
    <xf numFmtId="49" fontId="0" fillId="0" borderId="14" xfId="0" applyNumberFormat="1" applyFill="1" applyBorder="1" applyAlignment="1" applyProtection="1">
      <protection locked="0"/>
    </xf>
    <xf numFmtId="49" fontId="0" fillId="0" borderId="15" xfId="0" applyNumberFormat="1" applyFill="1" applyBorder="1" applyAlignment="1" applyProtection="1">
      <protection locked="0"/>
    </xf>
    <xf numFmtId="0" fontId="84" fillId="0" borderId="25" xfId="3" applyFont="1" applyBorder="1"/>
    <xf numFmtId="0" fontId="84" fillId="0" borderId="25" xfId="3" applyFont="1" applyFill="1" applyBorder="1"/>
    <xf numFmtId="0" fontId="36" fillId="0" borderId="25" xfId="42" applyFont="1" applyBorder="1"/>
    <xf numFmtId="7" fontId="27" fillId="2" borderId="25" xfId="2" applyNumberFormat="1" applyFill="1" applyBorder="1" applyProtection="1">
      <protection locked="0"/>
    </xf>
    <xf numFmtId="49" fontId="30" fillId="2" borderId="13" xfId="0" applyNumberFormat="1" applyFont="1" applyFill="1" applyBorder="1" applyAlignment="1" applyProtection="1">
      <protection locked="0"/>
    </xf>
    <xf numFmtId="49" fontId="30" fillId="2" borderId="14" xfId="0" applyNumberFormat="1" applyFont="1" applyFill="1" applyBorder="1" applyAlignment="1" applyProtection="1">
      <protection locked="0"/>
    </xf>
    <xf numFmtId="49" fontId="30" fillId="2" borderId="15" xfId="0" applyNumberFormat="1" applyFont="1" applyFill="1" applyBorder="1" applyAlignment="1" applyProtection="1">
      <protection locked="0"/>
    </xf>
    <xf numFmtId="49" fontId="0" fillId="2" borderId="13" xfId="0" applyNumberFormat="1" applyFill="1" applyBorder="1" applyAlignment="1" applyProtection="1">
      <protection locked="0"/>
    </xf>
    <xf numFmtId="49" fontId="0" fillId="2" borderId="14" xfId="0" applyNumberFormat="1" applyFill="1" applyBorder="1" applyAlignment="1" applyProtection="1">
      <protection locked="0"/>
    </xf>
    <xf numFmtId="49" fontId="0" fillId="2" borderId="15" xfId="0" applyNumberFormat="1" applyFill="1" applyBorder="1" applyAlignment="1" applyProtection="1">
      <protection locked="0"/>
    </xf>
    <xf numFmtId="49" fontId="0" fillId="2" borderId="10" xfId="0" applyNumberFormat="1" applyFill="1" applyBorder="1" applyAlignment="1" applyProtection="1">
      <protection locked="0"/>
    </xf>
    <xf numFmtId="49" fontId="0" fillId="2" borderId="22" xfId="0" applyNumberFormat="1" applyFill="1" applyBorder="1" applyAlignment="1" applyProtection="1">
      <protection locked="0"/>
    </xf>
    <xf numFmtId="167" fontId="59" fillId="0" borderId="18" xfId="55" applyNumberFormat="1" applyFont="1" applyBorder="1"/>
    <xf numFmtId="167" fontId="59" fillId="0" borderId="18" xfId="55" applyNumberFormat="1" applyFont="1" applyBorder="1" applyAlignment="1">
      <alignment horizontal="right"/>
    </xf>
    <xf numFmtId="167" fontId="59" fillId="0" borderId="25" xfId="55" applyNumberFormat="1" applyFont="1" applyBorder="1" applyAlignment="1">
      <alignment horizontal="right"/>
    </xf>
    <xf numFmtId="167" fontId="59" fillId="0" borderId="25" xfId="5" applyNumberFormat="1" applyFont="1" applyBorder="1" applyAlignment="1">
      <alignment horizontal="right"/>
    </xf>
    <xf numFmtId="167" fontId="71" fillId="10" borderId="25" xfId="55" applyNumberFormat="1" applyFont="1" applyFill="1" applyBorder="1" applyAlignment="1">
      <alignment horizontal="right"/>
    </xf>
    <xf numFmtId="167" fontId="71" fillId="10" borderId="25" xfId="5" applyNumberFormat="1" applyFont="1" applyFill="1" applyBorder="1" applyAlignment="1">
      <alignment horizontal="right"/>
    </xf>
    <xf numFmtId="167" fontId="1" fillId="0" borderId="25" xfId="55" applyNumberFormat="1" applyFont="1" applyBorder="1"/>
    <xf numFmtId="168" fontId="0" fillId="0" borderId="25" xfId="19" applyNumberFormat="1" applyFont="1" applyFill="1" applyBorder="1"/>
    <xf numFmtId="168" fontId="0" fillId="3" borderId="19" xfId="19" applyNumberFormat="1" applyFont="1" applyFill="1" applyBorder="1"/>
    <xf numFmtId="166" fontId="0" fillId="5" borderId="25" xfId="18" applyNumberFormat="1" applyFont="1" applyFill="1" applyBorder="1" applyProtection="1">
      <protection locked="0"/>
    </xf>
    <xf numFmtId="168" fontId="0" fillId="5" borderId="13" xfId="19" applyNumberFormat="1" applyFont="1" applyFill="1" applyBorder="1" applyProtection="1">
      <protection locked="0"/>
    </xf>
    <xf numFmtId="168" fontId="0" fillId="5" borderId="25" xfId="19" applyNumberFormat="1" applyFont="1" applyFill="1" applyBorder="1" applyProtection="1"/>
    <xf numFmtId="168" fontId="0" fillId="3" borderId="26" xfId="19" applyNumberFormat="1" applyFont="1" applyFill="1" applyBorder="1" applyProtection="1"/>
    <xf numFmtId="166" fontId="0" fillId="2" borderId="17" xfId="18" applyNumberFormat="1" applyFont="1" applyFill="1" applyBorder="1" applyProtection="1">
      <protection locked="0"/>
    </xf>
    <xf numFmtId="166" fontId="0" fillId="3" borderId="0" xfId="18" applyNumberFormat="1" applyFont="1" applyFill="1" applyBorder="1" applyProtection="1">
      <protection locked="0"/>
    </xf>
    <xf numFmtId="166" fontId="0" fillId="2" borderId="25" xfId="18" applyNumberFormat="1" applyFont="1" applyFill="1" applyBorder="1" applyProtection="1"/>
    <xf numFmtId="166" fontId="28" fillId="0" borderId="0" xfId="18" applyNumberFormat="1" applyFont="1" applyAlignment="1">
      <alignment horizontal="center" wrapText="1"/>
    </xf>
    <xf numFmtId="168" fontId="0" fillId="3" borderId="25" xfId="19" applyNumberFormat="1" applyFont="1" applyFill="1" applyBorder="1"/>
    <xf numFmtId="166" fontId="0" fillId="0" borderId="12" xfId="18" applyNumberFormat="1" applyFont="1" applyBorder="1"/>
    <xf numFmtId="166" fontId="0" fillId="2" borderId="18" xfId="18" applyNumberFormat="1" applyFont="1" applyFill="1" applyBorder="1" applyProtection="1">
      <protection locked="0"/>
    </xf>
    <xf numFmtId="168" fontId="0" fillId="2" borderId="18" xfId="19" applyNumberFormat="1" applyFont="1" applyFill="1" applyBorder="1" applyProtection="1">
      <protection locked="0"/>
    </xf>
    <xf numFmtId="166" fontId="0" fillId="2" borderId="17" xfId="18" applyNumberFormat="1" applyFont="1" applyFill="1" applyBorder="1"/>
    <xf numFmtId="166" fontId="0" fillId="3" borderId="17" xfId="18" applyNumberFormat="1" applyFont="1" applyFill="1" applyBorder="1"/>
    <xf numFmtId="166" fontId="0" fillId="0" borderId="20" xfId="18" applyNumberFormat="1" applyFont="1" applyBorder="1"/>
    <xf numFmtId="3" fontId="74" fillId="0" borderId="0" xfId="0" applyNumberFormat="1" applyFont="1"/>
    <xf numFmtId="0" fontId="34" fillId="0" borderId="1" xfId="3" applyFont="1" applyFill="1" applyBorder="1" applyAlignment="1">
      <alignment horizontal="center" wrapText="1"/>
    </xf>
    <xf numFmtId="0" fontId="34" fillId="8" borderId="1" xfId="3" applyFont="1" applyFill="1" applyBorder="1" applyAlignment="1">
      <alignment horizontal="center"/>
    </xf>
    <xf numFmtId="0" fontId="34" fillId="0" borderId="0" xfId="3" applyFont="1" applyAlignment="1">
      <alignment horizontal="left"/>
    </xf>
    <xf numFmtId="0" fontId="4" fillId="0" borderId="0" xfId="3" applyFont="1" applyAlignment="1">
      <alignment horizontal="left" wrapText="1"/>
    </xf>
    <xf numFmtId="0" fontId="12" fillId="0" borderId="0" xfId="3" applyFont="1" applyAlignment="1">
      <alignment horizontal="left" wrapText="1"/>
    </xf>
    <xf numFmtId="49" fontId="56" fillId="0" borderId="0" xfId="20" applyNumberFormat="1" applyFont="1" applyFill="1" applyBorder="1" applyAlignment="1">
      <alignment horizontal="center"/>
    </xf>
    <xf numFmtId="49" fontId="30" fillId="2" borderId="3" xfId="0" applyNumberFormat="1" applyFont="1" applyFill="1" applyBorder="1" applyAlignment="1" applyProtection="1">
      <protection locked="0"/>
    </xf>
    <xf numFmtId="49" fontId="30" fillId="2" borderId="4" xfId="0" applyNumberFormat="1" applyFont="1" applyFill="1" applyBorder="1" applyAlignment="1" applyProtection="1">
      <protection locked="0"/>
    </xf>
    <xf numFmtId="49" fontId="30" fillId="2" borderId="5" xfId="0" applyNumberFormat="1" applyFont="1" applyFill="1" applyBorder="1" applyAlignment="1" applyProtection="1">
      <protection locked="0"/>
    </xf>
    <xf numFmtId="49" fontId="27" fillId="0" borderId="0" xfId="20" applyNumberFormat="1" applyFont="1" applyFill="1" applyBorder="1" applyAlignment="1" applyProtection="1">
      <protection locked="0"/>
    </xf>
    <xf numFmtId="49" fontId="27" fillId="0" borderId="9" xfId="20" applyNumberFormat="1" applyFont="1" applyFill="1" applyBorder="1" applyAlignment="1" applyProtection="1">
      <protection locked="0"/>
    </xf>
    <xf numFmtId="0" fontId="31" fillId="0" borderId="0" xfId="0" applyFont="1" applyAlignment="1">
      <alignment horizontal="center"/>
    </xf>
    <xf numFmtId="0" fontId="29" fillId="0" borderId="0" xfId="0" applyFont="1" applyAlignment="1">
      <alignment horizontal="center"/>
    </xf>
    <xf numFmtId="49" fontId="30" fillId="2" borderId="13" xfId="0" applyNumberFormat="1" applyFont="1" applyFill="1" applyBorder="1" applyAlignment="1" applyProtection="1">
      <protection locked="0"/>
    </xf>
    <xf numFmtId="49" fontId="30" fillId="2" borderId="14" xfId="0" applyNumberFormat="1" applyFont="1" applyFill="1" applyBorder="1" applyAlignment="1" applyProtection="1">
      <protection locked="0"/>
    </xf>
    <xf numFmtId="49" fontId="30" fillId="2" borderId="15" xfId="0" applyNumberFormat="1" applyFont="1" applyFill="1" applyBorder="1" applyAlignment="1" applyProtection="1">
      <protection locked="0"/>
    </xf>
    <xf numFmtId="49" fontId="55" fillId="4" borderId="13" xfId="21" applyNumberFormat="1" applyFill="1" applyBorder="1" applyAlignment="1" applyProtection="1">
      <alignment shrinkToFit="1"/>
      <protection locked="0"/>
    </xf>
    <xf numFmtId="49" fontId="0" fillId="4" borderId="14" xfId="0" applyNumberFormat="1" applyFill="1" applyBorder="1" applyAlignment="1" applyProtection="1">
      <alignment shrinkToFit="1"/>
      <protection locked="0"/>
    </xf>
    <xf numFmtId="0" fontId="27" fillId="0" borderId="0" xfId="0" applyFont="1" applyAlignment="1"/>
    <xf numFmtId="0" fontId="0" fillId="0" borderId="0" xfId="0" applyAlignment="1"/>
    <xf numFmtId="0" fontId="32" fillId="0" borderId="0" xfId="0" applyFont="1" applyFill="1" applyBorder="1" applyAlignment="1">
      <alignment vertical="justify" wrapText="1"/>
    </xf>
    <xf numFmtId="0" fontId="33" fillId="0" borderId="0" xfId="0" applyFont="1" applyAlignment="1">
      <alignment vertical="justify" wrapText="1"/>
    </xf>
    <xf numFmtId="0" fontId="33" fillId="0" borderId="0" xfId="0" applyFont="1" applyAlignment="1"/>
    <xf numFmtId="49" fontId="0" fillId="4" borderId="13" xfId="0" applyNumberFormat="1" applyFill="1" applyBorder="1" applyAlignment="1" applyProtection="1">
      <alignment shrinkToFit="1"/>
      <protection locked="0"/>
    </xf>
    <xf numFmtId="49" fontId="0" fillId="0" borderId="14" xfId="0" applyNumberFormat="1" applyBorder="1" applyAlignment="1" applyProtection="1">
      <alignment shrinkToFit="1"/>
      <protection locked="0"/>
    </xf>
    <xf numFmtId="49" fontId="0" fillId="0" borderId="15" xfId="0" applyNumberFormat="1" applyBorder="1" applyAlignment="1" applyProtection="1">
      <alignment shrinkToFit="1"/>
      <protection locked="0"/>
    </xf>
    <xf numFmtId="1" fontId="0" fillId="4" borderId="13" xfId="0" quotePrefix="1" applyNumberFormat="1" applyFill="1" applyBorder="1" applyAlignment="1" applyProtection="1">
      <alignment shrinkToFit="1"/>
      <protection locked="0"/>
    </xf>
    <xf numFmtId="0" fontId="0" fillId="0" borderId="14" xfId="0" applyBorder="1" applyAlignment="1" applyProtection="1">
      <alignment shrinkToFit="1"/>
      <protection locked="0"/>
    </xf>
    <xf numFmtId="0" fontId="0" fillId="0" borderId="15" xfId="0" applyBorder="1" applyAlignment="1" applyProtection="1">
      <alignment shrinkToFit="1"/>
      <protection locked="0"/>
    </xf>
    <xf numFmtId="3" fontId="0" fillId="4" borderId="13" xfId="0" applyNumberFormat="1" applyFill="1" applyBorder="1" applyAlignment="1" applyProtection="1">
      <alignment horizontal="left" shrinkToFit="1"/>
      <protection locked="0"/>
    </xf>
    <xf numFmtId="3" fontId="0" fillId="0" borderId="14" xfId="0" applyNumberFormat="1" applyBorder="1" applyAlignment="1" applyProtection="1">
      <alignment horizontal="left" shrinkToFit="1"/>
      <protection locked="0"/>
    </xf>
    <xf numFmtId="3" fontId="0" fillId="0" borderId="15" xfId="0" applyNumberFormat="1" applyBorder="1" applyAlignment="1" applyProtection="1">
      <alignment horizontal="left" shrinkToFit="1"/>
      <protection locked="0"/>
    </xf>
    <xf numFmtId="165" fontId="0" fillId="4" borderId="13" xfId="0" applyNumberFormat="1" applyFill="1" applyBorder="1" applyAlignment="1" applyProtection="1">
      <alignment shrinkToFit="1"/>
      <protection locked="0"/>
    </xf>
    <xf numFmtId="165" fontId="0" fillId="0" borderId="14" xfId="0" applyNumberFormat="1" applyBorder="1" applyAlignment="1" applyProtection="1">
      <alignment shrinkToFit="1"/>
      <protection locked="0"/>
    </xf>
    <xf numFmtId="165" fontId="0" fillId="0" borderId="15" xfId="0" applyNumberFormat="1" applyBorder="1" applyAlignment="1" applyProtection="1">
      <alignment shrinkToFit="1"/>
      <protection locked="0"/>
    </xf>
    <xf numFmtId="49" fontId="27" fillId="2" borderId="13" xfId="0" applyNumberFormat="1" applyFont="1" applyFill="1" applyBorder="1" applyAlignment="1" applyProtection="1">
      <protection locked="0"/>
    </xf>
    <xf numFmtId="49" fontId="0" fillId="2" borderId="14" xfId="0" applyNumberFormat="1" applyFill="1" applyBorder="1" applyAlignment="1" applyProtection="1">
      <protection locked="0"/>
    </xf>
    <xf numFmtId="49" fontId="0" fillId="2" borderId="15" xfId="0" applyNumberFormat="1" applyFill="1" applyBorder="1" applyAlignment="1" applyProtection="1">
      <protection locked="0"/>
    </xf>
    <xf numFmtId="0" fontId="28" fillId="0" borderId="10" xfId="0" applyFont="1" applyBorder="1" applyAlignment="1">
      <alignment wrapText="1"/>
    </xf>
    <xf numFmtId="0" fontId="0" fillId="0" borderId="10" xfId="0" applyBorder="1" applyAlignment="1">
      <alignment wrapText="1"/>
    </xf>
    <xf numFmtId="49" fontId="27" fillId="2" borderId="22" xfId="0" applyNumberFormat="1" applyFont="1" applyFill="1" applyBorder="1" applyAlignment="1" applyProtection="1">
      <protection locked="0"/>
    </xf>
    <xf numFmtId="49" fontId="0" fillId="2" borderId="10" xfId="0" applyNumberFormat="1" applyFill="1" applyBorder="1" applyAlignment="1" applyProtection="1">
      <protection locked="0"/>
    </xf>
    <xf numFmtId="49" fontId="0" fillId="2" borderId="13" xfId="0" applyNumberFormat="1" applyFill="1" applyBorder="1" applyAlignment="1" applyProtection="1">
      <protection locked="0"/>
    </xf>
    <xf numFmtId="49" fontId="0" fillId="4" borderId="15" xfId="0" applyNumberFormat="1" applyFill="1" applyBorder="1" applyAlignment="1" applyProtection="1">
      <alignment shrinkToFit="1"/>
      <protection locked="0"/>
    </xf>
    <xf numFmtId="3" fontId="0" fillId="11" borderId="13" xfId="0" applyNumberFormat="1" applyFill="1" applyBorder="1" applyAlignment="1" applyProtection="1">
      <alignment horizontal="left" shrinkToFit="1"/>
      <protection locked="0"/>
    </xf>
    <xf numFmtId="3" fontId="0" fillId="11" borderId="14" xfId="0" applyNumberFormat="1" applyFill="1" applyBorder="1" applyAlignment="1" applyProtection="1">
      <alignment horizontal="left" shrinkToFit="1"/>
      <protection locked="0"/>
    </xf>
    <xf numFmtId="3" fontId="0" fillId="11" borderId="15" xfId="0" applyNumberFormat="1" applyFill="1" applyBorder="1" applyAlignment="1" applyProtection="1">
      <alignment horizontal="left" shrinkToFit="1"/>
      <protection locked="0"/>
    </xf>
    <xf numFmtId="49" fontId="35" fillId="2" borderId="22" xfId="4" applyNumberFormat="1" applyFill="1" applyBorder="1" applyAlignment="1" applyProtection="1">
      <protection locked="0"/>
    </xf>
    <xf numFmtId="49" fontId="35" fillId="2" borderId="10" xfId="4" applyNumberFormat="1" applyFill="1" applyBorder="1" applyAlignment="1" applyProtection="1">
      <protection locked="0"/>
    </xf>
    <xf numFmtId="49" fontId="35" fillId="2" borderId="15" xfId="4" applyNumberFormat="1" applyFill="1" applyBorder="1" applyAlignment="1" applyProtection="1">
      <protection locked="0"/>
    </xf>
    <xf numFmtId="49" fontId="74" fillId="2" borderId="13" xfId="0" applyNumberFormat="1" applyFont="1" applyFill="1" applyBorder="1" applyAlignment="1" applyProtection="1">
      <protection locked="0"/>
    </xf>
    <xf numFmtId="49" fontId="74" fillId="2" borderId="14" xfId="0" applyNumberFormat="1" applyFont="1" applyFill="1" applyBorder="1" applyAlignment="1" applyProtection="1">
      <protection locked="0"/>
    </xf>
    <xf numFmtId="49" fontId="74" fillId="2" borderId="15" xfId="0" applyNumberFormat="1" applyFont="1" applyFill="1" applyBorder="1" applyAlignment="1" applyProtection="1">
      <protection locked="0"/>
    </xf>
    <xf numFmtId="0" fontId="74" fillId="0" borderId="0" xfId="0" applyFont="1" applyAlignment="1"/>
    <xf numFmtId="0" fontId="75" fillId="0" borderId="10" xfId="0" applyFont="1" applyBorder="1" applyAlignment="1">
      <alignment wrapText="1"/>
    </xf>
    <xf numFmtId="0" fontId="74" fillId="0" borderId="10" xfId="0" applyFont="1" applyBorder="1" applyAlignment="1">
      <alignment wrapText="1"/>
    </xf>
    <xf numFmtId="49" fontId="74" fillId="2" borderId="22" xfId="0" applyNumberFormat="1" applyFont="1" applyFill="1" applyBorder="1" applyAlignment="1" applyProtection="1">
      <protection locked="0"/>
    </xf>
    <xf numFmtId="49" fontId="74" fillId="2" borderId="10" xfId="0" applyNumberFormat="1" applyFont="1" applyFill="1" applyBorder="1" applyAlignment="1" applyProtection="1">
      <protection locked="0"/>
    </xf>
    <xf numFmtId="0" fontId="75" fillId="0" borderId="0" xfId="0" applyFont="1" applyAlignment="1">
      <alignment horizontal="center"/>
    </xf>
    <xf numFmtId="0" fontId="76" fillId="0" borderId="0" xfId="0" applyFont="1" applyAlignment="1">
      <alignment horizontal="center"/>
    </xf>
    <xf numFmtId="49" fontId="74" fillId="4" borderId="14" xfId="0" applyNumberFormat="1" applyFont="1" applyFill="1" applyBorder="1" applyAlignment="1" applyProtection="1">
      <alignment shrinkToFit="1"/>
      <protection locked="0"/>
    </xf>
    <xf numFmtId="0" fontId="74" fillId="8" borderId="0" xfId="0" applyFont="1" applyFill="1" applyAlignment="1"/>
    <xf numFmtId="0" fontId="76" fillId="0" borderId="0" xfId="0" applyFont="1" applyFill="1" applyBorder="1" applyAlignment="1">
      <alignment vertical="justify" wrapText="1"/>
    </xf>
    <xf numFmtId="0" fontId="74" fillId="0" borderId="0" xfId="0" applyFont="1" applyAlignment="1">
      <alignment vertical="justify" wrapText="1"/>
    </xf>
    <xf numFmtId="49" fontId="74" fillId="4" borderId="13" xfId="0" applyNumberFormat="1" applyFont="1" applyFill="1" applyBorder="1" applyAlignment="1" applyProtection="1">
      <alignment shrinkToFit="1"/>
      <protection locked="0"/>
    </xf>
    <xf numFmtId="49" fontId="74" fillId="0" borderId="14" xfId="0" applyNumberFormat="1" applyFont="1" applyBorder="1" applyAlignment="1" applyProtection="1">
      <alignment shrinkToFit="1"/>
      <protection locked="0"/>
    </xf>
    <xf numFmtId="49" fontId="74" fillId="0" borderId="15" xfId="0" applyNumberFormat="1" applyFont="1" applyBorder="1" applyAlignment="1" applyProtection="1">
      <alignment shrinkToFit="1"/>
      <protection locked="0"/>
    </xf>
    <xf numFmtId="1" fontId="74" fillId="4" borderId="13" xfId="0" quotePrefix="1" applyNumberFormat="1" applyFont="1" applyFill="1" applyBorder="1" applyAlignment="1" applyProtection="1">
      <alignment horizontal="left" shrinkToFit="1"/>
      <protection locked="0"/>
    </xf>
    <xf numFmtId="0" fontId="74" fillId="0" borderId="14" xfId="0" applyFont="1" applyBorder="1" applyAlignment="1" applyProtection="1">
      <alignment horizontal="left" shrinkToFit="1"/>
      <protection locked="0"/>
    </xf>
    <xf numFmtId="0" fontId="74" fillId="0" borderId="15" xfId="0" applyFont="1" applyBorder="1" applyAlignment="1" applyProtection="1">
      <alignment horizontal="left" shrinkToFit="1"/>
      <protection locked="0"/>
    </xf>
    <xf numFmtId="3" fontId="74" fillId="4" borderId="13" xfId="0" applyNumberFormat="1" applyFont="1" applyFill="1" applyBorder="1" applyAlignment="1" applyProtection="1">
      <alignment horizontal="left" shrinkToFit="1"/>
      <protection locked="0"/>
    </xf>
    <xf numFmtId="3" fontId="74" fillId="0" borderId="14" xfId="0" applyNumberFormat="1" applyFont="1" applyBorder="1" applyAlignment="1" applyProtection="1">
      <alignment horizontal="left" shrinkToFit="1"/>
      <protection locked="0"/>
    </xf>
    <xf numFmtId="3" fontId="74" fillId="0" borderId="15" xfId="0" applyNumberFormat="1" applyFont="1" applyBorder="1" applyAlignment="1" applyProtection="1">
      <alignment horizontal="left" shrinkToFit="1"/>
      <protection locked="0"/>
    </xf>
    <xf numFmtId="165" fontId="74" fillId="4" borderId="13" xfId="0" applyNumberFormat="1" applyFont="1" applyFill="1" applyBorder="1" applyAlignment="1" applyProtection="1">
      <alignment shrinkToFit="1"/>
      <protection locked="0"/>
    </xf>
    <xf numFmtId="165" fontId="74" fillId="0" borderId="14" xfId="0" applyNumberFormat="1" applyFont="1" applyBorder="1" applyAlignment="1" applyProtection="1">
      <alignment shrinkToFit="1"/>
      <protection locked="0"/>
    </xf>
    <xf numFmtId="165" fontId="74" fillId="0" borderId="15" xfId="0" applyNumberFormat="1" applyFont="1" applyBorder="1" applyAlignment="1" applyProtection="1">
      <alignment shrinkToFit="1"/>
      <protection locked="0"/>
    </xf>
    <xf numFmtId="3" fontId="0" fillId="4" borderId="13" xfId="0" applyNumberFormat="1" applyFill="1" applyBorder="1" applyAlignment="1" applyProtection="1">
      <alignment shrinkToFit="1"/>
      <protection locked="0"/>
    </xf>
    <xf numFmtId="3" fontId="0" fillId="0" borderId="14" xfId="0" applyNumberFormat="1" applyBorder="1" applyAlignment="1" applyProtection="1">
      <alignment shrinkToFit="1"/>
      <protection locked="0"/>
    </xf>
    <xf numFmtId="3" fontId="0" fillId="0" borderId="15" xfId="0" applyNumberFormat="1" applyBorder="1" applyAlignment="1" applyProtection="1">
      <alignment shrinkToFit="1"/>
      <protection locked="0"/>
    </xf>
    <xf numFmtId="49" fontId="27" fillId="4" borderId="13" xfId="0" applyNumberFormat="1" applyFont="1" applyFill="1" applyBorder="1" applyAlignment="1" applyProtection="1">
      <alignment shrinkToFit="1"/>
      <protection locked="0"/>
    </xf>
    <xf numFmtId="165" fontId="27" fillId="4" borderId="13" xfId="0" applyNumberFormat="1" applyFont="1" applyFill="1" applyBorder="1" applyAlignment="1" applyProtection="1">
      <alignment shrinkToFit="1"/>
      <protection locked="0"/>
    </xf>
    <xf numFmtId="49" fontId="0" fillId="2" borderId="22" xfId="0" applyNumberFormat="1" applyFill="1" applyBorder="1" applyAlignment="1" applyProtection="1">
      <protection locked="0"/>
    </xf>
    <xf numFmtId="49" fontId="72" fillId="4" borderId="13" xfId="117" applyNumberFormat="1" applyFill="1" applyBorder="1" applyAlignment="1" applyProtection="1">
      <alignment shrinkToFit="1"/>
      <protection locked="0"/>
    </xf>
    <xf numFmtId="49" fontId="30" fillId="2" borderId="13" xfId="2" applyNumberFormat="1" applyFont="1" applyFill="1" applyBorder="1" applyAlignment="1" applyProtection="1">
      <protection locked="0"/>
    </xf>
    <xf numFmtId="49" fontId="30" fillId="2" borderId="14" xfId="2" applyNumberFormat="1" applyFont="1" applyFill="1" applyBorder="1" applyAlignment="1" applyProtection="1">
      <protection locked="0"/>
    </xf>
    <xf numFmtId="49" fontId="30" fillId="2" borderId="15" xfId="2" applyNumberFormat="1" applyFont="1" applyFill="1" applyBorder="1" applyAlignment="1" applyProtection="1">
      <protection locked="0"/>
    </xf>
    <xf numFmtId="0" fontId="28" fillId="0" borderId="10" xfId="2" applyFont="1" applyBorder="1" applyAlignment="1">
      <alignment wrapText="1"/>
    </xf>
    <xf numFmtId="0" fontId="27" fillId="0" borderId="10" xfId="2" applyBorder="1" applyAlignment="1">
      <alignment wrapText="1"/>
    </xf>
    <xf numFmtId="49" fontId="27" fillId="2" borderId="13" xfId="2" applyNumberFormat="1" applyFill="1" applyBorder="1" applyAlignment="1" applyProtection="1">
      <protection locked="0"/>
    </xf>
    <xf numFmtId="49" fontId="27" fillId="2" borderId="14" xfId="2" applyNumberFormat="1" applyFill="1" applyBorder="1" applyAlignment="1" applyProtection="1">
      <protection locked="0"/>
    </xf>
    <xf numFmtId="49" fontId="27" fillId="2" borderId="15" xfId="2" applyNumberFormat="1" applyFill="1" applyBorder="1" applyAlignment="1" applyProtection="1">
      <protection locked="0"/>
    </xf>
    <xf numFmtId="49" fontId="27" fillId="2" borderId="22" xfId="2" applyNumberFormat="1" applyFill="1" applyBorder="1" applyAlignment="1" applyProtection="1">
      <protection locked="0"/>
    </xf>
    <xf numFmtId="49" fontId="27" fillId="2" borderId="10" xfId="2" applyNumberFormat="1" applyFill="1" applyBorder="1" applyAlignment="1" applyProtection="1">
      <protection locked="0"/>
    </xf>
    <xf numFmtId="0" fontId="52" fillId="5" borderId="13" xfId="0" applyFont="1" applyFill="1" applyBorder="1" applyAlignment="1">
      <alignment horizontal="left" wrapText="1" shrinkToFit="1"/>
    </xf>
    <xf numFmtId="0" fontId="0" fillId="0" borderId="14" xfId="0" applyBorder="1" applyAlignment="1"/>
    <xf numFmtId="0" fontId="0" fillId="0" borderId="15" xfId="0" applyBorder="1" applyAlignment="1"/>
    <xf numFmtId="0" fontId="0" fillId="5" borderId="14" xfId="0" applyFill="1" applyBorder="1" applyAlignment="1"/>
    <xf numFmtId="0" fontId="0" fillId="5" borderId="15" xfId="0" applyFill="1" applyBorder="1" applyAlignment="1"/>
    <xf numFmtId="0" fontId="27" fillId="0" borderId="0" xfId="2" applyFont="1" applyAlignment="1"/>
    <xf numFmtId="0" fontId="27" fillId="0" borderId="0" xfId="2" applyAlignment="1"/>
    <xf numFmtId="165" fontId="27" fillId="4" borderId="13" xfId="2" applyNumberFormat="1" applyFill="1" applyBorder="1" applyAlignment="1" applyProtection="1">
      <alignment shrinkToFit="1"/>
      <protection locked="0"/>
    </xf>
    <xf numFmtId="165" fontId="27" fillId="0" borderId="14" xfId="2" applyNumberFormat="1" applyBorder="1" applyAlignment="1" applyProtection="1">
      <alignment shrinkToFit="1"/>
      <protection locked="0"/>
    </xf>
    <xf numFmtId="165" fontId="27" fillId="0" borderId="15" xfId="2" applyNumberFormat="1" applyBorder="1" applyAlignment="1" applyProtection="1">
      <alignment shrinkToFit="1"/>
      <protection locked="0"/>
    </xf>
    <xf numFmtId="0" fontId="31" fillId="0" borderId="0" xfId="2" applyFont="1" applyAlignment="1">
      <alignment horizontal="center"/>
    </xf>
    <xf numFmtId="0" fontId="29" fillId="0" borderId="0" xfId="2" applyFont="1" applyAlignment="1">
      <alignment horizontal="center"/>
    </xf>
    <xf numFmtId="49" fontId="27" fillId="4" borderId="13" xfId="2" applyNumberFormat="1" applyFill="1" applyBorder="1" applyAlignment="1" applyProtection="1">
      <alignment shrinkToFit="1"/>
      <protection locked="0"/>
    </xf>
    <xf numFmtId="49" fontId="27" fillId="0" borderId="14" xfId="2" applyNumberFormat="1" applyBorder="1" applyAlignment="1" applyProtection="1">
      <alignment shrinkToFit="1"/>
      <protection locked="0"/>
    </xf>
    <xf numFmtId="49" fontId="27" fillId="0" borderId="15" xfId="2" applyNumberFormat="1" applyBorder="1" applyAlignment="1" applyProtection="1">
      <alignment shrinkToFit="1"/>
      <protection locked="0"/>
    </xf>
    <xf numFmtId="1" fontId="27" fillId="4" borderId="13" xfId="2" quotePrefix="1" applyNumberFormat="1" applyFill="1" applyBorder="1" applyAlignment="1" applyProtection="1">
      <alignment shrinkToFit="1"/>
      <protection locked="0"/>
    </xf>
    <xf numFmtId="1" fontId="27" fillId="4" borderId="14" xfId="2" quotePrefix="1" applyNumberFormat="1" applyFill="1" applyBorder="1" applyAlignment="1" applyProtection="1">
      <alignment shrinkToFit="1"/>
      <protection locked="0"/>
    </xf>
    <xf numFmtId="1" fontId="27" fillId="4" borderId="15" xfId="2" quotePrefix="1" applyNumberFormat="1" applyFill="1" applyBorder="1" applyAlignment="1" applyProtection="1">
      <alignment shrinkToFit="1"/>
      <protection locked="0"/>
    </xf>
    <xf numFmtId="3" fontId="27" fillId="4" borderId="13" xfId="2" applyNumberFormat="1" applyFill="1" applyBorder="1" applyAlignment="1" applyProtection="1">
      <alignment shrinkToFit="1"/>
      <protection locked="0"/>
    </xf>
    <xf numFmtId="3" fontId="27" fillId="0" borderId="14" xfId="2" applyNumberFormat="1" applyBorder="1" applyAlignment="1" applyProtection="1">
      <alignment shrinkToFit="1"/>
      <protection locked="0"/>
    </xf>
    <xf numFmtId="3" fontId="27" fillId="0" borderId="15" xfId="2" applyNumberFormat="1" applyBorder="1" applyAlignment="1" applyProtection="1">
      <alignment shrinkToFit="1"/>
      <protection locked="0"/>
    </xf>
    <xf numFmtId="49" fontId="51" fillId="4" borderId="13" xfId="16" applyNumberFormat="1" applyFill="1" applyBorder="1" applyAlignment="1" applyProtection="1">
      <alignment shrinkToFit="1"/>
      <protection locked="0"/>
    </xf>
    <xf numFmtId="49" fontId="27" fillId="4" borderId="14" xfId="2" applyNumberFormat="1" applyFill="1" applyBorder="1" applyAlignment="1" applyProtection="1">
      <alignment shrinkToFit="1"/>
      <protection locked="0"/>
    </xf>
    <xf numFmtId="0" fontId="32" fillId="0" borderId="0" xfId="2" applyFont="1" applyFill="1" applyBorder="1" applyAlignment="1">
      <alignment vertical="justify" wrapText="1"/>
    </xf>
    <xf numFmtId="0" fontId="33" fillId="0" borderId="0" xfId="2" applyFont="1" applyAlignment="1">
      <alignment vertical="justify" wrapText="1"/>
    </xf>
    <xf numFmtId="0" fontId="33" fillId="0" borderId="0" xfId="2" applyFont="1" applyAlignment="1"/>
    <xf numFmtId="0" fontId="28" fillId="0" borderId="0" xfId="0" applyFont="1" applyAlignment="1">
      <alignment horizontal="center"/>
    </xf>
    <xf numFmtId="1" fontId="0" fillId="4" borderId="13" xfId="0" quotePrefix="1" applyNumberFormat="1" applyFill="1" applyBorder="1" applyAlignment="1" applyProtection="1">
      <alignment horizontal="left" shrinkToFit="1"/>
      <protection locked="0"/>
    </xf>
    <xf numFmtId="0" fontId="0" fillId="0" borderId="14" xfId="0" applyBorder="1" applyAlignment="1" applyProtection="1">
      <alignment horizontal="left" shrinkToFit="1"/>
      <protection locked="0"/>
    </xf>
    <xf numFmtId="0" fontId="0" fillId="0" borderId="15" xfId="0" applyBorder="1" applyAlignment="1" applyProtection="1">
      <alignment horizontal="left" shrinkToFit="1"/>
      <protection locked="0"/>
    </xf>
    <xf numFmtId="49" fontId="27" fillId="2" borderId="14" xfId="0" applyNumberFormat="1" applyFont="1" applyFill="1" applyBorder="1" applyAlignment="1" applyProtection="1">
      <protection locked="0"/>
    </xf>
    <xf numFmtId="49" fontId="27" fillId="2" borderId="15" xfId="0" applyNumberFormat="1" applyFont="1" applyFill="1" applyBorder="1" applyAlignment="1" applyProtection="1">
      <protection locked="0"/>
    </xf>
    <xf numFmtId="49" fontId="27" fillId="2" borderId="10" xfId="0" applyNumberFormat="1" applyFont="1" applyFill="1" applyBorder="1" applyAlignment="1" applyProtection="1">
      <protection locked="0"/>
    </xf>
    <xf numFmtId="1" fontId="27" fillId="4" borderId="13" xfId="0" quotePrefix="1" applyNumberFormat="1" applyFont="1" applyFill="1" applyBorder="1" applyAlignment="1" applyProtection="1">
      <alignment shrinkToFit="1"/>
      <protection locked="0"/>
    </xf>
    <xf numFmtId="165" fontId="0" fillId="4" borderId="14" xfId="0" applyNumberFormat="1" applyFill="1" applyBorder="1" applyAlignment="1" applyProtection="1">
      <alignment shrinkToFit="1"/>
      <protection locked="0"/>
    </xf>
    <xf numFmtId="165" fontId="0" fillId="4" borderId="15" xfId="0" applyNumberFormat="1" applyFill="1" applyBorder="1" applyAlignment="1" applyProtection="1">
      <alignment shrinkToFit="1"/>
      <protection locked="0"/>
    </xf>
    <xf numFmtId="1" fontId="27" fillId="4" borderId="13" xfId="0" applyNumberFormat="1" applyFont="1" applyFill="1" applyBorder="1" applyAlignment="1" applyProtection="1">
      <alignment horizontal="left" shrinkToFit="1"/>
      <protection locked="0"/>
    </xf>
    <xf numFmtId="0" fontId="27" fillId="5" borderId="25" xfId="0" applyFont="1" applyFill="1" applyBorder="1" applyAlignment="1">
      <alignment horizontal="left"/>
    </xf>
    <xf numFmtId="49" fontId="59" fillId="2" borderId="13" xfId="0" applyNumberFormat="1" applyFont="1" applyFill="1" applyBorder="1" applyAlignment="1" applyProtection="1">
      <protection locked="0"/>
    </xf>
    <xf numFmtId="49" fontId="59" fillId="2" borderId="14" xfId="0" applyNumberFormat="1" applyFont="1" applyFill="1" applyBorder="1" applyAlignment="1" applyProtection="1">
      <protection locked="0"/>
    </xf>
    <xf numFmtId="49" fontId="59" fillId="2" borderId="15" xfId="0" applyNumberFormat="1" applyFont="1" applyFill="1" applyBorder="1" applyAlignment="1" applyProtection="1">
      <protection locked="0"/>
    </xf>
    <xf numFmtId="49" fontId="60" fillId="4" borderId="13" xfId="34" applyNumberFormat="1" applyFill="1" applyBorder="1" applyAlignment="1" applyProtection="1">
      <alignment shrinkToFit="1"/>
      <protection locked="0"/>
    </xf>
    <xf numFmtId="49" fontId="80" fillId="5" borderId="13" xfId="21" applyNumberFormat="1" applyFont="1" applyFill="1" applyBorder="1" applyAlignment="1" applyProtection="1">
      <alignment shrinkToFit="1"/>
      <protection locked="0"/>
    </xf>
    <xf numFmtId="49" fontId="27" fillId="5" borderId="14" xfId="0" applyNumberFormat="1" applyFont="1" applyFill="1" applyBorder="1" applyAlignment="1" applyProtection="1">
      <alignment shrinkToFit="1"/>
      <protection locked="0"/>
    </xf>
    <xf numFmtId="49" fontId="0" fillId="5" borderId="13" xfId="0" applyNumberFormat="1" applyFill="1" applyBorder="1" applyAlignment="1" applyProtection="1">
      <alignment shrinkToFit="1"/>
      <protection locked="0"/>
    </xf>
    <xf numFmtId="49" fontId="0" fillId="5" borderId="14" xfId="0" applyNumberFormat="1" applyFill="1" applyBorder="1" applyAlignment="1" applyProtection="1">
      <alignment shrinkToFit="1"/>
      <protection locked="0"/>
    </xf>
    <xf numFmtId="49" fontId="0" fillId="5" borderId="15" xfId="0" applyNumberFormat="1" applyFill="1" applyBorder="1" applyAlignment="1" applyProtection="1">
      <alignment shrinkToFit="1"/>
      <protection locked="0"/>
    </xf>
    <xf numFmtId="1" fontId="0" fillId="5" borderId="13" xfId="0" quotePrefix="1" applyNumberFormat="1" applyFill="1" applyBorder="1" applyAlignment="1" applyProtection="1">
      <alignment shrinkToFit="1"/>
      <protection locked="0"/>
    </xf>
    <xf numFmtId="0" fontId="0" fillId="5" borderId="14" xfId="0" applyFill="1" applyBorder="1" applyAlignment="1" applyProtection="1">
      <alignment shrinkToFit="1"/>
      <protection locked="0"/>
    </xf>
    <xf numFmtId="0" fontId="0" fillId="5" borderId="15" xfId="0" applyFill="1" applyBorder="1" applyAlignment="1" applyProtection="1">
      <alignment shrinkToFit="1"/>
      <protection locked="0"/>
    </xf>
    <xf numFmtId="3" fontId="27" fillId="5" borderId="13" xfId="0" applyNumberFormat="1" applyFont="1" applyFill="1" applyBorder="1" applyAlignment="1" applyProtection="1">
      <alignment shrinkToFit="1"/>
      <protection locked="0"/>
    </xf>
    <xf numFmtId="3" fontId="27" fillId="5" borderId="14" xfId="0" applyNumberFormat="1" applyFont="1" applyFill="1" applyBorder="1" applyAlignment="1" applyProtection="1">
      <alignment shrinkToFit="1"/>
      <protection locked="0"/>
    </xf>
    <xf numFmtId="3" fontId="27" fillId="5" borderId="15" xfId="0" applyNumberFormat="1" applyFont="1" applyFill="1" applyBorder="1" applyAlignment="1" applyProtection="1">
      <alignment shrinkToFit="1"/>
      <protection locked="0"/>
    </xf>
    <xf numFmtId="165" fontId="0" fillId="5" borderId="13" xfId="0" applyNumberFormat="1" applyFill="1" applyBorder="1" applyAlignment="1" applyProtection="1">
      <alignment shrinkToFit="1"/>
      <protection locked="0"/>
    </xf>
    <xf numFmtId="165" fontId="0" fillId="5" borderId="14" xfId="0" applyNumberFormat="1" applyFill="1" applyBorder="1" applyAlignment="1" applyProtection="1">
      <alignment shrinkToFit="1"/>
      <protection locked="0"/>
    </xf>
    <xf numFmtId="165" fontId="0" fillId="5" borderId="15" xfId="0" applyNumberFormat="1" applyFill="1" applyBorder="1" applyAlignment="1" applyProtection="1">
      <alignment shrinkToFit="1"/>
      <protection locked="0"/>
    </xf>
    <xf numFmtId="49" fontId="33" fillId="0" borderId="13" xfId="0" applyNumberFormat="1" applyFont="1" applyFill="1" applyBorder="1" applyAlignment="1" applyProtection="1">
      <protection locked="0"/>
    </xf>
    <xf numFmtId="49" fontId="30" fillId="0" borderId="14" xfId="0" applyNumberFormat="1" applyFont="1" applyFill="1" applyBorder="1" applyAlignment="1" applyProtection="1">
      <protection locked="0"/>
    </xf>
    <xf numFmtId="49" fontId="30" fillId="0" borderId="15" xfId="0" applyNumberFormat="1" applyFont="1" applyFill="1" applyBorder="1" applyAlignment="1" applyProtection="1">
      <protection locked="0"/>
    </xf>
    <xf numFmtId="49" fontId="27" fillId="4" borderId="15" xfId="2" applyNumberFormat="1" applyFill="1" applyBorder="1" applyAlignment="1" applyProtection="1">
      <alignment shrinkToFit="1"/>
      <protection locked="0"/>
    </xf>
    <xf numFmtId="0" fontId="28" fillId="0" borderId="0" xfId="2" applyFont="1" applyAlignment="1">
      <alignment horizontal="center"/>
    </xf>
    <xf numFmtId="165" fontId="27" fillId="4" borderId="14" xfId="2" applyNumberFormat="1" applyFill="1" applyBorder="1" applyAlignment="1" applyProtection="1">
      <alignment shrinkToFit="1"/>
      <protection locked="0"/>
    </xf>
    <xf numFmtId="165" fontId="27" fillId="4" borderId="15" xfId="2" applyNumberFormat="1" applyFill="1" applyBorder="1" applyAlignment="1" applyProtection="1">
      <alignment shrinkToFit="1"/>
      <protection locked="0"/>
    </xf>
    <xf numFmtId="3" fontId="27" fillId="4" borderId="13" xfId="2" applyNumberFormat="1" applyFill="1" applyBorder="1" applyAlignment="1" applyProtection="1">
      <alignment horizontal="left" shrinkToFit="1"/>
      <protection locked="0"/>
    </xf>
    <xf numFmtId="3" fontId="27" fillId="4" borderId="14" xfId="2" applyNumberFormat="1" applyFill="1" applyBorder="1" applyAlignment="1" applyProtection="1">
      <alignment horizontal="left" shrinkToFit="1"/>
      <protection locked="0"/>
    </xf>
    <xf numFmtId="3" fontId="27" fillId="4" borderId="15" xfId="2" applyNumberFormat="1" applyFill="1" applyBorder="1" applyAlignment="1" applyProtection="1">
      <alignment horizontal="left" shrinkToFit="1"/>
      <protection locked="0"/>
    </xf>
    <xf numFmtId="49" fontId="27" fillId="4" borderId="13" xfId="2" applyNumberFormat="1" applyFill="1" applyBorder="1" applyAlignment="1" applyProtection="1">
      <alignment horizontal="left" shrinkToFit="1"/>
      <protection locked="0"/>
    </xf>
    <xf numFmtId="49" fontId="27" fillId="4" borderId="14" xfId="2" applyNumberFormat="1" applyFill="1" applyBorder="1" applyAlignment="1" applyProtection="1">
      <alignment horizontal="left" shrinkToFit="1"/>
      <protection locked="0"/>
    </xf>
    <xf numFmtId="49" fontId="27" fillId="4" borderId="15" xfId="2" applyNumberFormat="1" applyFill="1" applyBorder="1" applyAlignment="1" applyProtection="1">
      <alignment horizontal="left" shrinkToFit="1"/>
      <protection locked="0"/>
    </xf>
    <xf numFmtId="49" fontId="27" fillId="2" borderId="13" xfId="2" applyNumberFormat="1" applyFont="1" applyFill="1" applyBorder="1" applyAlignment="1" applyProtection="1">
      <protection locked="0"/>
    </xf>
    <xf numFmtId="49" fontId="27" fillId="2" borderId="14" xfId="2" applyNumberFormat="1" applyFont="1" applyFill="1" applyBorder="1" applyAlignment="1" applyProtection="1">
      <protection locked="0"/>
    </xf>
    <xf numFmtId="49" fontId="27" fillId="2" borderId="15" xfId="2" applyNumberFormat="1" applyFont="1" applyFill="1" applyBorder="1" applyAlignment="1" applyProtection="1">
      <protection locked="0"/>
    </xf>
    <xf numFmtId="0" fontId="27" fillId="0" borderId="10" xfId="2" applyFont="1" applyBorder="1" applyAlignment="1"/>
    <xf numFmtId="1" fontId="74" fillId="4" borderId="25" xfId="0" quotePrefix="1" applyNumberFormat="1" applyFont="1" applyFill="1" applyBorder="1" applyAlignment="1" applyProtection="1">
      <alignment horizontal="left"/>
      <protection locked="0"/>
    </xf>
    <xf numFmtId="0" fontId="74" fillId="0" borderId="25" xfId="0" applyFont="1" applyBorder="1" applyAlignment="1">
      <alignment horizontal="left"/>
    </xf>
    <xf numFmtId="1" fontId="74" fillId="4" borderId="23" xfId="0" quotePrefix="1" applyNumberFormat="1" applyFont="1" applyFill="1" applyBorder="1" applyAlignment="1" applyProtection="1">
      <alignment horizontal="left"/>
      <protection locked="0"/>
    </xf>
    <xf numFmtId="0" fontId="74" fillId="0" borderId="20" xfId="0" applyFont="1" applyBorder="1" applyAlignment="1">
      <alignment horizontal="left"/>
    </xf>
    <xf numFmtId="0" fontId="74" fillId="0" borderId="24" xfId="0" applyFont="1" applyBorder="1" applyAlignment="1">
      <alignment horizontal="left"/>
    </xf>
    <xf numFmtId="49" fontId="30" fillId="6" borderId="13" xfId="0" applyNumberFormat="1" applyFont="1" applyFill="1" applyBorder="1" applyAlignment="1" applyProtection="1">
      <protection locked="0"/>
    </xf>
    <xf numFmtId="49" fontId="30" fillId="6" borderId="14" xfId="0" applyNumberFormat="1" applyFont="1" applyFill="1" applyBorder="1" applyAlignment="1" applyProtection="1">
      <protection locked="0"/>
    </xf>
    <xf numFmtId="49" fontId="30" fillId="6" borderId="15" xfId="0" applyNumberFormat="1" applyFont="1" applyFill="1" applyBorder="1" applyAlignment="1" applyProtection="1">
      <protection locked="0"/>
    </xf>
    <xf numFmtId="49" fontId="27" fillId="6" borderId="22" xfId="0" applyNumberFormat="1" applyFont="1" applyFill="1" applyBorder="1" applyAlignment="1" applyProtection="1">
      <protection locked="0"/>
    </xf>
    <xf numFmtId="49" fontId="27" fillId="6" borderId="10" xfId="0" applyNumberFormat="1" applyFont="1" applyFill="1" applyBorder="1" applyAlignment="1" applyProtection="1">
      <protection locked="0"/>
    </xf>
    <xf numFmtId="49" fontId="27" fillId="6" borderId="15" xfId="0" applyNumberFormat="1" applyFont="1" applyFill="1" applyBorder="1" applyAlignment="1" applyProtection="1">
      <protection locked="0"/>
    </xf>
    <xf numFmtId="49" fontId="27" fillId="6" borderId="13" xfId="0" applyNumberFormat="1" applyFont="1" applyFill="1" applyBorder="1" applyAlignment="1" applyProtection="1">
      <protection locked="0"/>
    </xf>
    <xf numFmtId="49" fontId="27" fillId="6" borderId="14" xfId="0" applyNumberFormat="1" applyFont="1" applyFill="1" applyBorder="1" applyAlignment="1" applyProtection="1">
      <protection locked="0"/>
    </xf>
    <xf numFmtId="1" fontId="27" fillId="4" borderId="13" xfId="0" quotePrefix="1" applyNumberFormat="1" applyFont="1" applyFill="1" applyBorder="1" applyAlignment="1" applyProtection="1">
      <alignment horizontal="left" shrinkToFit="1"/>
      <protection locked="0"/>
    </xf>
    <xf numFmtId="49" fontId="27" fillId="4" borderId="14" xfId="0" applyNumberFormat="1" applyFont="1" applyFill="1" applyBorder="1" applyAlignment="1" applyProtection="1">
      <alignment shrinkToFit="1"/>
      <protection locked="0"/>
    </xf>
    <xf numFmtId="49" fontId="27" fillId="0" borderId="14" xfId="0" applyNumberFormat="1" applyFont="1" applyBorder="1" applyAlignment="1" applyProtection="1">
      <alignment shrinkToFit="1"/>
      <protection locked="0"/>
    </xf>
    <xf numFmtId="49" fontId="27" fillId="0" borderId="15" xfId="0" applyNumberFormat="1" applyFont="1" applyBorder="1" applyAlignment="1" applyProtection="1">
      <alignment shrinkToFit="1"/>
      <protection locked="0"/>
    </xf>
    <xf numFmtId="0" fontId="27" fillId="0" borderId="14" xfId="0" applyFont="1" applyBorder="1" applyAlignment="1" applyProtection="1">
      <alignment shrinkToFit="1"/>
      <protection locked="0"/>
    </xf>
    <xf numFmtId="0" fontId="27" fillId="0" borderId="15" xfId="0" applyFont="1" applyBorder="1" applyAlignment="1" applyProtection="1">
      <alignment shrinkToFit="1"/>
      <protection locked="0"/>
    </xf>
    <xf numFmtId="3" fontId="27" fillId="4" borderId="13" xfId="0" applyNumberFormat="1" applyFont="1" applyFill="1" applyBorder="1" applyAlignment="1" applyProtection="1">
      <alignment shrinkToFit="1"/>
      <protection locked="0"/>
    </xf>
    <xf numFmtId="3" fontId="27" fillId="0" borderId="14" xfId="0" applyNumberFormat="1" applyFont="1" applyBorder="1" applyAlignment="1" applyProtection="1">
      <alignment shrinkToFit="1"/>
      <protection locked="0"/>
    </xf>
    <xf numFmtId="3" fontId="27" fillId="0" borderId="15" xfId="0" applyNumberFormat="1" applyFont="1" applyBorder="1" applyAlignment="1" applyProtection="1">
      <alignment shrinkToFit="1"/>
      <protection locked="0"/>
    </xf>
    <xf numFmtId="165" fontId="27" fillId="0" borderId="14" xfId="0" applyNumberFormat="1" applyFont="1" applyBorder="1" applyAlignment="1" applyProtection="1">
      <alignment shrinkToFit="1"/>
      <protection locked="0"/>
    </xf>
    <xf numFmtId="165" fontId="27" fillId="0" borderId="15" xfId="0" applyNumberFormat="1" applyFont="1" applyBorder="1" applyAlignment="1" applyProtection="1">
      <alignment shrinkToFit="1"/>
      <protection locked="0"/>
    </xf>
    <xf numFmtId="0" fontId="27" fillId="0" borderId="10" xfId="0" applyFont="1" applyBorder="1" applyAlignment="1">
      <alignment wrapText="1"/>
    </xf>
    <xf numFmtId="49" fontId="27" fillId="5" borderId="22" xfId="0" applyNumberFormat="1" applyFont="1" applyFill="1" applyBorder="1" applyAlignment="1" applyProtection="1">
      <protection locked="0"/>
    </xf>
    <xf numFmtId="49" fontId="27" fillId="5" borderId="10" xfId="0" applyNumberFormat="1" applyFont="1" applyFill="1" applyBorder="1" applyAlignment="1" applyProtection="1">
      <protection locked="0"/>
    </xf>
    <xf numFmtId="49" fontId="27" fillId="5" borderId="15" xfId="0" applyNumberFormat="1" applyFont="1" applyFill="1" applyBorder="1" applyAlignment="1" applyProtection="1">
      <protection locked="0"/>
    </xf>
    <xf numFmtId="49" fontId="27" fillId="5" borderId="13" xfId="0" applyNumberFormat="1" applyFont="1" applyFill="1" applyBorder="1" applyAlignment="1" applyProtection="1">
      <protection locked="0"/>
    </xf>
    <xf numFmtId="49" fontId="27" fillId="5" borderId="14" xfId="0" applyNumberFormat="1" applyFont="1" applyFill="1" applyBorder="1" applyAlignment="1" applyProtection="1">
      <protection locked="0"/>
    </xf>
    <xf numFmtId="3" fontId="27" fillId="4" borderId="13" xfId="0" quotePrefix="1" applyNumberFormat="1" applyFont="1" applyFill="1" applyBorder="1" applyAlignment="1" applyProtection="1">
      <alignment shrinkToFit="1"/>
      <protection locked="0"/>
    </xf>
    <xf numFmtId="49" fontId="30" fillId="2" borderId="22" xfId="0" applyNumberFormat="1" applyFont="1" applyFill="1" applyBorder="1" applyAlignment="1" applyProtection="1">
      <protection locked="0"/>
    </xf>
    <xf numFmtId="49" fontId="30" fillId="2" borderId="10" xfId="0" applyNumberFormat="1" applyFont="1" applyFill="1" applyBorder="1" applyAlignment="1" applyProtection="1">
      <protection locked="0"/>
    </xf>
    <xf numFmtId="49" fontId="27" fillId="0" borderId="13" xfId="0" applyNumberFormat="1" applyFont="1" applyFill="1" applyBorder="1" applyAlignment="1" applyProtection="1">
      <protection locked="0"/>
    </xf>
    <xf numFmtId="49" fontId="0" fillId="0" borderId="14" xfId="0" applyNumberFormat="1" applyFill="1" applyBorder="1" applyAlignment="1" applyProtection="1">
      <protection locked="0"/>
    </xf>
    <xf numFmtId="49" fontId="0" fillId="0" borderId="15" xfId="0" applyNumberFormat="1" applyFill="1" applyBorder="1" applyAlignment="1" applyProtection="1">
      <protection locked="0"/>
    </xf>
    <xf numFmtId="49" fontId="27" fillId="0" borderId="13" xfId="22" applyNumberFormat="1" applyFont="1" applyFill="1" applyBorder="1" applyAlignment="1" applyProtection="1">
      <protection locked="0"/>
    </xf>
    <xf numFmtId="49" fontId="27" fillId="0" borderId="14" xfId="22" applyNumberFormat="1" applyFont="1" applyFill="1" applyBorder="1" applyAlignment="1" applyProtection="1">
      <protection locked="0"/>
    </xf>
    <xf numFmtId="49" fontId="27" fillId="0" borderId="15" xfId="22" applyNumberFormat="1" applyFont="1" applyFill="1" applyBorder="1" applyAlignment="1" applyProtection="1">
      <protection locked="0"/>
    </xf>
    <xf numFmtId="49" fontId="30" fillId="0" borderId="13" xfId="0" applyNumberFormat="1" applyFont="1" applyFill="1" applyBorder="1" applyAlignment="1" applyProtection="1">
      <protection locked="0"/>
    </xf>
    <xf numFmtId="49" fontId="0" fillId="0" borderId="13" xfId="0" applyNumberFormat="1" applyFill="1" applyBorder="1" applyAlignment="1" applyProtection="1">
      <protection locked="0"/>
    </xf>
    <xf numFmtId="49" fontId="27" fillId="0" borderId="22" xfId="22" applyNumberFormat="1" applyFont="1" applyFill="1" applyBorder="1" applyAlignment="1" applyProtection="1">
      <protection locked="0"/>
    </xf>
    <xf numFmtId="49" fontId="27" fillId="0" borderId="10" xfId="22" applyNumberFormat="1" applyFont="1" applyFill="1" applyBorder="1" applyAlignment="1" applyProtection="1">
      <protection locked="0"/>
    </xf>
    <xf numFmtId="0" fontId="0" fillId="0" borderId="14" xfId="0" applyNumberFormat="1" applyBorder="1" applyAlignment="1" applyProtection="1">
      <alignment shrinkToFit="1"/>
      <protection locked="0"/>
    </xf>
    <xf numFmtId="0" fontId="0" fillId="0" borderId="15" xfId="0" applyNumberFormat="1" applyBorder="1" applyAlignment="1" applyProtection="1">
      <alignment shrinkToFit="1"/>
      <protection locked="0"/>
    </xf>
    <xf numFmtId="49" fontId="35" fillId="2" borderId="13" xfId="0" applyNumberFormat="1" applyFont="1" applyFill="1" applyBorder="1" applyAlignment="1" applyProtection="1">
      <protection locked="0"/>
    </xf>
    <xf numFmtId="49" fontId="35" fillId="2" borderId="14" xfId="0" applyNumberFormat="1" applyFont="1" applyFill="1" applyBorder="1" applyAlignment="1" applyProtection="1">
      <protection locked="0"/>
    </xf>
    <xf numFmtId="49" fontId="35" fillId="2" borderId="15" xfId="0" applyNumberFormat="1" applyFont="1" applyFill="1" applyBorder="1" applyAlignment="1" applyProtection="1">
      <protection locked="0"/>
    </xf>
    <xf numFmtId="49" fontId="0" fillId="2" borderId="13" xfId="0" applyNumberFormat="1" applyFill="1" applyBorder="1" applyAlignment="1" applyProtection="1">
      <alignment horizontal="left"/>
      <protection locked="0"/>
    </xf>
    <xf numFmtId="49" fontId="0" fillId="2" borderId="14" xfId="0" applyNumberFormat="1" applyFill="1" applyBorder="1" applyAlignment="1" applyProtection="1">
      <alignment horizontal="left"/>
      <protection locked="0"/>
    </xf>
    <xf numFmtId="49" fontId="0" fillId="2" borderId="15" xfId="0" applyNumberFormat="1" applyFill="1" applyBorder="1" applyAlignment="1" applyProtection="1">
      <alignment horizontal="left"/>
      <protection locked="0"/>
    </xf>
    <xf numFmtId="49" fontId="27" fillId="4" borderId="13" xfId="2" applyNumberFormat="1" applyFont="1" applyFill="1" applyBorder="1" applyAlignment="1" applyProtection="1">
      <alignment shrinkToFit="1"/>
      <protection locked="0"/>
    </xf>
    <xf numFmtId="0" fontId="27" fillId="0" borderId="14" xfId="2" applyBorder="1" applyAlignment="1" applyProtection="1">
      <alignment shrinkToFit="1"/>
      <protection locked="0"/>
    </xf>
    <xf numFmtId="0" fontId="27" fillId="0" borderId="15" xfId="2" applyBorder="1" applyAlignment="1" applyProtection="1">
      <alignment shrinkToFit="1"/>
      <protection locked="0"/>
    </xf>
    <xf numFmtId="165" fontId="27" fillId="4" borderId="13" xfId="2" applyNumberFormat="1" applyFont="1" applyFill="1" applyBorder="1" applyAlignment="1" applyProtection="1">
      <alignment shrinkToFit="1"/>
      <protection locked="0"/>
    </xf>
    <xf numFmtId="0" fontId="0" fillId="0" borderId="27" xfId="0" applyFill="1" applyBorder="1" applyAlignment="1">
      <alignment horizontal="left" wrapText="1"/>
    </xf>
    <xf numFmtId="0" fontId="0" fillId="0" borderId="0" xfId="0" applyFill="1" applyBorder="1" applyAlignment="1">
      <alignment horizontal="left" vertical="top"/>
    </xf>
    <xf numFmtId="0" fontId="85" fillId="0" borderId="28" xfId="0" applyFont="1" applyFill="1" applyBorder="1" applyAlignment="1">
      <alignment horizontal="left" vertical="top" wrapText="1" indent="11"/>
    </xf>
    <xf numFmtId="0" fontId="85" fillId="0" borderId="29" xfId="0" applyFont="1" applyFill="1" applyBorder="1" applyAlignment="1">
      <alignment horizontal="left" vertical="top" wrapText="1" indent="11"/>
    </xf>
    <xf numFmtId="0" fontId="85" fillId="0" borderId="30" xfId="0" applyFont="1" applyFill="1" applyBorder="1" applyAlignment="1">
      <alignment horizontal="left" vertical="top" wrapText="1" indent="11"/>
    </xf>
    <xf numFmtId="0" fontId="87" fillId="0" borderId="27" xfId="0" applyFont="1" applyFill="1" applyBorder="1" applyAlignment="1">
      <alignment horizontal="left" vertical="top" wrapText="1"/>
    </xf>
    <xf numFmtId="0" fontId="87" fillId="0" borderId="27" xfId="0" applyFont="1" applyFill="1" applyBorder="1" applyAlignment="1">
      <alignment horizontal="right" vertical="top" wrapText="1"/>
    </xf>
    <xf numFmtId="0" fontId="89" fillId="13" borderId="28" xfId="0" applyFont="1" applyFill="1" applyBorder="1" applyAlignment="1">
      <alignment horizontal="left" vertical="top" wrapText="1"/>
    </xf>
    <xf numFmtId="0" fontId="89" fillId="13" borderId="29" xfId="0" applyFont="1" applyFill="1" applyBorder="1" applyAlignment="1">
      <alignment horizontal="left" vertical="top" wrapText="1"/>
    </xf>
    <xf numFmtId="0" fontId="89" fillId="13" borderId="30" xfId="0" applyFont="1" applyFill="1" applyBorder="1" applyAlignment="1">
      <alignment horizontal="left" vertical="top" wrapText="1"/>
    </xf>
    <xf numFmtId="1" fontId="91" fillId="13" borderId="28" xfId="0" applyNumberFormat="1" applyFont="1" applyFill="1" applyBorder="1" applyAlignment="1">
      <alignment horizontal="left" vertical="top" shrinkToFit="1"/>
    </xf>
    <xf numFmtId="1" fontId="91" fillId="13" borderId="29" xfId="0" applyNumberFormat="1" applyFont="1" applyFill="1" applyBorder="1" applyAlignment="1">
      <alignment horizontal="left" vertical="top" shrinkToFit="1"/>
    </xf>
    <xf numFmtId="1" fontId="91" fillId="13" borderId="30" xfId="0" applyNumberFormat="1" applyFont="1" applyFill="1" applyBorder="1" applyAlignment="1">
      <alignment horizontal="left" vertical="top" shrinkToFit="1"/>
    </xf>
    <xf numFmtId="0" fontId="0" fillId="0" borderId="30" xfId="0" applyFill="1" applyBorder="1" applyAlignment="1">
      <alignment horizontal="left" wrapText="1"/>
    </xf>
    <xf numFmtId="0" fontId="0" fillId="0" borderId="27" xfId="0" applyFill="1" applyBorder="1" applyAlignment="1">
      <alignment horizontal="left" vertical="center" wrapText="1"/>
    </xf>
    <xf numFmtId="0" fontId="0" fillId="0" borderId="28" xfId="0" applyFill="1" applyBorder="1" applyAlignment="1">
      <alignment horizontal="left" vertical="center" wrapText="1"/>
    </xf>
    <xf numFmtId="0" fontId="0" fillId="0" borderId="29" xfId="0" applyFill="1" applyBorder="1" applyAlignment="1">
      <alignment horizontal="left" vertical="center" wrapText="1"/>
    </xf>
    <xf numFmtId="0" fontId="0" fillId="0" borderId="30" xfId="0" applyFill="1" applyBorder="1" applyAlignment="1">
      <alignment horizontal="left" vertical="center" wrapText="1"/>
    </xf>
    <xf numFmtId="0" fontId="87" fillId="0" borderId="28" xfId="0" applyFont="1" applyFill="1" applyBorder="1" applyAlignment="1">
      <alignment horizontal="center" vertical="center" wrapText="1"/>
    </xf>
    <xf numFmtId="0" fontId="87" fillId="0" borderId="29" xfId="0" applyFont="1" applyFill="1" applyBorder="1" applyAlignment="1">
      <alignment horizontal="center" vertical="center" wrapText="1"/>
    </xf>
    <xf numFmtId="0" fontId="87" fillId="0" borderId="30" xfId="0" applyFont="1" applyFill="1" applyBorder="1" applyAlignment="1">
      <alignment horizontal="center" vertical="center" wrapText="1"/>
    </xf>
    <xf numFmtId="0" fontId="87" fillId="0" borderId="27" xfId="0" applyFont="1" applyFill="1" applyBorder="1" applyAlignment="1">
      <alignment horizontal="left" vertical="center" wrapText="1"/>
    </xf>
    <xf numFmtId="0" fontId="87" fillId="0" borderId="27" xfId="0" applyFont="1" applyFill="1" applyBorder="1" applyAlignment="1">
      <alignment horizontal="left" vertical="center" wrapText="1" indent="1"/>
    </xf>
    <xf numFmtId="0" fontId="87" fillId="0" borderId="27" xfId="0" applyFont="1" applyFill="1" applyBorder="1" applyAlignment="1">
      <alignment horizontal="left" vertical="center" wrapText="1" indent="2"/>
    </xf>
    <xf numFmtId="0" fontId="0" fillId="0" borderId="27" xfId="0" applyFill="1" applyBorder="1" applyAlignment="1">
      <alignment horizontal="left" vertical="top" wrapText="1"/>
    </xf>
    <xf numFmtId="0" fontId="89" fillId="0" borderId="27" xfId="0" applyFont="1" applyFill="1" applyBorder="1" applyAlignment="1">
      <alignment horizontal="left" vertical="top" wrapText="1"/>
    </xf>
    <xf numFmtId="0" fontId="89" fillId="14" borderId="27" xfId="0" applyFont="1" applyFill="1" applyBorder="1" applyAlignment="1">
      <alignment horizontal="left" vertical="top" wrapText="1"/>
    </xf>
    <xf numFmtId="173" fontId="91" fillId="14" borderId="27" xfId="0" applyNumberFormat="1" applyFont="1" applyFill="1" applyBorder="1" applyAlignment="1">
      <alignment horizontal="right" vertical="top" shrinkToFit="1"/>
    </xf>
    <xf numFmtId="174" fontId="91" fillId="14" borderId="27" xfId="0" applyNumberFormat="1" applyFont="1" applyFill="1" applyBorder="1" applyAlignment="1">
      <alignment horizontal="right" vertical="top" shrinkToFit="1"/>
    </xf>
    <xf numFmtId="0" fontId="0" fillId="14" borderId="27" xfId="0" applyFill="1" applyBorder="1" applyAlignment="1">
      <alignment horizontal="left" wrapText="1"/>
    </xf>
    <xf numFmtId="1" fontId="91" fillId="14" borderId="27" xfId="0" applyNumberFormat="1" applyFont="1" applyFill="1" applyBorder="1" applyAlignment="1">
      <alignment horizontal="right" vertical="top" shrinkToFit="1"/>
    </xf>
    <xf numFmtId="3" fontId="91" fillId="14" borderId="27" xfId="0" applyNumberFormat="1" applyFont="1" applyFill="1" applyBorder="1" applyAlignment="1">
      <alignment horizontal="right" vertical="top" shrinkToFit="1"/>
    </xf>
    <xf numFmtId="0" fontId="93" fillId="14" borderId="28" xfId="0" applyFont="1" applyFill="1" applyBorder="1" applyAlignment="1">
      <alignment horizontal="left" vertical="top" wrapText="1"/>
    </xf>
    <xf numFmtId="0" fontId="93" fillId="14" borderId="29" xfId="0" applyFont="1" applyFill="1" applyBorder="1" applyAlignment="1">
      <alignment horizontal="left" vertical="top" wrapText="1"/>
    </xf>
    <xf numFmtId="0" fontId="93" fillId="14" borderId="30" xfId="0" applyFont="1" applyFill="1" applyBorder="1" applyAlignment="1">
      <alignment horizontal="left" vertical="top" wrapText="1"/>
    </xf>
    <xf numFmtId="0" fontId="0" fillId="14" borderId="28" xfId="0" applyFill="1" applyBorder="1" applyAlignment="1">
      <alignment horizontal="left" wrapText="1"/>
    </xf>
    <xf numFmtId="0" fontId="0" fillId="14" borderId="29" xfId="0" applyFill="1" applyBorder="1" applyAlignment="1">
      <alignment horizontal="left" wrapText="1"/>
    </xf>
    <xf numFmtId="0" fontId="0" fillId="14" borderId="30" xfId="0" applyFill="1" applyBorder="1" applyAlignment="1">
      <alignment horizontal="left" wrapText="1"/>
    </xf>
    <xf numFmtId="0" fontId="87" fillId="0" borderId="27" xfId="0" applyFont="1" applyFill="1" applyBorder="1" applyAlignment="1">
      <alignment horizontal="right" vertical="top" wrapText="1" indent="2"/>
    </xf>
    <xf numFmtId="0" fontId="87" fillId="0" borderId="27" xfId="0" applyFont="1" applyFill="1" applyBorder="1" applyAlignment="1">
      <alignment horizontal="right" wrapText="1"/>
    </xf>
    <xf numFmtId="0" fontId="87" fillId="0" borderId="27" xfId="0" applyFont="1" applyFill="1" applyBorder="1" applyAlignment="1">
      <alignment horizontal="left" wrapText="1" indent="1"/>
    </xf>
    <xf numFmtId="0" fontId="87" fillId="0" borderId="27" xfId="0" applyFont="1" applyFill="1" applyBorder="1" applyAlignment="1">
      <alignment horizontal="left" wrapText="1"/>
    </xf>
    <xf numFmtId="0" fontId="87" fillId="0" borderId="27" xfId="0" applyFont="1" applyFill="1" applyBorder="1" applyAlignment="1">
      <alignment horizontal="left" vertical="top" wrapText="1" indent="2"/>
    </xf>
    <xf numFmtId="0" fontId="89" fillId="0" borderId="28" xfId="0" applyFont="1" applyFill="1" applyBorder="1" applyAlignment="1">
      <alignment horizontal="left" vertical="top" wrapText="1"/>
    </xf>
    <xf numFmtId="0" fontId="89" fillId="0" borderId="30" xfId="0" applyFont="1" applyFill="1" applyBorder="1" applyAlignment="1">
      <alignment horizontal="left" vertical="top" wrapText="1"/>
    </xf>
    <xf numFmtId="0" fontId="87" fillId="0" borderId="27" xfId="0" applyFont="1" applyFill="1" applyBorder="1" applyAlignment="1">
      <alignment horizontal="right" vertical="center" wrapText="1"/>
    </xf>
    <xf numFmtId="0" fontId="87" fillId="0" borderId="28" xfId="0" applyFont="1" applyFill="1" applyBorder="1" applyAlignment="1">
      <alignment horizontal="left" vertical="top" wrapText="1"/>
    </xf>
    <xf numFmtId="0" fontId="87" fillId="0" borderId="30" xfId="0" applyFont="1" applyFill="1" applyBorder="1" applyAlignment="1">
      <alignment horizontal="left" vertical="top" wrapText="1"/>
    </xf>
    <xf numFmtId="0" fontId="89" fillId="14" borderId="28" xfId="0" applyFont="1" applyFill="1" applyBorder="1" applyAlignment="1">
      <alignment horizontal="left" vertical="top" wrapText="1"/>
    </xf>
    <xf numFmtId="0" fontId="89" fillId="14" borderId="29" xfId="0" applyFont="1" applyFill="1" applyBorder="1" applyAlignment="1">
      <alignment horizontal="left" vertical="top" wrapText="1"/>
    </xf>
    <xf numFmtId="0" fontId="89" fillId="14" borderId="30" xfId="0" applyFont="1" applyFill="1" applyBorder="1" applyAlignment="1">
      <alignment horizontal="left" vertical="top" wrapText="1"/>
    </xf>
    <xf numFmtId="0" fontId="0" fillId="0" borderId="28" xfId="0" applyFill="1" applyBorder="1" applyAlignment="1">
      <alignment horizontal="left" wrapText="1"/>
    </xf>
    <xf numFmtId="0" fontId="0" fillId="0" borderId="30" xfId="0" applyFill="1" applyBorder="1" applyAlignment="1">
      <alignment horizontal="left" wrapText="1"/>
    </xf>
    <xf numFmtId="0" fontId="87" fillId="0" borderId="31" xfId="0" applyFont="1" applyFill="1" applyBorder="1" applyAlignment="1">
      <alignment horizontal="right" vertical="center" wrapText="1"/>
    </xf>
    <xf numFmtId="0" fontId="87" fillId="0" borderId="31" xfId="0" applyFont="1" applyFill="1" applyBorder="1" applyAlignment="1">
      <alignment horizontal="left" vertical="center" wrapText="1" indent="1"/>
    </xf>
    <xf numFmtId="0" fontId="87" fillId="0" borderId="31" xfId="0" applyFont="1" applyFill="1" applyBorder="1" applyAlignment="1">
      <alignment horizontal="left" vertical="center" wrapText="1"/>
    </xf>
    <xf numFmtId="0" fontId="87" fillId="0" borderId="31" xfId="0" applyFont="1" applyFill="1" applyBorder="1" applyAlignment="1">
      <alignment horizontal="left" vertical="center" wrapText="1" indent="2"/>
    </xf>
    <xf numFmtId="0" fontId="0" fillId="0" borderId="29" xfId="0" applyFill="1" applyBorder="1" applyAlignment="1">
      <alignment horizontal="left" wrapText="1"/>
    </xf>
    <xf numFmtId="10" fontId="91" fillId="14" borderId="27" xfId="0" applyNumberFormat="1" applyFont="1" applyFill="1" applyBorder="1" applyAlignment="1">
      <alignment horizontal="right" vertical="top" shrinkToFit="1"/>
    </xf>
  </cellXfs>
  <cellStyles count="118">
    <cellStyle name="Comma" xfId="18" builtinId="3"/>
    <cellStyle name="Comma 10" xfId="84"/>
    <cellStyle name="Comma 10 2" xfId="59"/>
    <cellStyle name="Comma 2" xfId="5"/>
    <cellStyle name="Comma 2 2" xfId="45"/>
    <cellStyle name="Comma 2 2 2" xfId="102"/>
    <cellStyle name="Comma 2 3" xfId="50"/>
    <cellStyle name="Comma 2 3 2" xfId="107"/>
    <cellStyle name="Comma 2 4" xfId="56"/>
    <cellStyle name="Comma 2 5" xfId="76"/>
    <cellStyle name="Comma 3" xfId="14"/>
    <cellStyle name="Comma 3 2" xfId="70"/>
    <cellStyle name="Comma 4" xfId="25"/>
    <cellStyle name="Comma 4 2" xfId="67"/>
    <cellStyle name="Comma 4 3" xfId="88"/>
    <cellStyle name="Comma 5" xfId="35"/>
    <cellStyle name="Comma 5 2" xfId="95"/>
    <cellStyle name="Comma 6" xfId="37"/>
    <cellStyle name="Comma 7" xfId="38"/>
    <cellStyle name="Comma 8" xfId="41"/>
    <cellStyle name="Comma 8 2" xfId="98"/>
    <cellStyle name="Comma 9" xfId="64"/>
    <cellStyle name="Comma 9 2" xfId="115"/>
    <cellStyle name="Currency" xfId="19" builtinId="4"/>
    <cellStyle name="Currency 10 2" xfId="58"/>
    <cellStyle name="Currency 2" xfId="8"/>
    <cellStyle name="Currency 2 2" xfId="23"/>
    <cellStyle name="Currency 2 2 2" xfId="87"/>
    <cellStyle name="Currency 2 3" xfId="44"/>
    <cellStyle name="Currency 2 3 2" xfId="101"/>
    <cellStyle name="Currency 2 4" xfId="51"/>
    <cellStyle name="Currency 2 4 2" xfId="108"/>
    <cellStyle name="Currency 2 5" xfId="55"/>
    <cellStyle name="Currency 2 6" xfId="78"/>
    <cellStyle name="Currency 3" xfId="28"/>
    <cellStyle name="Currency 3 2" xfId="68"/>
    <cellStyle name="Currency 3 3" xfId="91"/>
    <cellStyle name="Currency 4" xfId="32"/>
    <cellStyle name="Currency 4 2" xfId="94"/>
    <cellStyle name="Currency 5" xfId="33"/>
    <cellStyle name="Currency 6" xfId="39"/>
    <cellStyle name="Currency 6 2" xfId="96"/>
    <cellStyle name="Currency 7" xfId="49"/>
    <cellStyle name="Currency 7 2" xfId="106"/>
    <cellStyle name="Currency 8" xfId="65"/>
    <cellStyle name="Currency 8 2" xfId="116"/>
    <cellStyle name="Currency 9" xfId="85"/>
    <cellStyle name="Hyperlink" xfId="117" builtinId="8"/>
    <cellStyle name="Hyperlink 2" xfId="16"/>
    <cellStyle name="Hyperlink 3" xfId="21"/>
    <cellStyle name="Hyperlink 4" xfId="34"/>
    <cellStyle name="Hyperlink 5" xfId="54"/>
    <cellStyle name="Normal" xfId="0" builtinId="0"/>
    <cellStyle name="Normal 10" xfId="27"/>
    <cellStyle name="Normal 10 2" xfId="90"/>
    <cellStyle name="Normal 11" xfId="30"/>
    <cellStyle name="Normal 11 2" xfId="92"/>
    <cellStyle name="Normal 12" xfId="36"/>
    <cellStyle name="Normal 13" xfId="46"/>
    <cellStyle name="Normal 13 2" xfId="103"/>
    <cellStyle name="Normal 14" xfId="48"/>
    <cellStyle name="Normal 14 2" xfId="105"/>
    <cellStyle name="Normal 15" xfId="57"/>
    <cellStyle name="Normal 15 2" xfId="111"/>
    <cellStyle name="Normal 16" xfId="62"/>
    <cellStyle name="Normal 16 2" xfId="113"/>
    <cellStyle name="Normal 17" xfId="71"/>
    <cellStyle name="Normal 18" xfId="73"/>
    <cellStyle name="Normal 19" xfId="72"/>
    <cellStyle name="Normal 2" xfId="2"/>
    <cellStyle name="Normal 2 2" xfId="52"/>
    <cellStyle name="Normal 2 2 2" xfId="109"/>
    <cellStyle name="Normal 2 3" xfId="66"/>
    <cellStyle name="Normal 3" xfId="3"/>
    <cellStyle name="Normal 3 2" xfId="7"/>
    <cellStyle name="Normal 3 3" xfId="10"/>
    <cellStyle name="Normal 3 3 2" xfId="80"/>
    <cellStyle name="Normal 3 4" xfId="29"/>
    <cellStyle name="Normal 3 5" xfId="42"/>
    <cellStyle name="Normal 3 5 2" xfId="99"/>
    <cellStyle name="Normal 3 6" xfId="75"/>
    <cellStyle name="Normal 4" xfId="4"/>
    <cellStyle name="Normal 5" xfId="9"/>
    <cellStyle name="Normal 5 2" xfId="79"/>
    <cellStyle name="Normal 6" xfId="12"/>
    <cellStyle name="Normal 6 2" xfId="22"/>
    <cellStyle name="Normal 6 3" xfId="81"/>
    <cellStyle name="Normal 7" xfId="13"/>
    <cellStyle name="Normal 7 2" xfId="82"/>
    <cellStyle name="Normal 8" xfId="17"/>
    <cellStyle name="Normal 8 2" xfId="83"/>
    <cellStyle name="Normal 9" xfId="20"/>
    <cellStyle name="Normal 9 2" xfId="86"/>
    <cellStyle name="Percent" xfId="1" builtinId="5"/>
    <cellStyle name="Percent 10" xfId="24"/>
    <cellStyle name="Percent 10 2 2" xfId="60"/>
    <cellStyle name="Percent 11" xfId="74"/>
    <cellStyle name="Percent 2" xfId="6"/>
    <cellStyle name="Percent 2 2" xfId="15"/>
    <cellStyle name="Percent 2 3" xfId="43"/>
    <cellStyle name="Percent 2 3 2" xfId="100"/>
    <cellStyle name="Percent 2 4" xfId="61"/>
    <cellStyle name="Percent 2 4 2" xfId="112"/>
    <cellStyle name="Percent 2 5" xfId="77"/>
    <cellStyle name="Percent 3" xfId="11"/>
    <cellStyle name="Percent 3 2" xfId="69"/>
    <cellStyle name="Percent 4" xfId="26"/>
    <cellStyle name="Percent 4 2" xfId="89"/>
    <cellStyle name="Percent 5" xfId="31"/>
    <cellStyle name="Percent 5 2" xfId="93"/>
    <cellStyle name="Percent 6" xfId="40"/>
    <cellStyle name="Percent 6 2" xfId="97"/>
    <cellStyle name="Percent 7" xfId="47"/>
    <cellStyle name="Percent 7 2" xfId="104"/>
    <cellStyle name="Percent 8" xfId="53"/>
    <cellStyle name="Percent 8 2" xfId="110"/>
    <cellStyle name="Percent 9" xfId="63"/>
    <cellStyle name="Percent 9 2" xfId="114"/>
  </cellStyles>
  <dxfs count="0"/>
  <tableStyles count="0" defaultTableStyle="TableStyleMedium9" defaultPivotStyle="PivotStyleLight16"/>
  <colors>
    <mruColors>
      <color rgb="FFB8CCE4"/>
      <color rgb="FFB8E0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6.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7.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5.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3.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FY2010 - FY2019 Rate Support for Charity Care</a:t>
            </a:r>
          </a:p>
          <a:p>
            <a:pPr>
              <a:defRPr/>
            </a:pPr>
            <a:r>
              <a:rPr lang="en-US" sz="1200" baseline="0"/>
              <a:t>(in millions)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28799531801311"/>
          <c:y val="0.22101851851851817"/>
          <c:w val="0.87140846625634893"/>
          <c:h val="0.5471602508019825"/>
        </c:manualLayout>
      </c:layout>
      <c:lineChart>
        <c:grouping val="standard"/>
        <c:varyColors val="0"/>
        <c:ser>
          <c:idx val="1"/>
          <c:order val="0"/>
          <c:tx>
            <c:v>Charity Care</c:v>
          </c:tx>
          <c:spPr>
            <a:ln w="28575" cap="rnd">
              <a:solidFill>
                <a:schemeClr val="accent1"/>
              </a:solidFill>
              <a:round/>
            </a:ln>
            <a:effectLst/>
          </c:spPr>
          <c:marker>
            <c:symbol val="none"/>
          </c:marker>
          <c:cat>
            <c:numRef>
              <c:f>Figures!$A$22:$A$31</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Figures!$B$22:$B$31</c:f>
              <c:numCache>
                <c:formatCode>"$"#,##0_);[Red]\("$"#,##0\)</c:formatCode>
                <c:ptCount val="10"/>
                <c:pt idx="0">
                  <c:v>312.049419</c:v>
                </c:pt>
                <c:pt idx="1">
                  <c:v>374.89863100000002</c:v>
                </c:pt>
                <c:pt idx="2">
                  <c:v>442.00888400000002</c:v>
                </c:pt>
                <c:pt idx="3">
                  <c:v>462.590418</c:v>
                </c:pt>
                <c:pt idx="4">
                  <c:v>463.908838</c:v>
                </c:pt>
                <c:pt idx="5">
                  <c:v>428.14220477171256</c:v>
                </c:pt>
                <c:pt idx="6">
                  <c:v>343.87975935278638</c:v>
                </c:pt>
                <c:pt idx="7">
                  <c:v>307.57909999999998</c:v>
                </c:pt>
                <c:pt idx="8">
                  <c:v>301.54137674841866</c:v>
                </c:pt>
                <c:pt idx="9">
                  <c:v>280.32054054977982</c:v>
                </c:pt>
              </c:numCache>
            </c:numRef>
          </c:val>
          <c:smooth val="0"/>
          <c:extLst>
            <c:ext xmlns:c16="http://schemas.microsoft.com/office/drawing/2014/chart" uri="{C3380CC4-5D6E-409C-BE32-E72D297353CC}">
              <c16:uniqueId val="{00000000-C9EE-4CD1-A33C-E661AC477458}"/>
            </c:ext>
          </c:extLst>
        </c:ser>
        <c:dLbls>
          <c:showLegendKey val="0"/>
          <c:showVal val="0"/>
          <c:showCatName val="0"/>
          <c:showSerName val="0"/>
          <c:showPercent val="0"/>
          <c:showBubbleSize val="0"/>
        </c:dLbls>
        <c:smooth val="0"/>
        <c:axId val="114790784"/>
        <c:axId val="114792320"/>
      </c:lineChart>
      <c:catAx>
        <c:axId val="11479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92320"/>
        <c:crosses val="autoZero"/>
        <c:auto val="1"/>
        <c:lblAlgn val="ctr"/>
        <c:lblOffset val="100"/>
        <c:noMultiLvlLbl val="0"/>
      </c:catAx>
      <c:valAx>
        <c:axId val="1147923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90784"/>
        <c:crosses val="autoZero"/>
        <c:crossBetween val="between"/>
        <c:majorUnit val="1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lgn="ctr">
              <a:defRPr sz="1400" b="0" i="0" u="none" strike="noStrike" kern="1200" spc="0" baseline="0">
                <a:solidFill>
                  <a:schemeClr val="tx1">
                    <a:lumMod val="65000"/>
                    <a:lumOff val="35000"/>
                  </a:schemeClr>
                </a:solidFill>
                <a:latin typeface="+mn-lt"/>
                <a:ea typeface="+mn-ea"/>
                <a:cs typeface="+mn-cs"/>
              </a:defRPr>
            </a:pPr>
            <a:r>
              <a:rPr lang="en-US"/>
              <a:t>FY2010-FY2019</a:t>
            </a:r>
            <a:r>
              <a:rPr lang="en-US" baseline="0"/>
              <a:t> Community Benefit Expense</a:t>
            </a:r>
          </a:p>
          <a:p>
            <a:pPr algn="ctr">
              <a:defRPr/>
            </a:pPr>
            <a:r>
              <a:rPr lang="en-US" sz="1100" baseline="0"/>
              <a:t>(in millions)</a:t>
            </a:r>
            <a:endParaRPr lang="en-US" sz="1100"/>
          </a:p>
        </c:rich>
      </c:tx>
      <c:layout>
        <c:manualLayout>
          <c:xMode val="edge"/>
          <c:yMode val="edge"/>
          <c:x val="0.22909102641278678"/>
          <c:y val="4.2424252546946442E-2"/>
        </c:manualLayout>
      </c:layout>
      <c:overlay val="0"/>
      <c:spPr>
        <a:noFill/>
        <a:ln>
          <a:noFill/>
        </a:ln>
        <a:effectLst/>
      </c:spPr>
      <c:txPr>
        <a:bodyPr rot="0" spcFirstLastPara="1" vertOverflow="ellipsis" vert="horz" wrap="square" anchor="t" anchorCtr="0"/>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Figures!$B$44</c:f>
              <c:strCache>
                <c:ptCount val="1"/>
                <c:pt idx="0">
                  <c:v>CB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Figures!$A$45:$A$54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Figures!$B$45:$B$54</c:f>
              <c:numCache>
                <c:formatCode>"$"#,##0_);[Red]\("$"#,##0\)</c:formatCode>
                <c:ptCount val="10"/>
                <c:pt idx="0">
                  <c:v>1051.0517503757258</c:v>
                </c:pt>
                <c:pt idx="1">
                  <c:v>1203.0176928095927</c:v>
                </c:pt>
                <c:pt idx="2">
                  <c:v>1378.3019303951344</c:v>
                </c:pt>
                <c:pt idx="3">
                  <c:v>1505.554321846221</c:v>
                </c:pt>
                <c:pt idx="4">
                  <c:v>1498.125311</c:v>
                </c:pt>
                <c:pt idx="5">
                  <c:v>1477.3026560000001</c:v>
                </c:pt>
                <c:pt idx="6">
                  <c:v>1523.6728668289177</c:v>
                </c:pt>
                <c:pt idx="7">
                  <c:v>1562.5152129999999</c:v>
                </c:pt>
                <c:pt idx="8">
                  <c:v>1748.4416889699364</c:v>
                </c:pt>
                <c:pt idx="9">
                  <c:v>1885.9526062099812</c:v>
                </c:pt>
              </c:numCache>
            </c:numRef>
          </c:val>
          <c:extLst>
            <c:ext xmlns:c16="http://schemas.microsoft.com/office/drawing/2014/chart" uri="{C3380CC4-5D6E-409C-BE32-E72D297353CC}">
              <c16:uniqueId val="{00000000-F6C5-4B70-9AED-B54BFF492E8C}"/>
            </c:ext>
          </c:extLst>
        </c:ser>
        <c:ser>
          <c:idx val="1"/>
          <c:order val="1"/>
          <c:tx>
            <c:strRef>
              <c:f>Figures!$C$44</c:f>
              <c:strCache>
                <c:ptCount val="1"/>
                <c:pt idx="0">
                  <c:v>CB Expense Less Rate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Figures!$A$45:$A$54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Figures!$C$45:$C$54</c:f>
              <c:numCache>
                <c:formatCode>"$"#,##0_);[Red]\("$"#,##0\)</c:formatCode>
                <c:ptCount val="10"/>
                <c:pt idx="0">
                  <c:v>515.46260137572574</c:v>
                </c:pt>
                <c:pt idx="1">
                  <c:v>580.41547980959274</c:v>
                </c:pt>
                <c:pt idx="2">
                  <c:v>651.68681639513431</c:v>
                </c:pt>
                <c:pt idx="3">
                  <c:v>713.44631884622095</c:v>
                </c:pt>
                <c:pt idx="4">
                  <c:v>724.6684919999999</c:v>
                </c:pt>
                <c:pt idx="5">
                  <c:v>731.20237529969745</c:v>
                </c:pt>
                <c:pt idx="6">
                  <c:v>827.66715307936329</c:v>
                </c:pt>
                <c:pt idx="7">
                  <c:v>895.94846399999994</c:v>
                </c:pt>
                <c:pt idx="8">
                  <c:v>1086.1815225812397</c:v>
                </c:pt>
                <c:pt idx="9">
                  <c:v>1236.0251120028438</c:v>
                </c:pt>
              </c:numCache>
            </c:numRef>
          </c:val>
          <c:extLst>
            <c:ext xmlns:c16="http://schemas.microsoft.com/office/drawing/2014/chart" uri="{C3380CC4-5D6E-409C-BE32-E72D297353CC}">
              <c16:uniqueId val="{00000001-F6C5-4B70-9AED-B54BFF492E8C}"/>
            </c:ext>
          </c:extLst>
        </c:ser>
        <c:dLbls>
          <c:showLegendKey val="0"/>
          <c:showVal val="0"/>
          <c:showCatName val="0"/>
          <c:showSerName val="0"/>
          <c:showPercent val="0"/>
          <c:showBubbleSize val="0"/>
        </c:dLbls>
        <c:gapWidth val="219"/>
        <c:overlap val="-27"/>
        <c:axId val="115223936"/>
        <c:axId val="115225728"/>
      </c:barChart>
      <c:catAx>
        <c:axId val="11522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225728"/>
        <c:crosses val="autoZero"/>
        <c:auto val="1"/>
        <c:lblAlgn val="ctr"/>
        <c:lblOffset val="100"/>
        <c:noMultiLvlLbl val="0"/>
      </c:catAx>
      <c:valAx>
        <c:axId val="1152257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223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latin typeface="+mn-lt"/>
                <a:ea typeface="+mn-ea"/>
                <a:cs typeface="+mn-cs"/>
              </a:rPr>
              <a:t>FY2010-FY2019    </a:t>
            </a:r>
          </a:p>
          <a:p>
            <a:pPr algn="ctr" rtl="0">
              <a:defRPr lang="en-US">
                <a:solidFill>
                  <a:sysClr val="windowText" lastClr="000000">
                    <a:lumMod val="65000"/>
                    <a:lumOff val="35000"/>
                  </a:sysClr>
                </a:solidFill>
              </a:defRPr>
            </a:pPr>
            <a:r>
              <a:rPr lang="en-US" sz="1400" b="0" i="0" u="none" strike="noStrike" kern="1200" spc="0" baseline="0">
                <a:solidFill>
                  <a:sysClr val="windowText" lastClr="000000">
                    <a:lumMod val="65000"/>
                    <a:lumOff val="35000"/>
                  </a:sysClr>
                </a:solidFill>
                <a:latin typeface="+mn-lt"/>
                <a:ea typeface="+mn-ea"/>
                <a:cs typeface="+mn-cs"/>
              </a:rPr>
              <a:t> % of Operating Expense</a:t>
            </a:r>
          </a:p>
        </c:rich>
      </c:tx>
      <c:layout>
        <c:manualLayout>
          <c:xMode val="edge"/>
          <c:yMode val="edge"/>
          <c:x val="0.34680060393694734"/>
          <c:y val="3.8639252563907864E-2"/>
        </c:manualLayout>
      </c:layout>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Figures!$B$68</c:f>
              <c:strCache>
                <c:ptCount val="1"/>
                <c:pt idx="0">
                  <c:v>% of Operating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Figures!$A$69:$A$78</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Figures!$B$69:$B$78</c:f>
              <c:numCache>
                <c:formatCode>0.0%</c:formatCode>
                <c:ptCount val="10"/>
                <c:pt idx="0">
                  <c:v>8.3101643398462613E-2</c:v>
                </c:pt>
                <c:pt idx="1">
                  <c:v>9.2258868211991238E-2</c:v>
                </c:pt>
                <c:pt idx="2">
                  <c:v>0.10185384603002651</c:v>
                </c:pt>
                <c:pt idx="3">
                  <c:v>0.1104988049791147</c:v>
                </c:pt>
                <c:pt idx="4">
                  <c:v>0.10620841479725308</c:v>
                </c:pt>
                <c:pt idx="5">
                  <c:v>0.10054156065587122</c:v>
                </c:pt>
                <c:pt idx="6">
                  <c:v>9.3308531422878357E-2</c:v>
                </c:pt>
                <c:pt idx="7">
                  <c:v>9.8678472055513361E-2</c:v>
                </c:pt>
                <c:pt idx="8">
                  <c:v>0.1083059645415272</c:v>
                </c:pt>
                <c:pt idx="9">
                  <c:v>0.11240129144569644</c:v>
                </c:pt>
              </c:numCache>
            </c:numRef>
          </c:val>
          <c:extLst>
            <c:ext xmlns:c16="http://schemas.microsoft.com/office/drawing/2014/chart" uri="{C3380CC4-5D6E-409C-BE32-E72D297353CC}">
              <c16:uniqueId val="{00000000-1C9D-4806-B6E4-77F6A94A2B72}"/>
            </c:ext>
          </c:extLst>
        </c:ser>
        <c:ser>
          <c:idx val="1"/>
          <c:order val="1"/>
          <c:tx>
            <c:strRef>
              <c:f>Figures!$C$68</c:f>
              <c:strCache>
                <c:ptCount val="1"/>
                <c:pt idx="0">
                  <c:v>% of Operating Expense less Rate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Figures!$A$69:$A$78</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Figures!$C$69:$C$78</c:f>
              <c:numCache>
                <c:formatCode>0.0%</c:formatCode>
                <c:ptCount val="10"/>
                <c:pt idx="0">
                  <c:v>4.0755166688468646E-2</c:v>
                </c:pt>
                <c:pt idx="1">
                  <c:v>4.4511793617010624E-2</c:v>
                </c:pt>
                <c:pt idx="2">
                  <c:v>4.8158394901093353E-2</c:v>
                </c:pt>
                <c:pt idx="3">
                  <c:v>5.2362750719338144E-2</c:v>
                </c:pt>
                <c:pt idx="4">
                  <c:v>5.1374802377152994E-2</c:v>
                </c:pt>
                <c:pt idx="5">
                  <c:v>4.9763823052323575E-2</c:v>
                </c:pt>
                <c:pt idx="6">
                  <c:v>5.0685687355920786E-2</c:v>
                </c:pt>
                <c:pt idx="7">
                  <c:v>5.6582377395389953E-2</c:v>
                </c:pt>
                <c:pt idx="8">
                  <c:v>6.7282734226985441E-2</c:v>
                </c:pt>
                <c:pt idx="9">
                  <c:v>7.3666124159730187E-2</c:v>
                </c:pt>
              </c:numCache>
            </c:numRef>
          </c:val>
          <c:extLst>
            <c:ext xmlns:c16="http://schemas.microsoft.com/office/drawing/2014/chart" uri="{C3380CC4-5D6E-409C-BE32-E72D297353CC}">
              <c16:uniqueId val="{00000001-1C9D-4806-B6E4-77F6A94A2B72}"/>
            </c:ext>
          </c:extLst>
        </c:ser>
        <c:dLbls>
          <c:showLegendKey val="0"/>
          <c:showVal val="1"/>
          <c:showCatName val="0"/>
          <c:showSerName val="0"/>
          <c:showPercent val="0"/>
          <c:showBubbleSize val="0"/>
        </c:dLbls>
        <c:gapWidth val="219"/>
        <c:overlap val="-27"/>
        <c:axId val="115271936"/>
        <c:axId val="115679232"/>
      </c:barChart>
      <c:catAx>
        <c:axId val="11527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679232"/>
        <c:crosses val="autoZero"/>
        <c:auto val="1"/>
        <c:lblAlgn val="ctr"/>
        <c:lblOffset val="100"/>
        <c:noMultiLvlLbl val="0"/>
      </c:catAx>
      <c:valAx>
        <c:axId val="1156792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271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Community</a:t>
            </a:r>
            <a:r>
              <a:rPr lang="en-US" baseline="0"/>
              <a:t> Benefit</a:t>
            </a:r>
            <a:r>
              <a:rPr lang="en-US"/>
              <a:t> Expenditures With and Without Rate Support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8642923204464371E-2"/>
          <c:y val="0.19968425809503534"/>
          <c:w val="0.90858596445359274"/>
          <c:h val="0.36858281992287234"/>
        </c:manualLayout>
      </c:layout>
      <c:barChart>
        <c:barDir val="col"/>
        <c:grouping val="clustered"/>
        <c:varyColors val="0"/>
        <c:ser>
          <c:idx val="0"/>
          <c:order val="0"/>
          <c:tx>
            <c:strRef>
              <c:f>Figures!$B$2</c:f>
              <c:strCache>
                <c:ptCount val="1"/>
                <c:pt idx="0">
                  <c:v>Percent of Total CB Expenditures</c:v>
                </c:pt>
              </c:strCache>
            </c:strRef>
          </c:tx>
          <c:spPr>
            <a:solidFill>
              <a:schemeClr val="accent1"/>
            </a:solidFill>
            <a:ln>
              <a:noFill/>
            </a:ln>
            <a:effectLst/>
          </c:spPr>
          <c:invertIfNegative val="0"/>
          <c:dLbls>
            <c:dLbl>
              <c:idx val="1"/>
              <c:layout>
                <c:manualLayout>
                  <c:x val="-6.7822732738114094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034-4DAF-8611-FA1E1772FAEB}"/>
                </c:ext>
              </c:extLst>
            </c:dLbl>
            <c:dLbl>
              <c:idx val="2"/>
              <c:layout>
                <c:manualLayout>
                  <c:x val="5.0867049553584304E-3"/>
                  <c:y val="-1.095464324845727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034-4DAF-8611-FA1E1772FAEB}"/>
                </c:ext>
              </c:extLst>
            </c:dLbl>
            <c:dLbl>
              <c:idx val="4"/>
              <c:layout>
                <c:manualLayout>
                  <c:x val="-5.0867049553586534E-3"/>
                  <c:y val="-5.47732162422862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034-4DAF-8611-FA1E1772FA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Figures!$A$3:$A$11</c:f>
              <c:strCache>
                <c:ptCount val="9"/>
                <c:pt idx="0">
                  <c:v> Charity Care *</c:v>
                </c:pt>
                <c:pt idx="1">
                  <c:v>Mission Driven Health Services</c:v>
                </c:pt>
                <c:pt idx="2">
                  <c:v>Health Professions Education *</c:v>
                </c:pt>
                <c:pt idx="3">
                  <c:v>Community Health Services</c:v>
                </c:pt>
                <c:pt idx="4">
                  <c:v>Unreimbursed Medicaid Cost</c:v>
                </c:pt>
                <c:pt idx="5">
                  <c:v>Community Building</c:v>
                </c:pt>
                <c:pt idx="6">
                  <c:v>Financial Contributions</c:v>
                </c:pt>
                <c:pt idx="7">
                  <c:v>Research</c:v>
                </c:pt>
                <c:pt idx="8">
                  <c:v>Community Benefit Operations</c:v>
                </c:pt>
              </c:strCache>
            </c:strRef>
          </c:cat>
          <c:val>
            <c:numRef>
              <c:f>Figures!$B$3:$B$11</c:f>
              <c:numCache>
                <c:formatCode>0%</c:formatCode>
                <c:ptCount val="9"/>
                <c:pt idx="0">
                  <c:v>0.17254371073284774</c:v>
                </c:pt>
                <c:pt idx="1">
                  <c:v>0.3681873664801445</c:v>
                </c:pt>
                <c:pt idx="2">
                  <c:v>0.31445285854763894</c:v>
                </c:pt>
                <c:pt idx="3">
                  <c:v>6.9437354374086255E-2</c:v>
                </c:pt>
                <c:pt idx="4">
                  <c:v>2.9772789812886793E-2</c:v>
                </c:pt>
                <c:pt idx="5">
                  <c:v>1.8601311865526944E-2</c:v>
                </c:pt>
                <c:pt idx="6">
                  <c:v>9.2166096196574007E-3</c:v>
                </c:pt>
                <c:pt idx="7">
                  <c:v>7.3506009180121989E-3</c:v>
                </c:pt>
                <c:pt idx="8">
                  <c:v>7.5070359379553024E-3</c:v>
                </c:pt>
              </c:numCache>
            </c:numRef>
          </c:val>
          <c:extLst>
            <c:ext xmlns:c16="http://schemas.microsoft.com/office/drawing/2014/chart" uri="{C3380CC4-5D6E-409C-BE32-E72D297353CC}">
              <c16:uniqueId val="{00000003-E034-4DAF-8611-FA1E1772FAEB}"/>
            </c:ext>
          </c:extLst>
        </c:ser>
        <c:ser>
          <c:idx val="1"/>
          <c:order val="1"/>
          <c:tx>
            <c:strRef>
              <c:f>Figures!$C$2</c:f>
              <c:strCache>
                <c:ptCount val="1"/>
                <c:pt idx="0">
                  <c:v>Percent of Total CB Expenditures w/o Rate Support</c:v>
                </c:pt>
              </c:strCache>
            </c:strRef>
          </c:tx>
          <c:spPr>
            <a:solidFill>
              <a:schemeClr val="accent2"/>
            </a:solidFill>
            <a:ln>
              <a:noFill/>
            </a:ln>
            <a:effectLst/>
          </c:spPr>
          <c:invertIfNegative val="0"/>
          <c:dLbls>
            <c:dLbl>
              <c:idx val="0"/>
              <c:layout>
                <c:manualLayout>
                  <c:x val="6.7822732738113478E-3"/>
                  <c:y val="1.919218994316231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034-4DAF-8611-FA1E1772FAEB}"/>
                </c:ext>
              </c:extLst>
            </c:dLbl>
            <c:dLbl>
              <c:idx val="1"/>
              <c:layout>
                <c:manualLayout>
                  <c:x val="3.3911366369056002E-3"/>
                  <c:y val="-2.510410077300076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034-4DAF-8611-FA1E1772FAEB}"/>
                </c:ext>
              </c:extLst>
            </c:dLbl>
            <c:dLbl>
              <c:idx val="2"/>
              <c:layout>
                <c:manualLayout>
                  <c:x val="1.186897822916994E-2"/>
                  <c:y val="-8.215982436342852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034-4DAF-8611-FA1E1772FAEB}"/>
                </c:ext>
              </c:extLst>
            </c:dLbl>
            <c:dLbl>
              <c:idx val="3"/>
              <c:layout>
                <c:manualLayout>
                  <c:x val="8.4778415922641247E-3"/>
                  <c:y val="-5.47732162422862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034-4DAF-8611-FA1E1772FA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Figures!$A$3:$A$11</c:f>
              <c:strCache>
                <c:ptCount val="9"/>
                <c:pt idx="0">
                  <c:v> Charity Care *</c:v>
                </c:pt>
                <c:pt idx="1">
                  <c:v>Mission Driven Health Services</c:v>
                </c:pt>
                <c:pt idx="2">
                  <c:v>Health Professions Education *</c:v>
                </c:pt>
                <c:pt idx="3">
                  <c:v>Community Health Services</c:v>
                </c:pt>
                <c:pt idx="4">
                  <c:v>Unreimbursed Medicaid Cost</c:v>
                </c:pt>
                <c:pt idx="5">
                  <c:v>Community Building</c:v>
                </c:pt>
                <c:pt idx="6">
                  <c:v>Financial Contributions</c:v>
                </c:pt>
                <c:pt idx="7">
                  <c:v>Research</c:v>
                </c:pt>
                <c:pt idx="8">
                  <c:v>Community Benefit Operations</c:v>
                </c:pt>
              </c:strCache>
            </c:strRef>
          </c:cat>
          <c:val>
            <c:numRef>
              <c:f>Figures!$C$3:$C$11</c:f>
              <c:numCache>
                <c:formatCode>0%</c:formatCode>
                <c:ptCount val="9"/>
                <c:pt idx="0">
                  <c:v>3.6478806038622906E-2</c:v>
                </c:pt>
                <c:pt idx="1">
                  <c:v>0.56178787691829135</c:v>
                </c:pt>
                <c:pt idx="2">
                  <c:v>0.18076997967913203</c:v>
                </c:pt>
                <c:pt idx="3">
                  <c:v>0.10594894731333648</c:v>
                </c:pt>
                <c:pt idx="4">
                  <c:v>4.542793670194601E-2</c:v>
                </c:pt>
                <c:pt idx="5">
                  <c:v>2.8382265260024738E-2</c:v>
                </c:pt>
                <c:pt idx="6">
                  <c:v>1.4062893032184626E-2</c:v>
                </c:pt>
                <c:pt idx="7">
                  <c:v>1.1215698472441775E-2</c:v>
                </c:pt>
                <c:pt idx="8">
                  <c:v>1.1454390252036678E-2</c:v>
                </c:pt>
              </c:numCache>
            </c:numRef>
          </c:val>
          <c:extLst>
            <c:ext xmlns:c16="http://schemas.microsoft.com/office/drawing/2014/chart" uri="{C3380CC4-5D6E-409C-BE32-E72D297353CC}">
              <c16:uniqueId val="{00000008-E034-4DAF-8611-FA1E1772FAEB}"/>
            </c:ext>
          </c:extLst>
        </c:ser>
        <c:dLbls>
          <c:showLegendKey val="0"/>
          <c:showVal val="1"/>
          <c:showCatName val="0"/>
          <c:showSerName val="0"/>
          <c:showPercent val="0"/>
          <c:showBubbleSize val="0"/>
        </c:dLbls>
        <c:gapWidth val="219"/>
        <c:overlap val="-27"/>
        <c:axId val="115730304"/>
        <c:axId val="115731840"/>
      </c:barChart>
      <c:catAx>
        <c:axId val="1157303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731840"/>
        <c:crosses val="autoZero"/>
        <c:auto val="1"/>
        <c:lblAlgn val="ctr"/>
        <c:lblOffset val="300"/>
        <c:noMultiLvlLbl val="0"/>
      </c:catAx>
      <c:valAx>
        <c:axId val="115731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730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129887</xdr:colOff>
      <xdr:row>16</xdr:row>
      <xdr:rowOff>189057</xdr:rowOff>
    </xdr:from>
    <xdr:to>
      <xdr:col>14</xdr:col>
      <xdr:colOff>590264</xdr:colOff>
      <xdr:row>33</xdr:row>
      <xdr:rowOff>189057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115454</xdr:colOff>
      <xdr:row>38</xdr:row>
      <xdr:rowOff>134216</xdr:rowOff>
    </xdr:from>
    <xdr:to>
      <xdr:col>14</xdr:col>
      <xdr:colOff>525318</xdr:colOff>
      <xdr:row>58</xdr:row>
      <xdr:rowOff>134215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620402</xdr:colOff>
      <xdr:row>66</xdr:row>
      <xdr:rowOff>367855</xdr:rowOff>
    </xdr:from>
    <xdr:to>
      <xdr:col>13</xdr:col>
      <xdr:colOff>166501</xdr:colOff>
      <xdr:row>84</xdr:row>
      <xdr:rowOff>71787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44378</xdr:colOff>
      <xdr:row>1</xdr:row>
      <xdr:rowOff>27781</xdr:rowOff>
    </xdr:from>
    <xdr:to>
      <xdr:col>14</xdr:col>
      <xdr:colOff>589901</xdr:colOff>
      <xdr:row>16</xdr:row>
      <xdr:rowOff>41129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0.04846</cdr:x>
      <cdr:y>0.87404</cdr:y>
    </cdr:from>
    <cdr:to>
      <cdr:x>0.19751</cdr:x>
      <cdr:y>1</cdr:y>
    </cdr:to>
    <cdr:sp macro="" textlink="">
      <cdr:nvSpPr>
        <cdr:cNvPr id="2" name="TextBox 1"/>
        <cdr:cNvSpPr txBox="1"/>
      </cdr:nvSpPr>
      <cdr:spPr>
        <a:xfrm xmlns:a="http://schemas.openxmlformats.org/drawingml/2006/main">
          <a:off x="297296" y="3554916"/>
          <a:ext cx="914400" cy="5123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0.03576</cdr:x>
      <cdr:y>0.94428</cdr:y>
    </cdr:from>
    <cdr:to>
      <cdr:x>0.1848</cdr:x>
      <cdr:y>1</cdr:y>
    </cdr:to>
    <cdr:sp macro="" textlink="">
      <cdr:nvSpPr>
        <cdr:cNvPr id="3" name="TextBox 2"/>
        <cdr:cNvSpPr txBox="1"/>
      </cdr:nvSpPr>
      <cdr:spPr>
        <a:xfrm xmlns:a="http://schemas.openxmlformats.org/drawingml/2006/main">
          <a:off x="271988" y="4127500"/>
          <a:ext cx="1133588" cy="24353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waugustin\Local%20Settings\Temp\DOCUME~1\GHEMIN~1\LOCALS~1\Temp\UMMS_BudBk_FY06_draft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ATES\ANU_FILE\FY%202011\UMMC\UMH\Annual%20Filing%20Model\UMH%20AF_2011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s\CLIENTS%20-%20DATA%20FILES\2015\UMMS\Annual%20Filings%20FY%2014\SJMC\SJMC%20Annual%20Filing%202014_Final2%20(unlink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MAS\MASTER\FY03\Control%20Structure\Control%20Structure%20FY03%20060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9%20HSCRC\Annual%20Report%202009\Submission%202009\0010%20DGH%20AF_2009%20Submission%201103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ATES\ANU_FILE\FY%202008\JLK\JLK%20-%20AF_2008%20(Volume%20Adjustmen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VP%20&amp;%20DirF&amp;A\Sherry%20Fluke\EBCA%20Budget%20FY2014\EBCA_JHHS_FY2014_MasterBook_JUN2014_071414_S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6 BUD IS"/>
      <sheetName val="p7 CONS IS"/>
      <sheetName val="p8 CONS BS"/>
      <sheetName val="p9 NARF"/>
      <sheetName val="p10 CF"/>
      <sheetName val="p11 EBIDA"/>
      <sheetName val="p12 RATIOS"/>
      <sheetName val="p13 SRCS"/>
      <sheetName val="p14 USES"/>
      <sheetName val="p26 UMSH IS"/>
      <sheetName val="p27 JLK IS"/>
      <sheetName val="p28 MGHS IS"/>
      <sheetName val="p29 NAHS IS"/>
      <sheetName val="is fy01"/>
      <sheetName val="is fy02"/>
      <sheetName val="is fy03"/>
      <sheetName val="is fy04"/>
      <sheetName val="proj bs"/>
      <sheetName val="bud bs"/>
      <sheetName val="proj is"/>
      <sheetName val="bud is"/>
      <sheetName val="GAAP JE"/>
      <sheetName val="ELIMS"/>
      <sheetName val="Ummcsh"/>
      <sheetName val="UMMCSH ratios for hank"/>
      <sheetName val="UCare"/>
      <sheetName val="Kernan"/>
      <sheetName val="Kern End"/>
      <sheetName val="MGHS"/>
      <sheetName val="NAHS"/>
      <sheetName val="Fdtn"/>
      <sheetName val="Shipl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6"/>
      <sheetName val="E_I"/>
      <sheetName val="E_II"/>
      <sheetName val="E_II (b)"/>
      <sheetName val="E_III"/>
      <sheetName val="E_IV"/>
      <sheetName val="E_V"/>
      <sheetName val="E_VI"/>
      <sheetName val="E_VII"/>
      <sheetName val="E_VIII"/>
      <sheetName val="E_IX"/>
      <sheetName val="E_X"/>
      <sheetName val="E_XI"/>
      <sheetName val="E_XII"/>
      <sheetName val="E_XIII"/>
      <sheetName val="E_XIV"/>
      <sheetName val="Hospital Phys Cost"/>
      <sheetName val="Med Ed Cost"/>
      <sheetName val="RR"/>
      <sheetName val="PY_M"/>
      <sheetName val="EC"/>
      <sheetName val="Instructions"/>
      <sheetName val="Rct (DON'T HIDE)"/>
      <sheetName val="Cvr (DON'T HIDE)"/>
      <sheetName val="Sig (DON'T HIDE)"/>
      <sheetName val="Sch"/>
      <sheetName val="cdefhpv"/>
      <sheetName val="rev5pda"/>
      <sheetName val="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7"/>
      <sheetName val="E_I"/>
      <sheetName val="E_II (a)"/>
      <sheetName val="E_II (b)"/>
      <sheetName val="E_III"/>
      <sheetName val="E_IV"/>
      <sheetName val="E_V"/>
      <sheetName val="E_VI"/>
      <sheetName val="E_VII"/>
      <sheetName val="E_VIII"/>
      <sheetName val="E_IX"/>
      <sheetName val="E_X"/>
      <sheetName val="E_XI"/>
      <sheetName val="E_XII"/>
      <sheetName val="E_XIII"/>
      <sheetName val="E_XIV"/>
      <sheetName val="E_XV"/>
      <sheetName val="E_XVI"/>
      <sheetName val="E_XVII"/>
      <sheetName val="E_XVIII"/>
      <sheetName val="E_XIX"/>
      <sheetName val="Exhibits Formatting"/>
      <sheetName val="cdef2013 - D"/>
      <sheetName val="rev5pda2013 - M"/>
      <sheetName val="HSCRC Rates By Center 2014"/>
      <sheetName val="FY 2013 - RE"/>
      <sheetName val="FY 2013 - UA"/>
      <sheetName val="cdef2013 - C"/>
      <sheetName val="RR (a)"/>
      <sheetName val="RR (b)"/>
      <sheetName val="Provider IDs"/>
      <sheetName val="PY_M"/>
      <sheetName val="EC"/>
      <sheetName val="Instructions"/>
      <sheetName val="Rct (DON'T HIDE)"/>
      <sheetName val="Cvr (DON'T HIDE)"/>
      <sheetName val="Sig (DON'T HIDE)"/>
      <sheetName val="Sch"/>
      <sheetName val="cdefhpv"/>
      <sheetName val="rev5pda"/>
      <sheetName val="Print"/>
    </sheetNames>
    <sheetDataSet>
      <sheetData sheetId="0">
        <row r="4">
          <cell r="B4">
            <v>210063</v>
          </cell>
        </row>
      </sheetData>
      <sheetData sheetId="1" refreshError="1"/>
      <sheetData sheetId="2">
        <row r="5">
          <cell r="B5" t="str">
            <v>UNITS</v>
          </cell>
          <cell r="D5" t="str">
            <v>PAT CARE</v>
          </cell>
          <cell r="E5" t="str">
            <v>OTHER</v>
          </cell>
          <cell r="G5" t="str">
            <v>PHYSICIAN</v>
          </cell>
          <cell r="H5" t="str">
            <v>RESIDENT</v>
          </cell>
        </row>
        <row r="6">
          <cell r="B6" t="str">
            <v>OF</v>
          </cell>
          <cell r="C6" t="str">
            <v>DIRECT</v>
          </cell>
          <cell r="D6" t="str">
            <v>OVERHEAD</v>
          </cell>
          <cell r="E6" t="str">
            <v>OVERHEAD</v>
          </cell>
          <cell r="F6" t="str">
            <v>N/A</v>
          </cell>
          <cell r="G6" t="str">
            <v>SUPPORT</v>
          </cell>
          <cell r="H6" t="str">
            <v>INTERN</v>
          </cell>
          <cell r="I6" t="str">
            <v>LEVEL</v>
          </cell>
        </row>
        <row r="7">
          <cell r="B7" t="str">
            <v>MEASURE</v>
          </cell>
          <cell r="C7" t="str">
            <v>EXPENSES</v>
          </cell>
          <cell r="D7" t="str">
            <v>EXPENSES</v>
          </cell>
          <cell r="E7" t="str">
            <v>EXPENSES</v>
          </cell>
          <cell r="G7" t="str">
            <v>EXPENSES</v>
          </cell>
          <cell r="H7" t="str">
            <v>EXPENSES</v>
          </cell>
          <cell r="I7" t="str">
            <v>I</v>
          </cell>
        </row>
        <row r="9">
          <cell r="A9" t="str">
            <v>CODE</v>
          </cell>
          <cell r="B9" t="str">
            <v>COL 1</v>
          </cell>
          <cell r="C9" t="str">
            <v>COL 2</v>
          </cell>
          <cell r="D9" t="str">
            <v>COL 3</v>
          </cell>
          <cell r="E9" t="str">
            <v>COL 4</v>
          </cell>
          <cell r="F9" t="str">
            <v>COL 5</v>
          </cell>
          <cell r="G9" t="str">
            <v>COL 6</v>
          </cell>
          <cell r="H9" t="str">
            <v>COL 7</v>
          </cell>
          <cell r="I9" t="str">
            <v>COL 8</v>
          </cell>
        </row>
        <row r="10">
          <cell r="A10" t="str">
            <v>MSG</v>
          </cell>
          <cell r="B10">
            <v>43801</v>
          </cell>
          <cell r="C10">
            <v>27547.702819874721</v>
          </cell>
          <cell r="D10">
            <v>7621.1544327530046</v>
          </cell>
          <cell r="E10">
            <v>8637.2075233668711</v>
          </cell>
          <cell r="F10" t="str">
            <v xml:space="preserve"> /////////</v>
          </cell>
          <cell r="G10">
            <v>466.72997993071078</v>
          </cell>
          <cell r="H10">
            <v>0</v>
          </cell>
          <cell r="I10">
            <v>44272.794755925308</v>
          </cell>
        </row>
        <row r="11">
          <cell r="A11" t="str">
            <v>PED</v>
          </cell>
          <cell r="B11">
            <v>0</v>
          </cell>
          <cell r="C11">
            <v>0</v>
          </cell>
          <cell r="D11">
            <v>0</v>
          </cell>
          <cell r="E11">
            <v>0</v>
          </cell>
          <cell r="F11" t="str">
            <v xml:space="preserve"> /////////</v>
          </cell>
          <cell r="G11">
            <v>0</v>
          </cell>
          <cell r="H11">
            <v>0</v>
          </cell>
          <cell r="I11">
            <v>0</v>
          </cell>
        </row>
        <row r="12">
          <cell r="A12" t="str">
            <v>PSY</v>
          </cell>
          <cell r="B12">
            <v>5490</v>
          </cell>
          <cell r="C12">
            <v>3239.0422893270052</v>
          </cell>
          <cell r="D12">
            <v>890.01961784726507</v>
          </cell>
          <cell r="E12">
            <v>1015.3528015196043</v>
          </cell>
          <cell r="F12" t="str">
            <v xml:space="preserve"> /////////</v>
          </cell>
          <cell r="G12">
            <v>0</v>
          </cell>
          <cell r="H12">
            <v>0</v>
          </cell>
          <cell r="I12">
            <v>5144.4147086938747</v>
          </cell>
        </row>
        <row r="13">
          <cell r="A13" t="str">
            <v>OBS</v>
          </cell>
          <cell r="B13">
            <v>5563</v>
          </cell>
          <cell r="C13">
            <v>1937.8835006195845</v>
          </cell>
          <cell r="D13">
            <v>784.08116274256099</v>
          </cell>
          <cell r="E13">
            <v>615.96367050484162</v>
          </cell>
          <cell r="F13" t="str">
            <v xml:space="preserve"> /////////</v>
          </cell>
          <cell r="G13">
            <v>0</v>
          </cell>
          <cell r="H13">
            <v>0</v>
          </cell>
          <cell r="I13">
            <v>3337.928333866987</v>
          </cell>
        </row>
        <row r="14">
          <cell r="A14" t="str">
            <v>DEF</v>
          </cell>
          <cell r="B14">
            <v>0</v>
          </cell>
          <cell r="C14">
            <v>0</v>
          </cell>
          <cell r="D14">
            <v>0</v>
          </cell>
          <cell r="E14">
            <v>0</v>
          </cell>
          <cell r="F14" t="str">
            <v xml:space="preserve"> /////////</v>
          </cell>
          <cell r="G14">
            <v>0</v>
          </cell>
          <cell r="H14">
            <v>0</v>
          </cell>
          <cell r="I14">
            <v>0</v>
          </cell>
        </row>
        <row r="15">
          <cell r="A15" t="str">
            <v>MIS</v>
          </cell>
          <cell r="B15">
            <v>5436</v>
          </cell>
          <cell r="C15">
            <v>7789.4403556329953</v>
          </cell>
          <cell r="D15">
            <v>1488.7581337189581</v>
          </cell>
          <cell r="E15">
            <v>2419.7937001470655</v>
          </cell>
          <cell r="F15" t="str">
            <v xml:space="preserve"> /////////</v>
          </cell>
          <cell r="G15">
            <v>0</v>
          </cell>
          <cell r="H15">
            <v>0</v>
          </cell>
          <cell r="I15">
            <v>11697.992189499018</v>
          </cell>
        </row>
        <row r="16">
          <cell r="A16" t="str">
            <v>CCU</v>
          </cell>
          <cell r="B16">
            <v>0</v>
          </cell>
          <cell r="C16">
            <v>0</v>
          </cell>
          <cell r="D16">
            <v>0</v>
          </cell>
          <cell r="E16">
            <v>0</v>
          </cell>
          <cell r="F16" t="str">
            <v xml:space="preserve"> /////////</v>
          </cell>
          <cell r="G16">
            <v>0</v>
          </cell>
          <cell r="H16">
            <v>0</v>
          </cell>
          <cell r="I16">
            <v>0</v>
          </cell>
        </row>
        <row r="17">
          <cell r="A17" t="str">
            <v>PIC</v>
          </cell>
          <cell r="B17">
            <v>0</v>
          </cell>
          <cell r="C17">
            <v>0</v>
          </cell>
          <cell r="D17">
            <v>0</v>
          </cell>
          <cell r="E17">
            <v>0</v>
          </cell>
          <cell r="F17" t="str">
            <v xml:space="preserve"> /////////</v>
          </cell>
          <cell r="G17">
            <v>0</v>
          </cell>
          <cell r="H17">
            <v>0</v>
          </cell>
          <cell r="I17">
            <v>0</v>
          </cell>
        </row>
        <row r="18">
          <cell r="A18" t="str">
            <v>NEO</v>
          </cell>
          <cell r="B18">
            <v>3221</v>
          </cell>
          <cell r="C18">
            <v>3949.5717497429428</v>
          </cell>
          <cell r="D18">
            <v>297.98910124194708</v>
          </cell>
          <cell r="E18">
            <v>1211.5207041412007</v>
          </cell>
          <cell r="F18" t="str">
            <v xml:space="preserve"> /////////</v>
          </cell>
          <cell r="G18">
            <v>2.0318942785368561</v>
          </cell>
          <cell r="H18">
            <v>0</v>
          </cell>
          <cell r="I18">
            <v>5461.1134494046273</v>
          </cell>
        </row>
        <row r="19">
          <cell r="A19" t="str">
            <v>BUR</v>
          </cell>
          <cell r="B19">
            <v>0</v>
          </cell>
          <cell r="C19">
            <v>0</v>
          </cell>
          <cell r="D19">
            <v>0</v>
          </cell>
          <cell r="E19">
            <v>0</v>
          </cell>
          <cell r="F19" t="str">
            <v xml:space="preserve"> /////////</v>
          </cell>
          <cell r="G19">
            <v>0</v>
          </cell>
          <cell r="H19">
            <v>0</v>
          </cell>
          <cell r="I19">
            <v>0</v>
          </cell>
        </row>
        <row r="20">
          <cell r="A20" t="str">
            <v>TRM</v>
          </cell>
          <cell r="B20">
            <v>0</v>
          </cell>
          <cell r="C20">
            <v>0</v>
          </cell>
          <cell r="D20">
            <v>0</v>
          </cell>
          <cell r="E20">
            <v>0</v>
          </cell>
          <cell r="F20" t="str">
            <v xml:space="preserve"> /////////</v>
          </cell>
          <cell r="G20">
            <v>0</v>
          </cell>
          <cell r="H20">
            <v>0</v>
          </cell>
          <cell r="I20">
            <v>0</v>
          </cell>
        </row>
        <row r="21">
          <cell r="A21" t="str">
            <v>ONC</v>
          </cell>
          <cell r="B21">
            <v>0</v>
          </cell>
          <cell r="C21">
            <v>0</v>
          </cell>
          <cell r="D21">
            <v>0</v>
          </cell>
          <cell r="E21">
            <v>0</v>
          </cell>
          <cell r="F21" t="str">
            <v xml:space="preserve"> /////////</v>
          </cell>
          <cell r="G21">
            <v>0</v>
          </cell>
          <cell r="H21">
            <v>0</v>
          </cell>
          <cell r="I21">
            <v>0</v>
          </cell>
        </row>
        <row r="22">
          <cell r="A22" t="str">
            <v>NUR</v>
          </cell>
          <cell r="B22">
            <v>4384</v>
          </cell>
          <cell r="C22">
            <v>1216.09121</v>
          </cell>
          <cell r="D22">
            <v>16.676014187722195</v>
          </cell>
          <cell r="E22">
            <v>370.49954787797304</v>
          </cell>
          <cell r="F22" t="str">
            <v xml:space="preserve"> /////////</v>
          </cell>
          <cell r="G22">
            <v>0</v>
          </cell>
          <cell r="H22">
            <v>0</v>
          </cell>
          <cell r="I22">
            <v>1603.2667720656952</v>
          </cell>
        </row>
        <row r="23">
          <cell r="A23" t="str">
            <v>PRE</v>
          </cell>
          <cell r="B23">
            <v>0</v>
          </cell>
          <cell r="C23">
            <v>0</v>
          </cell>
          <cell r="D23">
            <v>0</v>
          </cell>
          <cell r="E23">
            <v>0</v>
          </cell>
          <cell r="F23" t="str">
            <v xml:space="preserve"> /////////</v>
          </cell>
          <cell r="G23">
            <v>0</v>
          </cell>
          <cell r="H23">
            <v>0</v>
          </cell>
          <cell r="I23">
            <v>0</v>
          </cell>
        </row>
        <row r="24">
          <cell r="A24" t="str">
            <v>CHR</v>
          </cell>
          <cell r="B24">
            <v>0</v>
          </cell>
          <cell r="C24">
            <v>0</v>
          </cell>
          <cell r="D24">
            <v>0</v>
          </cell>
          <cell r="E24">
            <v>0</v>
          </cell>
          <cell r="F24" t="str">
            <v xml:space="preserve"> /////////</v>
          </cell>
          <cell r="G24">
            <v>0</v>
          </cell>
          <cell r="H24">
            <v>0</v>
          </cell>
          <cell r="I24">
            <v>0</v>
          </cell>
        </row>
        <row r="25">
          <cell r="A25" t="str">
            <v>EMG</v>
          </cell>
          <cell r="B25">
            <v>486997</v>
          </cell>
          <cell r="C25">
            <v>9472.0940932641788</v>
          </cell>
          <cell r="D25">
            <v>1242.2166772502644</v>
          </cell>
          <cell r="E25">
            <v>3077.2870134523064</v>
          </cell>
          <cell r="F25" t="str">
            <v xml:space="preserve"> /////////</v>
          </cell>
          <cell r="G25">
            <v>0</v>
          </cell>
          <cell r="H25">
            <v>0</v>
          </cell>
          <cell r="I25">
            <v>13791.59778396675</v>
          </cell>
        </row>
        <row r="26">
          <cell r="A26" t="str">
            <v>CL</v>
          </cell>
          <cell r="B26">
            <v>257863</v>
          </cell>
          <cell r="C26">
            <v>6276.5276017304577</v>
          </cell>
          <cell r="D26">
            <v>822.16894701876913</v>
          </cell>
          <cell r="E26">
            <v>2072.1915038225407</v>
          </cell>
          <cell r="F26" t="str">
            <v xml:space="preserve"> /////////</v>
          </cell>
          <cell r="G26">
            <v>0</v>
          </cell>
          <cell r="H26">
            <v>0</v>
          </cell>
          <cell r="I26">
            <v>9170.8880525717686</v>
          </cell>
        </row>
        <row r="27">
          <cell r="A27" t="str">
            <v>PDC</v>
          </cell>
          <cell r="B27">
            <v>1736</v>
          </cell>
          <cell r="C27">
            <v>234.61896250000001</v>
          </cell>
          <cell r="D27">
            <v>14.260386978501545</v>
          </cell>
          <cell r="E27">
            <v>77.552275900601984</v>
          </cell>
          <cell r="F27" t="str">
            <v xml:space="preserve"> /////////</v>
          </cell>
          <cell r="G27">
            <v>0</v>
          </cell>
          <cell r="H27">
            <v>0</v>
          </cell>
          <cell r="I27">
            <v>326.43162537910354</v>
          </cell>
        </row>
        <row r="28">
          <cell r="A28" t="str">
            <v>SDS</v>
          </cell>
          <cell r="B28">
            <v>5523</v>
          </cell>
          <cell r="C28">
            <v>1868.32448</v>
          </cell>
          <cell r="D28">
            <v>214.0682834360467</v>
          </cell>
          <cell r="E28">
            <v>575.57034416671445</v>
          </cell>
          <cell r="F28" t="str">
            <v xml:space="preserve"> /////////</v>
          </cell>
          <cell r="G28">
            <v>0</v>
          </cell>
          <cell r="H28">
            <v>0</v>
          </cell>
          <cell r="I28">
            <v>2657.9631076027608</v>
          </cell>
        </row>
        <row r="29">
          <cell r="A29" t="str">
            <v>DEL</v>
          </cell>
          <cell r="B29">
            <v>97296</v>
          </cell>
          <cell r="C29">
            <v>4211.2879685443313</v>
          </cell>
          <cell r="D29">
            <v>579.16378101559064</v>
          </cell>
          <cell r="E29">
            <v>1408.2553519949056</v>
          </cell>
          <cell r="F29" t="str">
            <v xml:space="preserve"> /////////</v>
          </cell>
          <cell r="G29">
            <v>0</v>
          </cell>
          <cell r="H29">
            <v>0</v>
          </cell>
          <cell r="I29">
            <v>6198.7071015548281</v>
          </cell>
        </row>
        <row r="30">
          <cell r="A30" t="str">
            <v>OR</v>
          </cell>
          <cell r="B30">
            <v>1190372</v>
          </cell>
          <cell r="C30">
            <v>15891.246628009467</v>
          </cell>
          <cell r="D30">
            <v>3272.2986088437638</v>
          </cell>
          <cell r="E30">
            <v>5754.2755295842599</v>
          </cell>
          <cell r="F30" t="str">
            <v xml:space="preserve"> /////////</v>
          </cell>
          <cell r="G30">
            <v>389.00670070521306</v>
          </cell>
          <cell r="H30">
            <v>0</v>
          </cell>
          <cell r="I30">
            <v>25306.827467142706</v>
          </cell>
        </row>
        <row r="31">
          <cell r="A31" t="str">
            <v>ORC</v>
          </cell>
          <cell r="B31">
            <v>4194</v>
          </cell>
          <cell r="C31">
            <v>11.43825</v>
          </cell>
          <cell r="D31">
            <v>2.5538971847254448</v>
          </cell>
          <cell r="E31">
            <v>4.8335195059979874</v>
          </cell>
          <cell r="F31" t="str">
            <v xml:space="preserve"> /////////</v>
          </cell>
          <cell r="G31">
            <v>0</v>
          </cell>
          <cell r="H31">
            <v>0</v>
          </cell>
          <cell r="I31">
            <v>18.82566669072343</v>
          </cell>
        </row>
        <row r="32">
          <cell r="A32" t="str">
            <v>ANS</v>
          </cell>
          <cell r="B32">
            <v>1142348</v>
          </cell>
          <cell r="C32">
            <v>1283.6281209672156</v>
          </cell>
          <cell r="D32">
            <v>93.132725593592113</v>
          </cell>
          <cell r="E32">
            <v>451.5306629353687</v>
          </cell>
          <cell r="F32" t="str">
            <v xml:space="preserve"> /////////</v>
          </cell>
          <cell r="G32">
            <v>0</v>
          </cell>
          <cell r="H32">
            <v>0</v>
          </cell>
          <cell r="I32">
            <v>1828.2915094961763</v>
          </cell>
        </row>
        <row r="33">
          <cell r="A33" t="str">
            <v>LAB</v>
          </cell>
          <cell r="B33">
            <v>11691696</v>
          </cell>
          <cell r="C33">
            <v>10543.677055394794</v>
          </cell>
          <cell r="D33">
            <v>1394.7923830741233</v>
          </cell>
          <cell r="E33">
            <v>3733.8139409373548</v>
          </cell>
          <cell r="F33" t="str">
            <v xml:space="preserve"> /////////</v>
          </cell>
          <cell r="G33">
            <v>0</v>
          </cell>
          <cell r="H33">
            <v>0</v>
          </cell>
          <cell r="I33">
            <v>15672.283379406272</v>
          </cell>
        </row>
        <row r="34">
          <cell r="A34" t="str">
            <v>EKG</v>
          </cell>
          <cell r="B34">
            <v>752547</v>
          </cell>
          <cell r="C34">
            <v>989.82997607410675</v>
          </cell>
          <cell r="D34">
            <v>301.20026624583488</v>
          </cell>
          <cell r="E34">
            <v>363.7701946117291</v>
          </cell>
          <cell r="F34" t="str">
            <v xml:space="preserve"> /////////</v>
          </cell>
          <cell r="G34">
            <v>0.70195985556695129</v>
          </cell>
          <cell r="H34">
            <v>0</v>
          </cell>
          <cell r="I34">
            <v>1655.5023967872376</v>
          </cell>
        </row>
        <row r="35">
          <cell r="A35" t="str">
            <v>IRC</v>
          </cell>
          <cell r="B35">
            <v>130721</v>
          </cell>
          <cell r="C35">
            <v>5618.5887744248394</v>
          </cell>
          <cell r="D35">
            <v>1209.036140238318</v>
          </cell>
          <cell r="E35">
            <v>1977.9599831598819</v>
          </cell>
          <cell r="F35" t="str">
            <v xml:space="preserve"> /////////</v>
          </cell>
          <cell r="G35">
            <v>5.7069947415211528</v>
          </cell>
          <cell r="H35">
            <v>0</v>
          </cell>
          <cell r="I35">
            <v>8811.291892564559</v>
          </cell>
        </row>
        <row r="36">
          <cell r="A36" t="str">
            <v>RAD</v>
          </cell>
          <cell r="B36">
            <v>389100</v>
          </cell>
          <cell r="C36">
            <v>4565.8630791335709</v>
          </cell>
          <cell r="D36">
            <v>997.72531576129109</v>
          </cell>
          <cell r="E36">
            <v>1760.8725485749678</v>
          </cell>
          <cell r="F36" t="str">
            <v xml:space="preserve"> /////////</v>
          </cell>
          <cell r="G36">
            <v>0</v>
          </cell>
          <cell r="H36">
            <v>0</v>
          </cell>
          <cell r="I36">
            <v>7324.4609434698305</v>
          </cell>
        </row>
        <row r="37">
          <cell r="A37" t="str">
            <v>CAT</v>
          </cell>
          <cell r="B37">
            <v>583451</v>
          </cell>
          <cell r="C37">
            <v>1626.2420468019409</v>
          </cell>
          <cell r="D37">
            <v>90.81438948918597</v>
          </cell>
          <cell r="E37">
            <v>618.0990090960729</v>
          </cell>
          <cell r="F37" t="str">
            <v xml:space="preserve"> /////////</v>
          </cell>
          <cell r="G37">
            <v>0</v>
          </cell>
          <cell r="H37">
            <v>0</v>
          </cell>
          <cell r="I37">
            <v>2335.1554453871995</v>
          </cell>
        </row>
        <row r="38">
          <cell r="A38" t="str">
            <v>RAT</v>
          </cell>
          <cell r="B38">
            <v>226184</v>
          </cell>
          <cell r="C38">
            <v>3686.3</v>
          </cell>
          <cell r="D38">
            <v>343.66845530824463</v>
          </cell>
          <cell r="E38">
            <v>1542.353398332504</v>
          </cell>
          <cell r="F38" t="str">
            <v xml:space="preserve"> /////////</v>
          </cell>
          <cell r="G38">
            <v>0</v>
          </cell>
          <cell r="H38">
            <v>0</v>
          </cell>
          <cell r="I38">
            <v>5572.3218536407485</v>
          </cell>
        </row>
        <row r="39">
          <cell r="A39" t="str">
            <v>NUC</v>
          </cell>
          <cell r="B39">
            <v>181014</v>
          </cell>
          <cell r="C39">
            <v>2145.9086124702253</v>
          </cell>
          <cell r="D39">
            <v>804.33673879542664</v>
          </cell>
          <cell r="E39">
            <v>890.9790804922294</v>
          </cell>
          <cell r="F39" t="str">
            <v xml:space="preserve"> /////////</v>
          </cell>
          <cell r="G39">
            <v>0</v>
          </cell>
          <cell r="H39">
            <v>0</v>
          </cell>
          <cell r="I39">
            <v>3841.2244317578816</v>
          </cell>
        </row>
        <row r="40">
          <cell r="A40" t="str">
            <v>RES</v>
          </cell>
          <cell r="B40">
            <v>3110049</v>
          </cell>
          <cell r="C40">
            <v>2967.3818536038821</v>
          </cell>
          <cell r="D40">
            <v>114.05317309133237</v>
          </cell>
          <cell r="E40">
            <v>920.78052567927625</v>
          </cell>
          <cell r="F40" t="str">
            <v xml:space="preserve"> /////////</v>
          </cell>
          <cell r="G40">
            <v>0</v>
          </cell>
          <cell r="H40">
            <v>0</v>
          </cell>
          <cell r="I40">
            <v>4002.2155523744905</v>
          </cell>
        </row>
        <row r="41">
          <cell r="A41" t="str">
            <v>PUL</v>
          </cell>
          <cell r="B41">
            <v>98026</v>
          </cell>
          <cell r="C41">
            <v>178.44825020291134</v>
          </cell>
          <cell r="D41">
            <v>52.275328692645409</v>
          </cell>
          <cell r="E41">
            <v>74.008925345313997</v>
          </cell>
          <cell r="F41" t="str">
            <v xml:space="preserve"> /////////</v>
          </cell>
          <cell r="G41">
            <v>0</v>
          </cell>
          <cell r="H41">
            <v>0</v>
          </cell>
          <cell r="I41">
            <v>304.73250424087075</v>
          </cell>
        </row>
        <row r="42">
          <cell r="A42" t="str">
            <v>EEG</v>
          </cell>
          <cell r="B42">
            <v>110342</v>
          </cell>
          <cell r="C42">
            <v>444.25234473753869</v>
          </cell>
          <cell r="D42">
            <v>211.49230819620132</v>
          </cell>
          <cell r="E42">
            <v>189.60418977308797</v>
          </cell>
          <cell r="F42" t="str">
            <v xml:space="preserve"> /////////</v>
          </cell>
          <cell r="G42">
            <v>0</v>
          </cell>
          <cell r="H42">
            <v>0</v>
          </cell>
          <cell r="I42">
            <v>845.34884270682801</v>
          </cell>
        </row>
        <row r="43">
          <cell r="A43" t="str">
            <v>PTH</v>
          </cell>
          <cell r="B43">
            <v>347704</v>
          </cell>
          <cell r="C43">
            <v>1387.9268313365683</v>
          </cell>
          <cell r="D43">
            <v>204.78326245041714</v>
          </cell>
          <cell r="E43">
            <v>459.40068669380344</v>
          </cell>
          <cell r="F43" t="str">
            <v xml:space="preserve"> /////////</v>
          </cell>
          <cell r="G43">
            <v>0</v>
          </cell>
          <cell r="H43">
            <v>0</v>
          </cell>
          <cell r="I43">
            <v>2052.1107804807889</v>
          </cell>
        </row>
        <row r="44">
          <cell r="A44" t="str">
            <v>OTH</v>
          </cell>
          <cell r="B44">
            <v>317989</v>
          </cell>
          <cell r="C44">
            <v>1348.4180368019411</v>
          </cell>
          <cell r="D44">
            <v>17.955823142989935</v>
          </cell>
          <cell r="E44">
            <v>413.83202996046526</v>
          </cell>
          <cell r="F44" t="str">
            <v xml:space="preserve"> /////////</v>
          </cell>
          <cell r="G44">
            <v>0</v>
          </cell>
          <cell r="H44">
            <v>0</v>
          </cell>
          <cell r="I44">
            <v>1780.2058899053961</v>
          </cell>
        </row>
        <row r="45">
          <cell r="A45" t="str">
            <v>STH</v>
          </cell>
          <cell r="B45">
            <v>35670</v>
          </cell>
          <cell r="C45">
            <v>166.16693999999998</v>
          </cell>
          <cell r="D45">
            <v>4.55791767411612</v>
          </cell>
          <cell r="E45">
            <v>54.992562479579369</v>
          </cell>
          <cell r="F45" t="str">
            <v xml:space="preserve"> /////////</v>
          </cell>
          <cell r="G45">
            <v>0</v>
          </cell>
          <cell r="H45">
            <v>0</v>
          </cell>
          <cell r="I45">
            <v>225.71742015369546</v>
          </cell>
        </row>
        <row r="46">
          <cell r="A46" t="str">
            <v>REC</v>
          </cell>
          <cell r="B46">
            <v>0</v>
          </cell>
          <cell r="C46">
            <v>0</v>
          </cell>
          <cell r="D46">
            <v>0</v>
          </cell>
          <cell r="E46">
            <v>0</v>
          </cell>
          <cell r="F46" t="str">
            <v xml:space="preserve"> /////////</v>
          </cell>
          <cell r="G46">
            <v>0</v>
          </cell>
          <cell r="H46">
            <v>0</v>
          </cell>
          <cell r="I46">
            <v>0</v>
          </cell>
        </row>
        <row r="47">
          <cell r="A47" t="str">
            <v>AUD</v>
          </cell>
          <cell r="B47">
            <v>8456</v>
          </cell>
          <cell r="C47">
            <v>100.5</v>
          </cell>
          <cell r="D47">
            <v>9.3694706775028038</v>
          </cell>
          <cell r="E47">
            <v>30.888403159085748</v>
          </cell>
          <cell r="F47" t="str">
            <v xml:space="preserve"> /////////</v>
          </cell>
          <cell r="G47">
            <v>0</v>
          </cell>
          <cell r="H47">
            <v>0</v>
          </cell>
          <cell r="I47">
            <v>140.75787383658854</v>
          </cell>
        </row>
        <row r="48">
          <cell r="A48" t="str">
            <v>OPM</v>
          </cell>
          <cell r="B48">
            <v>0</v>
          </cell>
          <cell r="C48">
            <v>0</v>
          </cell>
          <cell r="D48">
            <v>0</v>
          </cell>
          <cell r="E48">
            <v>0</v>
          </cell>
          <cell r="F48" t="str">
            <v xml:space="preserve"> /////////</v>
          </cell>
          <cell r="G48">
            <v>0</v>
          </cell>
          <cell r="H48">
            <v>0</v>
          </cell>
          <cell r="I48">
            <v>0</v>
          </cell>
        </row>
        <row r="49">
          <cell r="A49" t="str">
            <v>RDL</v>
          </cell>
          <cell r="B49">
            <v>0</v>
          </cell>
          <cell r="C49">
            <v>0</v>
          </cell>
          <cell r="D49">
            <v>0</v>
          </cell>
          <cell r="E49">
            <v>0</v>
          </cell>
          <cell r="F49" t="str">
            <v xml:space="preserve"> /////////</v>
          </cell>
          <cell r="G49">
            <v>0</v>
          </cell>
          <cell r="H49">
            <v>0</v>
          </cell>
          <cell r="I49">
            <v>0</v>
          </cell>
        </row>
        <row r="50">
          <cell r="A50" t="str">
            <v>OA</v>
          </cell>
          <cell r="B50">
            <v>0</v>
          </cell>
          <cell r="C50">
            <v>0</v>
          </cell>
          <cell r="D50">
            <v>0</v>
          </cell>
          <cell r="E50">
            <v>0</v>
          </cell>
          <cell r="F50" t="str">
            <v xml:space="preserve"> /////////</v>
          </cell>
          <cell r="G50">
            <v>0</v>
          </cell>
          <cell r="H50">
            <v>0</v>
          </cell>
          <cell r="I50">
            <v>0</v>
          </cell>
        </row>
        <row r="51">
          <cell r="A51" t="str">
            <v>LEU</v>
          </cell>
          <cell r="B51">
            <v>0</v>
          </cell>
          <cell r="C51">
            <v>0</v>
          </cell>
          <cell r="D51">
            <v>0</v>
          </cell>
          <cell r="E51">
            <v>0</v>
          </cell>
          <cell r="F51" t="str">
            <v xml:space="preserve"> /////////</v>
          </cell>
          <cell r="G51">
            <v>0</v>
          </cell>
          <cell r="H51">
            <v>0</v>
          </cell>
          <cell r="I51">
            <v>0</v>
          </cell>
        </row>
        <row r="52">
          <cell r="A52" t="str">
            <v>HYP</v>
          </cell>
          <cell r="B52">
            <v>0</v>
          </cell>
          <cell r="C52">
            <v>0</v>
          </cell>
          <cell r="D52">
            <v>0</v>
          </cell>
          <cell r="E52">
            <v>0</v>
          </cell>
          <cell r="F52" t="str">
            <v xml:space="preserve"> /////////</v>
          </cell>
          <cell r="G52">
            <v>0</v>
          </cell>
          <cell r="H52">
            <v>0</v>
          </cell>
          <cell r="I52">
            <v>0</v>
          </cell>
        </row>
        <row r="53">
          <cell r="A53" t="str">
            <v>FSE</v>
          </cell>
          <cell r="B53">
            <v>0</v>
          </cell>
          <cell r="C53">
            <v>0</v>
          </cell>
          <cell r="D53">
            <v>0</v>
          </cell>
          <cell r="E53">
            <v>0</v>
          </cell>
          <cell r="F53" t="str">
            <v xml:space="preserve"> /////////</v>
          </cell>
          <cell r="G53">
            <v>0</v>
          </cell>
          <cell r="H53">
            <v>0</v>
          </cell>
          <cell r="I53">
            <v>0</v>
          </cell>
        </row>
        <row r="54">
          <cell r="A54" t="str">
            <v>MRI</v>
          </cell>
          <cell r="B54">
            <v>28018</v>
          </cell>
          <cell r="C54">
            <v>804.04016999999999</v>
          </cell>
          <cell r="D54">
            <v>76.118059183590418</v>
          </cell>
          <cell r="E54">
            <v>256.34139181605684</v>
          </cell>
          <cell r="F54" t="str">
            <v xml:space="preserve"> /////////</v>
          </cell>
          <cell r="G54">
            <v>0</v>
          </cell>
          <cell r="H54">
            <v>0</v>
          </cell>
          <cell r="I54">
            <v>1136.4996209996473</v>
          </cell>
        </row>
        <row r="55">
          <cell r="A55" t="str">
            <v>LIT</v>
          </cell>
          <cell r="B55">
            <v>21</v>
          </cell>
          <cell r="C55">
            <v>24</v>
          </cell>
          <cell r="D55">
            <v>2.2374855349260425</v>
          </cell>
          <cell r="E55">
            <v>10.124963146745504</v>
          </cell>
          <cell r="F55" t="str">
            <v xml:space="preserve"> /////////</v>
          </cell>
          <cell r="G55">
            <v>0</v>
          </cell>
          <cell r="H55">
            <v>0</v>
          </cell>
          <cell r="I55">
            <v>36.362448681671552</v>
          </cell>
        </row>
        <row r="56">
          <cell r="A56" t="str">
            <v>RHB</v>
          </cell>
          <cell r="B56">
            <v>0</v>
          </cell>
          <cell r="C56">
            <v>0</v>
          </cell>
          <cell r="D56">
            <v>0</v>
          </cell>
          <cell r="E56">
            <v>0</v>
          </cell>
          <cell r="F56" t="str">
            <v xml:space="preserve"> /////////</v>
          </cell>
          <cell r="G56">
            <v>0</v>
          </cell>
          <cell r="H56">
            <v>0</v>
          </cell>
          <cell r="I56">
            <v>0</v>
          </cell>
        </row>
        <row r="57">
          <cell r="A57" t="str">
            <v>OBV</v>
          </cell>
          <cell r="B57">
            <v>45365</v>
          </cell>
          <cell r="C57">
            <v>1330.7675948963388</v>
          </cell>
          <cell r="D57">
            <v>382.08891531883728</v>
          </cell>
          <cell r="E57">
            <v>698.31216084028574</v>
          </cell>
          <cell r="F57" t="str">
            <v xml:space="preserve"> /////////</v>
          </cell>
          <cell r="G57">
            <v>0</v>
          </cell>
          <cell r="H57">
            <v>0</v>
          </cell>
          <cell r="I57">
            <v>2411.1686710554618</v>
          </cell>
        </row>
        <row r="58">
          <cell r="A58" t="str">
            <v>AMR</v>
          </cell>
          <cell r="B58">
            <v>0</v>
          </cell>
          <cell r="C58">
            <v>161.36261906925449</v>
          </cell>
          <cell r="D58">
            <v>15.016567840301065</v>
          </cell>
          <cell r="E58">
            <v>5.9513827699848854</v>
          </cell>
          <cell r="F58" t="str">
            <v xml:space="preserve"> /////////</v>
          </cell>
          <cell r="G58" t="str">
            <v>////////////</v>
          </cell>
          <cell r="H58" t="str">
            <v>////////////</v>
          </cell>
          <cell r="I58">
            <v>182.33056967954045</v>
          </cell>
        </row>
        <row r="59">
          <cell r="A59" t="str">
            <v>TMT</v>
          </cell>
          <cell r="B59">
            <v>0</v>
          </cell>
          <cell r="C59">
            <v>0</v>
          </cell>
          <cell r="D59">
            <v>0</v>
          </cell>
          <cell r="E59">
            <v>0</v>
          </cell>
          <cell r="F59" t="str">
            <v xml:space="preserve"> /////////</v>
          </cell>
          <cell r="G59">
            <v>0</v>
          </cell>
          <cell r="H59">
            <v>0</v>
          </cell>
          <cell r="I59">
            <v>0</v>
          </cell>
        </row>
        <row r="60">
          <cell r="A60" t="str">
            <v>OCL</v>
          </cell>
          <cell r="B60">
            <v>0</v>
          </cell>
          <cell r="C60">
            <v>0</v>
          </cell>
          <cell r="D60">
            <v>0</v>
          </cell>
          <cell r="E60">
            <v>0</v>
          </cell>
          <cell r="F60" t="str">
            <v xml:space="preserve"> /////////</v>
          </cell>
          <cell r="G60">
            <v>0</v>
          </cell>
          <cell r="H60">
            <v>0</v>
          </cell>
          <cell r="I60">
            <v>0</v>
          </cell>
        </row>
        <row r="61">
          <cell r="A61" t="str">
            <v>TNA</v>
          </cell>
          <cell r="B61">
            <v>0</v>
          </cell>
          <cell r="C61">
            <v>5.7203311336568143</v>
          </cell>
          <cell r="D61">
            <v>0.52991823088424495</v>
          </cell>
          <cell r="E61">
            <v>0.21089578100455236</v>
          </cell>
          <cell r="F61" t="str">
            <v xml:space="preserve"> /////////</v>
          </cell>
          <cell r="G61">
            <v>0</v>
          </cell>
          <cell r="H61">
            <v>0</v>
          </cell>
          <cell r="I61">
            <v>6.4611451455456113</v>
          </cell>
        </row>
        <row r="62">
          <cell r="A62" t="str">
            <v>ADM</v>
          </cell>
          <cell r="B62">
            <v>15176</v>
          </cell>
          <cell r="C62" t="str">
            <v>////////////</v>
          </cell>
          <cell r="D62">
            <v>548.58057793559772</v>
          </cell>
          <cell r="E62">
            <v>670.77846475290551</v>
          </cell>
          <cell r="F62" t="str">
            <v xml:space="preserve"> /////////</v>
          </cell>
          <cell r="G62" t="str">
            <v>////////////</v>
          </cell>
          <cell r="H62" t="str">
            <v>////////////</v>
          </cell>
          <cell r="I62">
            <v>1219.3590426885032</v>
          </cell>
        </row>
        <row r="63">
          <cell r="A63" t="str">
            <v>MSS</v>
          </cell>
          <cell r="B63">
            <v>24887.001029999999</v>
          </cell>
          <cell r="C63">
            <v>39859.699999999997</v>
          </cell>
          <cell r="D63">
            <v>2664.2860083889332</v>
          </cell>
          <cell r="E63">
            <v>876.7513168352923</v>
          </cell>
          <cell r="F63" t="str">
            <v xml:space="preserve"> /////////</v>
          </cell>
          <cell r="G63" t="str">
            <v>////////////</v>
          </cell>
          <cell r="H63" t="str">
            <v>////////////</v>
          </cell>
          <cell r="I63">
            <v>43400.737325224218</v>
          </cell>
        </row>
        <row r="64">
          <cell r="A64" t="str">
            <v>CDS</v>
          </cell>
          <cell r="B64">
            <v>24887.001029999999</v>
          </cell>
          <cell r="C64">
            <v>19398.3</v>
          </cell>
          <cell r="D64">
            <v>5010.36520494045</v>
          </cell>
          <cell r="E64">
            <v>1924.1198952707871</v>
          </cell>
          <cell r="F64" t="str">
            <v xml:space="preserve"> /////////</v>
          </cell>
          <cell r="G64" t="str">
            <v>////////////</v>
          </cell>
          <cell r="H64" t="str">
            <v>////////////</v>
          </cell>
          <cell r="I64">
            <v>26332.785100211237</v>
          </cell>
        </row>
        <row r="65">
          <cell r="F65" t="str">
            <v xml:space="preserve"> /////////</v>
          </cell>
        </row>
        <row r="67">
          <cell r="B67">
            <v>21375527.002060004</v>
          </cell>
          <cell r="C67">
            <v>182282.29254629445</v>
          </cell>
          <cell r="D67">
            <v>31793.825480023865</v>
          </cell>
          <cell r="E67">
            <v>45165.780098428666</v>
          </cell>
          <cell r="G67">
            <v>864.17752951154887</v>
          </cell>
          <cell r="H67">
            <v>0</v>
          </cell>
          <cell r="I67">
            <v>260106.07565425851</v>
          </cell>
        </row>
      </sheetData>
      <sheetData sheetId="3">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cell r="X4">
            <v>23</v>
          </cell>
          <cell r="Y4">
            <v>24</v>
          </cell>
          <cell r="Z4">
            <v>25</v>
          </cell>
          <cell r="AA4">
            <v>26</v>
          </cell>
          <cell r="AB4">
            <v>27</v>
          </cell>
          <cell r="AC4">
            <v>28</v>
          </cell>
          <cell r="AD4">
            <v>29</v>
          </cell>
          <cell r="AE4">
            <v>30</v>
          </cell>
          <cell r="AF4">
            <v>31</v>
          </cell>
          <cell r="AG4">
            <v>32</v>
          </cell>
          <cell r="AH4">
            <v>33</v>
          </cell>
          <cell r="AI4">
            <v>34</v>
          </cell>
          <cell r="AJ4">
            <v>35</v>
          </cell>
          <cell r="AK4">
            <v>36</v>
          </cell>
          <cell r="AL4">
            <v>37</v>
          </cell>
          <cell r="AM4">
            <v>38</v>
          </cell>
          <cell r="AN4">
            <v>39</v>
          </cell>
          <cell r="AO4">
            <v>40</v>
          </cell>
          <cell r="AP4">
            <v>41</v>
          </cell>
          <cell r="AQ4">
            <v>42</v>
          </cell>
          <cell r="AR4">
            <v>43</v>
          </cell>
          <cell r="AS4">
            <v>44</v>
          </cell>
          <cell r="AT4">
            <v>45</v>
          </cell>
          <cell r="AU4">
            <v>46</v>
          </cell>
          <cell r="AV4">
            <v>47</v>
          </cell>
          <cell r="AW4">
            <v>48</v>
          </cell>
          <cell r="AX4">
            <v>49</v>
          </cell>
          <cell r="AY4">
            <v>50</v>
          </cell>
          <cell r="AZ4">
            <v>51</v>
          </cell>
          <cell r="BA4">
            <v>52</v>
          </cell>
          <cell r="BB4">
            <v>53</v>
          </cell>
          <cell r="BC4">
            <v>54</v>
          </cell>
          <cell r="BD4">
            <v>55</v>
          </cell>
          <cell r="BE4">
            <v>56</v>
          </cell>
          <cell r="BF4">
            <v>57</v>
          </cell>
          <cell r="BG4">
            <v>58</v>
          </cell>
          <cell r="BH4">
            <v>59</v>
          </cell>
          <cell r="BI4">
            <v>60</v>
          </cell>
          <cell r="BJ4">
            <v>61</v>
          </cell>
          <cell r="BK4">
            <v>62</v>
          </cell>
          <cell r="BL4">
            <v>63</v>
          </cell>
          <cell r="BM4">
            <v>64</v>
          </cell>
          <cell r="BN4">
            <v>65</v>
          </cell>
          <cell r="BO4">
            <v>66</v>
          </cell>
          <cell r="BP4">
            <v>67</v>
          </cell>
          <cell r="BQ4">
            <v>68</v>
          </cell>
          <cell r="BR4">
            <v>69</v>
          </cell>
          <cell r="BS4">
            <v>70</v>
          </cell>
          <cell r="BT4">
            <v>71</v>
          </cell>
          <cell r="BU4">
            <v>72</v>
          </cell>
          <cell r="BV4">
            <v>73</v>
          </cell>
          <cell r="BW4">
            <v>74</v>
          </cell>
          <cell r="BX4">
            <v>75</v>
          </cell>
          <cell r="BY4">
            <v>76</v>
          </cell>
          <cell r="BZ4">
            <v>77</v>
          </cell>
          <cell r="CA4">
            <v>78</v>
          </cell>
          <cell r="CB4">
            <v>79</v>
          </cell>
          <cell r="CC4">
            <v>80</v>
          </cell>
          <cell r="CD4">
            <v>81</v>
          </cell>
          <cell r="CE4">
            <v>82</v>
          </cell>
          <cell r="CF4">
            <v>83</v>
          </cell>
          <cell r="CG4">
            <v>84</v>
          </cell>
          <cell r="CH4">
            <v>85</v>
          </cell>
          <cell r="CI4">
            <v>86</v>
          </cell>
          <cell r="CJ4">
            <v>87</v>
          </cell>
          <cell r="CK4">
            <v>88</v>
          </cell>
          <cell r="CL4">
            <v>89</v>
          </cell>
          <cell r="CM4">
            <v>90</v>
          </cell>
          <cell r="CN4">
            <v>91</v>
          </cell>
          <cell r="CO4">
            <v>92</v>
          </cell>
          <cell r="CP4">
            <v>93</v>
          </cell>
          <cell r="CQ4">
            <v>94</v>
          </cell>
          <cell r="CR4">
            <v>95</v>
          </cell>
          <cell r="CS4">
            <v>96</v>
          </cell>
          <cell r="CT4">
            <v>97</v>
          </cell>
          <cell r="CU4">
            <v>98</v>
          </cell>
          <cell r="CV4">
            <v>99</v>
          </cell>
        </row>
        <row r="5">
          <cell r="AD5" t="str">
            <v>HSCRC TRIAL BALANCE</v>
          </cell>
          <cell r="BB5" t="str">
            <v>HSCRC TRIAL BALANCE</v>
          </cell>
          <cell r="BR5" t="str">
            <v>HSCRC TRIAL BALANCE</v>
          </cell>
          <cell r="CH5" t="str">
            <v>OVERHEAD ALLOCATION</v>
          </cell>
          <cell r="CP5" t="str">
            <v>FINAL HSCRC TRIAL BALANCE FOR</v>
          </cell>
        </row>
        <row r="6">
          <cell r="F6" t="str">
            <v>HSCRC</v>
          </cell>
          <cell r="H6" t="str">
            <v>RECLASSED TRIAL BALANCE</v>
          </cell>
          <cell r="P6" t="str">
            <v>HSCRC TRIAL BALANCE</v>
          </cell>
          <cell r="V6" t="str">
            <v>PHYSICIAN PART B OVERHEAD ALLOCATION</v>
          </cell>
          <cell r="AD6" t="str">
            <v>ADJUSTED FOR PART B ALLOCATIONS</v>
          </cell>
          <cell r="AL6" t="str">
            <v>DONATED SERVICES</v>
          </cell>
          <cell r="AT6" t="str">
            <v>DATA PROCESSING ALLOCATION</v>
          </cell>
          <cell r="BB6" t="str">
            <v>ADJUSTED FOR DONATED SERVICES &amp; D/P</v>
          </cell>
          <cell r="BJ6" t="str">
            <v>PHYSICIAN COST ALLOCATION</v>
          </cell>
          <cell r="BR6" t="str">
            <v>ADJUSTED FOR PHYSICIAN COST ALLOCATION</v>
          </cell>
          <cell r="BZ6" t="str">
            <v>CAFETERIA, PARKING ALLOCATION</v>
          </cell>
          <cell r="CH6" t="str">
            <v>AUXILIARY ENTERPRISES, OIP'S and URs</v>
          </cell>
          <cell r="CP6" t="str">
            <v>J &amp; M SCHEDULE USE</v>
          </cell>
        </row>
        <row r="7">
          <cell r="F7" t="str">
            <v>SCHD</v>
          </cell>
          <cell r="BZ7" t="str">
            <v>Yes, Salary &amp; Other are Reversed Here</v>
          </cell>
        </row>
        <row r="8">
          <cell r="B8" t="str">
            <v>CODE</v>
          </cell>
          <cell r="D8" t="str">
            <v>DESCRIPTION</v>
          </cell>
          <cell r="F8" t="str">
            <v>#</v>
          </cell>
          <cell r="H8" t="str">
            <v>SALARIES</v>
          </cell>
          <cell r="J8" t="str">
            <v>OTHER</v>
          </cell>
          <cell r="L8" t="str">
            <v>TOTAL</v>
          </cell>
          <cell r="N8" t="str">
            <v>FTES</v>
          </cell>
          <cell r="P8" t="str">
            <v>SALARIES</v>
          </cell>
          <cell r="R8" t="str">
            <v>OTHER</v>
          </cell>
          <cell r="T8" t="str">
            <v>TOTAL</v>
          </cell>
          <cell r="V8" t="str">
            <v>SALARIES</v>
          </cell>
          <cell r="X8" t="str">
            <v>OTHER</v>
          </cell>
          <cell r="Z8" t="str">
            <v>TOTAL</v>
          </cell>
          <cell r="AB8" t="str">
            <v>FTES</v>
          </cell>
          <cell r="AD8" t="str">
            <v>SALARIES</v>
          </cell>
          <cell r="AF8" t="str">
            <v>OTHER</v>
          </cell>
          <cell r="AH8" t="str">
            <v>TOTAL</v>
          </cell>
          <cell r="AJ8" t="str">
            <v>FTES</v>
          </cell>
          <cell r="AL8" t="str">
            <v>SALARIES</v>
          </cell>
          <cell r="AN8" t="str">
            <v>OTHER</v>
          </cell>
          <cell r="AP8" t="str">
            <v>TOTAL</v>
          </cell>
          <cell r="AR8" t="str">
            <v>FTES</v>
          </cell>
          <cell r="AT8" t="str">
            <v>SALARIES</v>
          </cell>
          <cell r="AV8" t="str">
            <v>OTHER</v>
          </cell>
          <cell r="AX8" t="str">
            <v>TOTAL</v>
          </cell>
          <cell r="AZ8" t="str">
            <v>FTES</v>
          </cell>
          <cell r="BB8" t="str">
            <v>SALARIES</v>
          </cell>
          <cell r="BD8" t="str">
            <v>OTHER</v>
          </cell>
          <cell r="BF8" t="str">
            <v>TOTAL</v>
          </cell>
          <cell r="BH8" t="str">
            <v>FTES</v>
          </cell>
          <cell r="BJ8" t="str">
            <v>SALARIES</v>
          </cell>
          <cell r="BL8" t="str">
            <v>OTHER</v>
          </cell>
          <cell r="BN8" t="str">
            <v>TOTAL</v>
          </cell>
          <cell r="BP8" t="str">
            <v>FTES</v>
          </cell>
          <cell r="BR8" t="str">
            <v>SALARIES</v>
          </cell>
          <cell r="BT8" t="str">
            <v>OTHER</v>
          </cell>
          <cell r="BV8" t="str">
            <v>TOTAL</v>
          </cell>
          <cell r="BX8" t="str">
            <v>FTES</v>
          </cell>
          <cell r="BZ8" t="str">
            <v>OTHER</v>
          </cell>
          <cell r="CB8" t="str">
            <v>SALARIES</v>
          </cell>
          <cell r="CD8" t="str">
            <v>TOTAL</v>
          </cell>
          <cell r="CF8" t="str">
            <v>FTES</v>
          </cell>
          <cell r="CH8" t="str">
            <v>SALARIES</v>
          </cell>
          <cell r="CJ8" t="str">
            <v>OTHER</v>
          </cell>
          <cell r="CL8" t="str">
            <v>TOTAL</v>
          </cell>
          <cell r="CN8" t="str">
            <v>FTES</v>
          </cell>
          <cell r="CP8" t="str">
            <v>SALARIES</v>
          </cell>
          <cell r="CR8" t="str">
            <v>OTHER</v>
          </cell>
          <cell r="CT8" t="str">
            <v>TOTAL</v>
          </cell>
          <cell r="CV8" t="str">
            <v>FTES</v>
          </cell>
        </row>
        <row r="9">
          <cell r="B9" t="str">
            <v>DTY</v>
          </cell>
          <cell r="D9" t="str">
            <v>DIETARY</v>
          </cell>
          <cell r="F9" t="str">
            <v>C1</v>
          </cell>
          <cell r="H9">
            <v>0</v>
          </cell>
          <cell r="J9">
            <v>3300518.06</v>
          </cell>
          <cell r="L9">
            <v>3300518.06</v>
          </cell>
          <cell r="N9">
            <v>0</v>
          </cell>
          <cell r="O9" t="str">
            <v>DTY</v>
          </cell>
          <cell r="P9">
            <v>0</v>
          </cell>
          <cell r="R9">
            <v>3300.5</v>
          </cell>
          <cell r="T9">
            <v>3300.5</v>
          </cell>
          <cell r="X9">
            <v>0</v>
          </cell>
          <cell r="Z9">
            <v>0</v>
          </cell>
          <cell r="AD9">
            <v>0</v>
          </cell>
          <cell r="AF9">
            <v>3300.5</v>
          </cell>
          <cell r="AH9">
            <v>3300.5</v>
          </cell>
          <cell r="AJ9">
            <v>0</v>
          </cell>
          <cell r="AL9">
            <v>0</v>
          </cell>
          <cell r="AN9">
            <v>0</v>
          </cell>
          <cell r="AP9">
            <v>0</v>
          </cell>
          <cell r="AR9">
            <v>0</v>
          </cell>
          <cell r="AT9">
            <v>0.6880899867666519</v>
          </cell>
          <cell r="AV9">
            <v>107.99744155271283</v>
          </cell>
          <cell r="AX9">
            <v>108.68553153947948</v>
          </cell>
          <cell r="AZ9">
            <v>2.0257732177394725E-3</v>
          </cell>
          <cell r="BB9">
            <v>0.6880899867666519</v>
          </cell>
          <cell r="BD9">
            <v>3408.4974415527126</v>
          </cell>
          <cell r="BF9">
            <v>3409.1855315394791</v>
          </cell>
          <cell r="BH9">
            <v>2.0257732177394725E-3</v>
          </cell>
          <cell r="BN9">
            <v>0</v>
          </cell>
          <cell r="BR9">
            <v>0.6880899867666519</v>
          </cell>
          <cell r="BT9">
            <v>3408.4974415527126</v>
          </cell>
          <cell r="BV9">
            <v>3409.1855315394791</v>
          </cell>
          <cell r="BX9">
            <v>2.0257732177394725E-3</v>
          </cell>
          <cell r="CB9">
            <v>6.8000000000000005E-4</v>
          </cell>
          <cell r="CD9">
            <v>6.8000000000000005E-4</v>
          </cell>
          <cell r="CG9" t="str">
            <v>DTY</v>
          </cell>
          <cell r="CH9">
            <v>0</v>
          </cell>
          <cell r="CJ9">
            <v>0</v>
          </cell>
          <cell r="CL9">
            <v>0</v>
          </cell>
          <cell r="CN9">
            <v>0</v>
          </cell>
          <cell r="CO9" t="str">
            <v>DTY</v>
          </cell>
          <cell r="CP9">
            <v>0.68876998676665191</v>
          </cell>
          <cell r="CR9">
            <v>3408.4974415527126</v>
          </cell>
          <cell r="CT9">
            <v>3409.1862115394792</v>
          </cell>
          <cell r="CV9">
            <v>2.0257732177394725E-3</v>
          </cell>
        </row>
        <row r="10">
          <cell r="B10" t="str">
            <v>LL</v>
          </cell>
          <cell r="D10" t="str">
            <v>LAUNDRY &amp; LINEN</v>
          </cell>
          <cell r="F10" t="str">
            <v>C2</v>
          </cell>
          <cell r="H10">
            <v>99751.093438422497</v>
          </cell>
          <cell r="J10">
            <v>1000541.8800000001</v>
          </cell>
          <cell r="L10">
            <v>1100292.9734384227</v>
          </cell>
          <cell r="N10">
            <v>2.5787259615384617</v>
          </cell>
          <cell r="O10" t="str">
            <v>LL</v>
          </cell>
          <cell r="P10">
            <v>99.8</v>
          </cell>
          <cell r="R10">
            <v>1000.5</v>
          </cell>
          <cell r="T10">
            <v>1100.3</v>
          </cell>
          <cell r="X10">
            <v>0</v>
          </cell>
          <cell r="Z10">
            <v>0</v>
          </cell>
          <cell r="AD10">
            <v>99.8</v>
          </cell>
          <cell r="AF10">
            <v>1000.5</v>
          </cell>
          <cell r="AH10">
            <v>1100.3</v>
          </cell>
          <cell r="AJ10">
            <v>2.5787259615384617</v>
          </cell>
          <cell r="AL10">
            <v>0</v>
          </cell>
          <cell r="AN10">
            <v>0</v>
          </cell>
          <cell r="AP10">
            <v>0</v>
          </cell>
          <cell r="AR10">
            <v>0</v>
          </cell>
          <cell r="AT10">
            <v>3.6215262461402734E-2</v>
          </cell>
          <cell r="AV10">
            <v>5.6840758711954118</v>
          </cell>
          <cell r="AX10">
            <v>5.720291133656815</v>
          </cell>
          <cell r="AZ10">
            <v>1.0661964303891961E-4</v>
          </cell>
          <cell r="BB10">
            <v>99.836215262461394</v>
          </cell>
          <cell r="BD10">
            <v>1006.1840758711954</v>
          </cell>
          <cell r="BF10">
            <v>1106.0202911336569</v>
          </cell>
          <cell r="BH10">
            <v>2.5788325811815005</v>
          </cell>
          <cell r="BN10">
            <v>0</v>
          </cell>
          <cell r="BR10">
            <v>99.836215262461394</v>
          </cell>
          <cell r="BT10">
            <v>1006.1840758711954</v>
          </cell>
          <cell r="BV10">
            <v>1106.0202911336569</v>
          </cell>
          <cell r="BX10">
            <v>2.5788325811815005</v>
          </cell>
          <cell r="CB10">
            <v>0.86241000000000001</v>
          </cell>
          <cell r="CD10">
            <v>0.86241000000000001</v>
          </cell>
          <cell r="CG10" t="str">
            <v>LL</v>
          </cell>
          <cell r="CH10">
            <v>-0.7465321409117267</v>
          </cell>
          <cell r="CJ10">
            <v>-7.4880048528925318</v>
          </cell>
          <cell r="CL10">
            <v>-8.2345369938042587</v>
          </cell>
          <cell r="CN10">
            <v>-1.9299054742496095E-2</v>
          </cell>
          <cell r="CO10" t="str">
            <v>LL</v>
          </cell>
          <cell r="CP10">
            <v>99.952093121549666</v>
          </cell>
          <cell r="CR10">
            <v>998.69607101830286</v>
          </cell>
          <cell r="CT10">
            <v>1098.6481641398525</v>
          </cell>
          <cell r="CV10">
            <v>2.5595335264390044</v>
          </cell>
        </row>
        <row r="11">
          <cell r="B11" t="str">
            <v>SSS</v>
          </cell>
          <cell r="D11" t="str">
            <v>SOCIAL SERVICES</v>
          </cell>
          <cell r="F11" t="str">
            <v>C3</v>
          </cell>
          <cell r="H11">
            <v>505192.30529228889</v>
          </cell>
          <cell r="J11">
            <v>1599.28</v>
          </cell>
          <cell r="L11">
            <v>506791.58529228892</v>
          </cell>
          <cell r="N11">
            <v>5.1590144230769228</v>
          </cell>
          <cell r="O11" t="str">
            <v>SSS</v>
          </cell>
          <cell r="P11">
            <v>505.2</v>
          </cell>
          <cell r="R11">
            <v>1.6</v>
          </cell>
          <cell r="T11">
            <v>506.8</v>
          </cell>
          <cell r="X11">
            <v>0</v>
          </cell>
          <cell r="Z11">
            <v>0</v>
          </cell>
          <cell r="AD11">
            <v>505.2</v>
          </cell>
          <cell r="AF11">
            <v>1.6</v>
          </cell>
          <cell r="AH11">
            <v>506.8</v>
          </cell>
          <cell r="AJ11">
            <v>5.1590144230769228</v>
          </cell>
          <cell r="AL11">
            <v>0</v>
          </cell>
          <cell r="AN11">
            <v>0</v>
          </cell>
          <cell r="AP11">
            <v>0</v>
          </cell>
          <cell r="AR11">
            <v>0</v>
          </cell>
          <cell r="AT11">
            <v>0.25350683722981909</v>
          </cell>
          <cell r="AV11">
            <v>39.788531098367883</v>
          </cell>
          <cell r="AX11">
            <v>40.042037935597705</v>
          </cell>
          <cell r="AZ11">
            <v>7.4633750127243732E-4</v>
          </cell>
          <cell r="BB11">
            <v>505.45350683722978</v>
          </cell>
          <cell r="BD11">
            <v>41.388531098367885</v>
          </cell>
          <cell r="BF11">
            <v>546.84203793559766</v>
          </cell>
          <cell r="BH11">
            <v>5.1597607605781954</v>
          </cell>
          <cell r="BN11">
            <v>0</v>
          </cell>
          <cell r="BR11">
            <v>505.45350683722978</v>
          </cell>
          <cell r="BT11">
            <v>41.388531098367885</v>
          </cell>
          <cell r="BV11">
            <v>546.84203793559766</v>
          </cell>
          <cell r="BX11">
            <v>5.1597607605781954</v>
          </cell>
          <cell r="CB11">
            <v>1.73854</v>
          </cell>
          <cell r="CD11">
            <v>1.73854</v>
          </cell>
          <cell r="CG11" t="str">
            <v>SSS</v>
          </cell>
          <cell r="CH11">
            <v>0</v>
          </cell>
          <cell r="CJ11">
            <v>0</v>
          </cell>
          <cell r="CL11">
            <v>0</v>
          </cell>
          <cell r="CN11">
            <v>0</v>
          </cell>
          <cell r="CO11" t="str">
            <v>SSS</v>
          </cell>
          <cell r="CP11">
            <v>507.19204683722978</v>
          </cell>
          <cell r="CR11">
            <v>41.388531098367885</v>
          </cell>
          <cell r="CT11">
            <v>548.58057793559772</v>
          </cell>
          <cell r="CV11">
            <v>5.1597607605781954</v>
          </cell>
        </row>
        <row r="12">
          <cell r="B12" t="str">
            <v>PUR</v>
          </cell>
          <cell r="D12" t="str">
            <v>PURCHASING &amp; STORES</v>
          </cell>
          <cell r="F12" t="str">
            <v>C4</v>
          </cell>
          <cell r="H12">
            <v>1196840.4079845827</v>
          </cell>
          <cell r="J12">
            <v>1283411.8700000001</v>
          </cell>
          <cell r="L12">
            <v>2480252.2779845828</v>
          </cell>
          <cell r="N12">
            <v>20.308173076923076</v>
          </cell>
          <cell r="O12" t="str">
            <v>PUR</v>
          </cell>
          <cell r="P12">
            <v>1196.8</v>
          </cell>
          <cell r="R12">
            <v>1283.4000000000001</v>
          </cell>
          <cell r="T12">
            <v>2480.1999999999998</v>
          </cell>
          <cell r="X12">
            <v>0</v>
          </cell>
          <cell r="Z12">
            <v>0</v>
          </cell>
          <cell r="AD12">
            <v>1196.8</v>
          </cell>
          <cell r="AF12">
            <v>1283.4000000000001</v>
          </cell>
          <cell r="AH12">
            <v>2480.1999999999998</v>
          </cell>
          <cell r="AJ12">
            <v>20.308173076923076</v>
          </cell>
          <cell r="AL12">
            <v>0</v>
          </cell>
          <cell r="AN12">
            <v>0</v>
          </cell>
          <cell r="AP12">
            <v>0</v>
          </cell>
          <cell r="AR12">
            <v>0</v>
          </cell>
          <cell r="AT12">
            <v>0.76052051168945745</v>
          </cell>
          <cell r="AV12">
            <v>119.36559329510366</v>
          </cell>
          <cell r="AX12">
            <v>120.12611380679313</v>
          </cell>
          <cell r="AZ12">
            <v>2.2390125038173119E-3</v>
          </cell>
          <cell r="BB12">
            <v>1197.5605205116894</v>
          </cell>
          <cell r="BD12">
            <v>1402.7655932951038</v>
          </cell>
          <cell r="BF12">
            <v>2600.3261138067933</v>
          </cell>
          <cell r="BH12">
            <v>20.310412089426894</v>
          </cell>
          <cell r="BN12">
            <v>0</v>
          </cell>
          <cell r="BR12">
            <v>1197.5605205116894</v>
          </cell>
          <cell r="BT12">
            <v>1402.7655932951038</v>
          </cell>
          <cell r="BV12">
            <v>2600.3261138067933</v>
          </cell>
          <cell r="BX12">
            <v>20.310412089426894</v>
          </cell>
          <cell r="CB12">
            <v>6.7582500000000003</v>
          </cell>
          <cell r="CD12">
            <v>6.7582500000000003</v>
          </cell>
          <cell r="CG12" t="str">
            <v>PUR</v>
          </cell>
          <cell r="CH12">
            <v>-14.896809208674396</v>
          </cell>
          <cell r="CJ12">
            <v>-15.974345147431144</v>
          </cell>
          <cell r="CL12">
            <v>-30.871154356105542</v>
          </cell>
          <cell r="CN12">
            <v>-0.25277136173326648</v>
          </cell>
          <cell r="CO12" t="str">
            <v>PUR</v>
          </cell>
          <cell r="CP12">
            <v>1189.4219613030152</v>
          </cell>
          <cell r="CR12">
            <v>1386.7912481476726</v>
          </cell>
          <cell r="CT12">
            <v>2576.2132094506878</v>
          </cell>
          <cell r="CV12">
            <v>20.057640727693627</v>
          </cell>
        </row>
        <row r="13">
          <cell r="B13" t="str">
            <v>POP</v>
          </cell>
          <cell r="D13" t="str">
            <v>PLANT OPERATIONS</v>
          </cell>
          <cell r="F13" t="str">
            <v>C5</v>
          </cell>
          <cell r="H13">
            <v>3230654.4345939183</v>
          </cell>
          <cell r="J13">
            <v>8976277.0500000026</v>
          </cell>
          <cell r="L13">
            <v>12206931.48459392</v>
          </cell>
          <cell r="N13">
            <v>46.156129807692309</v>
          </cell>
          <cell r="O13" t="str">
            <v>POP</v>
          </cell>
          <cell r="P13">
            <v>3230.7</v>
          </cell>
          <cell r="R13">
            <v>8976.2999999999993</v>
          </cell>
          <cell r="T13">
            <v>12207</v>
          </cell>
          <cell r="X13">
            <v>0</v>
          </cell>
          <cell r="Z13">
            <v>0</v>
          </cell>
          <cell r="AD13">
            <v>3230.7</v>
          </cell>
          <cell r="AF13">
            <v>8976.2999999999993</v>
          </cell>
          <cell r="AH13">
            <v>12207</v>
          </cell>
          <cell r="AJ13">
            <v>46.156129807692309</v>
          </cell>
          <cell r="AL13">
            <v>0</v>
          </cell>
          <cell r="AN13">
            <v>0</v>
          </cell>
          <cell r="AP13">
            <v>0</v>
          </cell>
          <cell r="AR13">
            <v>0</v>
          </cell>
          <cell r="AT13">
            <v>1.8469783855315394</v>
          </cell>
          <cell r="AV13">
            <v>289.88786943096602</v>
          </cell>
          <cell r="AX13">
            <v>291.73484781649756</v>
          </cell>
          <cell r="AZ13">
            <v>5.4376017949849011E-3</v>
          </cell>
          <cell r="BB13">
            <v>3232.5469783855315</v>
          </cell>
          <cell r="BD13">
            <v>9266.1878694309653</v>
          </cell>
          <cell r="BF13">
            <v>12498.734847816497</v>
          </cell>
          <cell r="BH13">
            <v>46.161567409487297</v>
          </cell>
          <cell r="BN13">
            <v>0</v>
          </cell>
          <cell r="BR13">
            <v>3232.5469783855315</v>
          </cell>
          <cell r="BT13">
            <v>9266.1878694309653</v>
          </cell>
          <cell r="BV13">
            <v>12498.734847816497</v>
          </cell>
          <cell r="BX13">
            <v>46.161567409487297</v>
          </cell>
          <cell r="CB13">
            <v>15.19537</v>
          </cell>
          <cell r="CD13">
            <v>15.19537</v>
          </cell>
          <cell r="CG13" t="str">
            <v>POP</v>
          </cell>
          <cell r="CH13">
            <v>-74.445502264154484</v>
          </cell>
          <cell r="CJ13">
            <v>-206.84460903459296</v>
          </cell>
          <cell r="CL13">
            <v>-281.29011129874743</v>
          </cell>
          <cell r="CN13">
            <v>-1.0635975885595059</v>
          </cell>
          <cell r="CO13" t="str">
            <v>POP</v>
          </cell>
          <cell r="CP13">
            <v>3173.2968461213768</v>
          </cell>
          <cell r="CR13">
            <v>9059.343260396372</v>
          </cell>
          <cell r="CT13">
            <v>12232.640106517749</v>
          </cell>
          <cell r="CV13">
            <v>45.097969820927794</v>
          </cell>
        </row>
        <row r="14">
          <cell r="B14" t="str">
            <v>HKP</v>
          </cell>
          <cell r="D14" t="str">
            <v>HOUSEKEEPING</v>
          </cell>
          <cell r="F14" t="str">
            <v>C6</v>
          </cell>
          <cell r="H14">
            <v>0</v>
          </cell>
          <cell r="J14">
            <v>4307363.5899999989</v>
          </cell>
          <cell r="L14">
            <v>4307363.5899999989</v>
          </cell>
          <cell r="N14">
            <v>0</v>
          </cell>
          <cell r="O14" t="str">
            <v>HKP</v>
          </cell>
          <cell r="P14">
            <v>0</v>
          </cell>
          <cell r="R14">
            <v>4307.3999999999996</v>
          </cell>
          <cell r="T14">
            <v>4307.3999999999996</v>
          </cell>
          <cell r="X14">
            <v>0</v>
          </cell>
          <cell r="Z14">
            <v>0</v>
          </cell>
          <cell r="AD14">
            <v>0</v>
          </cell>
          <cell r="AF14">
            <v>4307.3999999999996</v>
          </cell>
          <cell r="AH14">
            <v>4307.3999999999996</v>
          </cell>
          <cell r="AJ14">
            <v>0</v>
          </cell>
          <cell r="AL14">
            <v>0</v>
          </cell>
          <cell r="AN14">
            <v>0</v>
          </cell>
          <cell r="AP14">
            <v>0</v>
          </cell>
          <cell r="AR14">
            <v>0</v>
          </cell>
          <cell r="AT14">
            <v>0.28972209969122187</v>
          </cell>
          <cell r="AV14">
            <v>45.472606969563294</v>
          </cell>
          <cell r="AX14">
            <v>45.76232906925452</v>
          </cell>
          <cell r="AZ14">
            <v>8.5295714431135692E-4</v>
          </cell>
          <cell r="BB14">
            <v>0.28972209969122187</v>
          </cell>
          <cell r="BD14">
            <v>4352.8726069695631</v>
          </cell>
          <cell r="BF14">
            <v>4353.1623290692542</v>
          </cell>
          <cell r="BH14">
            <v>8.5295714431135692E-4</v>
          </cell>
          <cell r="BN14">
            <v>0</v>
          </cell>
          <cell r="BR14">
            <v>0.28972209969122187</v>
          </cell>
          <cell r="BT14">
            <v>4352.8726069695631</v>
          </cell>
          <cell r="BV14">
            <v>4353.1623290692542</v>
          </cell>
          <cell r="BX14">
            <v>8.5295714431135692E-4</v>
          </cell>
          <cell r="CB14">
            <v>2.9E-4</v>
          </cell>
          <cell r="CD14">
            <v>2.9E-4</v>
          </cell>
          <cell r="CG14" t="str">
            <v>HKP</v>
          </cell>
          <cell r="CH14">
            <v>0</v>
          </cell>
          <cell r="CJ14">
            <v>-99.256621958141366</v>
          </cell>
          <cell r="CL14">
            <v>-99.256621958141366</v>
          </cell>
          <cell r="CN14">
            <v>0</v>
          </cell>
          <cell r="CO14" t="str">
            <v>HKP</v>
          </cell>
          <cell r="CP14">
            <v>0.29001209969122188</v>
          </cell>
          <cell r="CR14">
            <v>4253.6159850114218</v>
          </cell>
          <cell r="CT14">
            <v>4253.9059971111128</v>
          </cell>
          <cell r="CV14">
            <v>8.5295714431135692E-4</v>
          </cell>
        </row>
        <row r="15">
          <cell r="B15" t="str">
            <v>CSS</v>
          </cell>
          <cell r="D15" t="str">
            <v>CENTRAL SVCS &amp; SUPPLY</v>
          </cell>
          <cell r="F15" t="str">
            <v>C7</v>
          </cell>
          <cell r="H15">
            <v>937464.79110080563</v>
          </cell>
          <cell r="J15">
            <v>1632441.2820899966</v>
          </cell>
          <cell r="L15">
            <v>2569906.0731908022</v>
          </cell>
          <cell r="N15">
            <v>18.771569437643187</v>
          </cell>
          <cell r="O15" t="str">
            <v>CSS</v>
          </cell>
          <cell r="P15">
            <v>937.5</v>
          </cell>
          <cell r="R15">
            <v>1632.4</v>
          </cell>
          <cell r="T15">
            <v>2569.9</v>
          </cell>
          <cell r="X15">
            <v>0</v>
          </cell>
          <cell r="Z15">
            <v>0</v>
          </cell>
          <cell r="AD15">
            <v>937.5</v>
          </cell>
          <cell r="AF15">
            <v>1632.4</v>
          </cell>
          <cell r="AH15">
            <v>2569.9</v>
          </cell>
          <cell r="AJ15">
            <v>18.771569437643187</v>
          </cell>
          <cell r="AL15">
            <v>0</v>
          </cell>
          <cell r="AN15">
            <v>0</v>
          </cell>
          <cell r="AP15">
            <v>0</v>
          </cell>
          <cell r="AR15">
            <v>0</v>
          </cell>
          <cell r="AT15">
            <v>0.76052051168945745</v>
          </cell>
          <cell r="AV15">
            <v>119.36559329510366</v>
          </cell>
          <cell r="AX15">
            <v>120.12611380679313</v>
          </cell>
          <cell r="AZ15">
            <v>2.2390125038173119E-3</v>
          </cell>
          <cell r="BB15">
            <v>938.26052051168949</v>
          </cell>
          <cell r="BD15">
            <v>1751.7655932951038</v>
          </cell>
          <cell r="BF15">
            <v>2690.0261138067935</v>
          </cell>
          <cell r="BH15">
            <v>18.773808450147005</v>
          </cell>
          <cell r="BN15">
            <v>0</v>
          </cell>
          <cell r="BR15">
            <v>938.26052051168949</v>
          </cell>
          <cell r="BT15">
            <v>1751.7655932951038</v>
          </cell>
          <cell r="BV15">
            <v>2690.0261138067935</v>
          </cell>
          <cell r="BX15">
            <v>18.773808450147005</v>
          </cell>
          <cell r="CB15">
            <v>6.24695</v>
          </cell>
          <cell r="CD15">
            <v>6.24695</v>
          </cell>
          <cell r="CG15" t="str">
            <v>CSS</v>
          </cell>
          <cell r="CH15">
            <v>-11.668417977627637</v>
          </cell>
          <cell r="CJ15">
            <v>-20.318637440232344</v>
          </cell>
          <cell r="CL15">
            <v>-31.987055417859981</v>
          </cell>
          <cell r="CN15">
            <v>-0.2336455943452371</v>
          </cell>
          <cell r="CO15" t="str">
            <v>CSS</v>
          </cell>
          <cell r="CP15">
            <v>932.83905253406181</v>
          </cell>
          <cell r="CR15">
            <v>1731.4469558548715</v>
          </cell>
          <cell r="CT15">
            <v>2664.2860083889332</v>
          </cell>
          <cell r="CV15">
            <v>18.540162855801768</v>
          </cell>
        </row>
        <row r="16">
          <cell r="B16" t="str">
            <v>PHM</v>
          </cell>
          <cell r="D16" t="str">
            <v>PHARMACY</v>
          </cell>
          <cell r="F16" t="str">
            <v>C8</v>
          </cell>
          <cell r="H16">
            <v>4175589.7868170217</v>
          </cell>
          <cell r="J16">
            <v>696734.90000000154</v>
          </cell>
          <cell r="L16">
            <v>4872324.686817023</v>
          </cell>
          <cell r="N16">
            <v>36.261538461538464</v>
          </cell>
          <cell r="O16" t="str">
            <v>PHM</v>
          </cell>
          <cell r="P16">
            <v>4175.6000000000004</v>
          </cell>
          <cell r="R16">
            <v>696.7</v>
          </cell>
          <cell r="T16">
            <v>4872.3</v>
          </cell>
          <cell r="X16">
            <v>0</v>
          </cell>
          <cell r="Z16">
            <v>0</v>
          </cell>
          <cell r="AD16">
            <v>4175.6000000000004</v>
          </cell>
          <cell r="AF16">
            <v>696.7</v>
          </cell>
          <cell r="AH16">
            <v>4872.3</v>
          </cell>
          <cell r="AJ16">
            <v>36.261538461538464</v>
          </cell>
          <cell r="AL16">
            <v>0</v>
          </cell>
          <cell r="AN16">
            <v>0</v>
          </cell>
          <cell r="AP16">
            <v>0</v>
          </cell>
          <cell r="AR16">
            <v>0</v>
          </cell>
          <cell r="AT16">
            <v>0.79673577415086005</v>
          </cell>
          <cell r="AV16">
            <v>125.04966916629907</v>
          </cell>
          <cell r="AX16">
            <v>125.84640494044993</v>
          </cell>
          <cell r="AZ16">
            <v>2.3456321468562314E-3</v>
          </cell>
          <cell r="BB16">
            <v>4176.3967357741512</v>
          </cell>
          <cell r="BD16">
            <v>821.7496691662991</v>
          </cell>
          <cell r="BF16">
            <v>4998.1464049404503</v>
          </cell>
          <cell r="BH16">
            <v>36.26388409368532</v>
          </cell>
          <cell r="BN16">
            <v>0</v>
          </cell>
          <cell r="BR16">
            <v>4176.3967357741512</v>
          </cell>
          <cell r="BT16">
            <v>821.7496691662991</v>
          </cell>
          <cell r="BV16">
            <v>4998.1464049404503</v>
          </cell>
          <cell r="BX16">
            <v>36.26388409368532</v>
          </cell>
          <cell r="CB16">
            <v>12.2188</v>
          </cell>
          <cell r="CD16">
            <v>12.2188</v>
          </cell>
          <cell r="CG16" t="str">
            <v>PHM</v>
          </cell>
          <cell r="CH16">
            <v>0</v>
          </cell>
          <cell r="CJ16">
            <v>0</v>
          </cell>
          <cell r="CL16">
            <v>0</v>
          </cell>
          <cell r="CN16">
            <v>0</v>
          </cell>
          <cell r="CO16" t="str">
            <v>PHM</v>
          </cell>
          <cell r="CP16">
            <v>4188.6155357741509</v>
          </cell>
          <cell r="CR16">
            <v>821.7496691662991</v>
          </cell>
          <cell r="CT16">
            <v>5010.36520494045</v>
          </cell>
          <cell r="CV16">
            <v>36.26388409368532</v>
          </cell>
        </row>
        <row r="17">
          <cell r="B17" t="str">
            <v>FIS</v>
          </cell>
          <cell r="D17" t="str">
            <v>GENERAL ACCOUNTING</v>
          </cell>
          <cell r="F17" t="str">
            <v>C9</v>
          </cell>
          <cell r="H17">
            <v>626548.3932811406</v>
          </cell>
          <cell r="J17">
            <v>1360973.3</v>
          </cell>
          <cell r="L17">
            <v>1987521.6932811406</v>
          </cell>
          <cell r="N17">
            <v>7.2557692307692312</v>
          </cell>
          <cell r="O17" t="str">
            <v>FIS</v>
          </cell>
          <cell r="P17">
            <v>626.5</v>
          </cell>
          <cell r="R17">
            <v>1361</v>
          </cell>
          <cell r="T17">
            <v>1987.5</v>
          </cell>
          <cell r="X17">
            <v>0</v>
          </cell>
          <cell r="Z17">
            <v>0</v>
          </cell>
          <cell r="AD17">
            <v>626.5</v>
          </cell>
          <cell r="AF17">
            <v>1361</v>
          </cell>
          <cell r="AH17">
            <v>1987.5</v>
          </cell>
          <cell r="AJ17">
            <v>7.2557692307692312</v>
          </cell>
          <cell r="AL17">
            <v>0</v>
          </cell>
          <cell r="AN17">
            <v>0</v>
          </cell>
          <cell r="AP17">
            <v>0</v>
          </cell>
          <cell r="AR17">
            <v>0</v>
          </cell>
          <cell r="AT17">
            <v>1.2675341861490956</v>
          </cell>
          <cell r="AV17">
            <v>198.94265549183942</v>
          </cell>
          <cell r="AX17">
            <v>200.21018967798852</v>
          </cell>
          <cell r="AZ17">
            <v>3.7316875063621866E-3</v>
          </cell>
          <cell r="BB17">
            <v>627.76753418614908</v>
          </cell>
          <cell r="BD17">
            <v>1559.9426554918393</v>
          </cell>
          <cell r="BF17">
            <v>2187.7101896779886</v>
          </cell>
          <cell r="BH17">
            <v>7.2595009182755934</v>
          </cell>
          <cell r="BN17">
            <v>0</v>
          </cell>
          <cell r="BR17">
            <v>627.76753418614908</v>
          </cell>
          <cell r="BT17">
            <v>1559.9426554918393</v>
          </cell>
          <cell r="BV17">
            <v>2187.7101896779886</v>
          </cell>
          <cell r="BX17">
            <v>7.2595009182755934</v>
          </cell>
          <cell r="CB17">
            <v>2.0626500000000001</v>
          </cell>
          <cell r="CD17">
            <v>2.0626500000000001</v>
          </cell>
          <cell r="CG17" t="str">
            <v>FIS</v>
          </cell>
          <cell r="CH17">
            <v>-46.630683412520824</v>
          </cell>
          <cell r="CJ17">
            <v>-101.29004521557681</v>
          </cell>
          <cell r="CL17">
            <v>-147.92072862809763</v>
          </cell>
          <cell r="CN17">
            <v>-1.1378022146232296</v>
          </cell>
          <cell r="CO17" t="str">
            <v>FIS</v>
          </cell>
          <cell r="CP17">
            <v>583.19950077362819</v>
          </cell>
          <cell r="CR17">
            <v>1458.6526102762625</v>
          </cell>
          <cell r="CT17">
            <v>2041.8521110498907</v>
          </cell>
          <cell r="CV17">
            <v>6.1216987036523633</v>
          </cell>
        </row>
        <row r="18">
          <cell r="B18" t="str">
            <v>PAC</v>
          </cell>
          <cell r="D18" t="str">
            <v>PATIENT ACCOUNTS</v>
          </cell>
          <cell r="F18" t="str">
            <v>C10</v>
          </cell>
          <cell r="H18">
            <v>2063997.8161338044</v>
          </cell>
          <cell r="J18">
            <v>1839675.7916799195</v>
          </cell>
          <cell r="L18">
            <v>3903673.6078137239</v>
          </cell>
          <cell r="N18">
            <v>41.834535940821986</v>
          </cell>
          <cell r="O18" t="str">
            <v>PAC</v>
          </cell>
          <cell r="P18">
            <v>2064</v>
          </cell>
          <cell r="R18">
            <v>1839.7</v>
          </cell>
          <cell r="T18">
            <v>3903.7</v>
          </cell>
          <cell r="X18">
            <v>0</v>
          </cell>
          <cell r="Z18">
            <v>0</v>
          </cell>
          <cell r="AD18">
            <v>2064</v>
          </cell>
          <cell r="AF18">
            <v>1839.7</v>
          </cell>
          <cell r="AH18">
            <v>3903.7</v>
          </cell>
          <cell r="AJ18">
            <v>41.834535940821986</v>
          </cell>
          <cell r="AL18">
            <v>0</v>
          </cell>
          <cell r="AN18">
            <v>0</v>
          </cell>
          <cell r="AP18">
            <v>0</v>
          </cell>
          <cell r="AR18">
            <v>0</v>
          </cell>
          <cell r="AT18">
            <v>1.6296868107631231</v>
          </cell>
          <cell r="AV18">
            <v>255.78341420379357</v>
          </cell>
          <cell r="AX18">
            <v>257.41310101455667</v>
          </cell>
          <cell r="AZ18">
            <v>4.7978839367513832E-3</v>
          </cell>
          <cell r="BB18">
            <v>2065.6296868107629</v>
          </cell>
          <cell r="BD18">
            <v>2095.4834142037935</v>
          </cell>
          <cell r="BF18">
            <v>4161.1131010145564</v>
          </cell>
          <cell r="BH18">
            <v>41.839333824758739</v>
          </cell>
          <cell r="BN18">
            <v>0</v>
          </cell>
          <cell r="BR18">
            <v>2065.6296868107629</v>
          </cell>
          <cell r="BT18">
            <v>2095.4834142037935</v>
          </cell>
          <cell r="BV18">
            <v>4161.1131010145564</v>
          </cell>
          <cell r="BX18">
            <v>41.839333824758739</v>
          </cell>
          <cell r="CB18">
            <v>13.86509</v>
          </cell>
          <cell r="CD18">
            <v>13.86509</v>
          </cell>
          <cell r="CG18" t="str">
            <v>PAC</v>
          </cell>
          <cell r="CH18">
            <v>-34.016264477645606</v>
          </cell>
          <cell r="CJ18">
            <v>-30.319265744246966</v>
          </cell>
          <cell r="CL18">
            <v>-64.335530221892569</v>
          </cell>
          <cell r="CN18">
            <v>-0.68946518631893661</v>
          </cell>
          <cell r="CO18" t="str">
            <v>PAC</v>
          </cell>
          <cell r="CP18">
            <v>2045.4785123331171</v>
          </cell>
          <cell r="CR18">
            <v>2065.1641484595466</v>
          </cell>
          <cell r="CT18">
            <v>4110.6426607926642</v>
          </cell>
          <cell r="CV18">
            <v>41.149868638439806</v>
          </cell>
        </row>
        <row r="19">
          <cell r="B19" t="str">
            <v>MGT</v>
          </cell>
          <cell r="D19" t="str">
            <v>HOSPITAL ADMIN</v>
          </cell>
          <cell r="F19" t="str">
            <v>C11</v>
          </cell>
          <cell r="H19">
            <v>7567683.2097787801</v>
          </cell>
          <cell r="J19">
            <v>16064168.598713309</v>
          </cell>
          <cell r="L19">
            <v>23631851.808492087</v>
          </cell>
          <cell r="N19">
            <v>52.141689834654663</v>
          </cell>
          <cell r="O19" t="str">
            <v>MGT</v>
          </cell>
          <cell r="P19">
            <v>7567.7</v>
          </cell>
          <cell r="R19">
            <v>16064.2</v>
          </cell>
          <cell r="T19">
            <v>23631.9</v>
          </cell>
          <cell r="X19">
            <v>0</v>
          </cell>
          <cell r="Z19">
            <v>0</v>
          </cell>
          <cell r="AD19">
            <v>7567.7</v>
          </cell>
          <cell r="AF19">
            <v>16064.2</v>
          </cell>
          <cell r="AH19">
            <v>23631.9</v>
          </cell>
          <cell r="AJ19">
            <v>52.141689834654663</v>
          </cell>
          <cell r="AL19">
            <v>0</v>
          </cell>
          <cell r="AN19">
            <v>0</v>
          </cell>
          <cell r="AP19">
            <v>0</v>
          </cell>
          <cell r="AR19">
            <v>0</v>
          </cell>
          <cell r="AT19">
            <v>13.182355535950595</v>
          </cell>
          <cell r="AV19">
            <v>2069.0036171151301</v>
          </cell>
          <cell r="AX19">
            <v>2082.1859726510806</v>
          </cell>
          <cell r="AZ19">
            <v>3.8809550066166744E-2</v>
          </cell>
          <cell r="BB19">
            <v>7580.8823555359504</v>
          </cell>
          <cell r="BD19">
            <v>18133.20361711513</v>
          </cell>
          <cell r="BF19">
            <v>25714.085972651083</v>
          </cell>
          <cell r="BH19">
            <v>52.180499384720832</v>
          </cell>
          <cell r="BN19">
            <v>0</v>
          </cell>
          <cell r="BR19">
            <v>7580.8823555359504</v>
          </cell>
          <cell r="BT19">
            <v>18133.20361711513</v>
          </cell>
          <cell r="BV19">
            <v>25714.085972651083</v>
          </cell>
          <cell r="BX19">
            <v>52.180499384720832</v>
          </cell>
          <cell r="CB19">
            <v>16.27422</v>
          </cell>
          <cell r="CD19">
            <v>16.27422</v>
          </cell>
          <cell r="CG19" t="str">
            <v>MGT</v>
          </cell>
          <cell r="CH19">
            <v>-563.22263963272007</v>
          </cell>
          <cell r="CJ19">
            <v>-1195.571113492322</v>
          </cell>
          <cell r="CL19">
            <v>-1758.793753125042</v>
          </cell>
          <cell r="CN19">
            <v>-3.8806302232150709</v>
          </cell>
          <cell r="CO19" t="str">
            <v>MGT</v>
          </cell>
          <cell r="CP19">
            <v>7033.933935903231</v>
          </cell>
          <cell r="CR19">
            <v>16937.632503622808</v>
          </cell>
          <cell r="CT19">
            <v>23971.566439526039</v>
          </cell>
          <cell r="CV19">
            <v>48.299869161505761</v>
          </cell>
        </row>
        <row r="20">
          <cell r="B20" t="str">
            <v>MRD</v>
          </cell>
          <cell r="D20" t="str">
            <v>MEDICAL RECORDS</v>
          </cell>
          <cell r="F20" t="str">
            <v>C12</v>
          </cell>
          <cell r="H20">
            <v>2165684.0751297451</v>
          </cell>
          <cell r="J20">
            <v>1138448.8</v>
          </cell>
          <cell r="L20">
            <v>3304132.8751297453</v>
          </cell>
          <cell r="N20">
            <v>33.092067307692311</v>
          </cell>
          <cell r="O20" t="str">
            <v>MRD</v>
          </cell>
          <cell r="P20">
            <v>2165.6999999999998</v>
          </cell>
          <cell r="R20">
            <v>1138.4000000000001</v>
          </cell>
          <cell r="T20">
            <v>3304.1</v>
          </cell>
          <cell r="X20">
            <v>0</v>
          </cell>
          <cell r="Z20">
            <v>0</v>
          </cell>
          <cell r="AD20">
            <v>2165.6999999999998</v>
          </cell>
          <cell r="AF20">
            <v>1138.4000000000001</v>
          </cell>
          <cell r="AH20">
            <v>3304.1</v>
          </cell>
          <cell r="AJ20">
            <v>33.092067307692311</v>
          </cell>
          <cell r="AL20">
            <v>0</v>
          </cell>
          <cell r="AN20">
            <v>0</v>
          </cell>
          <cell r="AP20">
            <v>0</v>
          </cell>
          <cell r="AR20">
            <v>0</v>
          </cell>
          <cell r="AT20">
            <v>1.9194089104543448</v>
          </cell>
          <cell r="AV20">
            <v>301.25602117335683</v>
          </cell>
          <cell r="AX20">
            <v>303.17543008381119</v>
          </cell>
          <cell r="AZ20">
            <v>5.6508410810627392E-3</v>
          </cell>
          <cell r="BB20">
            <v>2167.6194089104542</v>
          </cell>
          <cell r="BD20">
            <v>1439.656021173357</v>
          </cell>
          <cell r="BF20">
            <v>3607.2754300838114</v>
          </cell>
          <cell r="BH20">
            <v>33.097718148773374</v>
          </cell>
          <cell r="BN20">
            <v>0</v>
          </cell>
          <cell r="BR20">
            <v>2167.6194089104542</v>
          </cell>
          <cell r="BT20">
            <v>1439.656021173357</v>
          </cell>
          <cell r="BV20">
            <v>3607.2754300838114</v>
          </cell>
          <cell r="BX20">
            <v>33.097718148773374</v>
          </cell>
          <cell r="CB20">
            <v>11.15199</v>
          </cell>
          <cell r="CD20">
            <v>11.15199</v>
          </cell>
          <cell r="CG20" t="str">
            <v>MRD</v>
          </cell>
          <cell r="CH20">
            <v>0</v>
          </cell>
          <cell r="CJ20">
            <v>0</v>
          </cell>
          <cell r="CL20">
            <v>0</v>
          </cell>
          <cell r="CN20">
            <v>0</v>
          </cell>
          <cell r="CO20" t="str">
            <v>MRD</v>
          </cell>
          <cell r="CP20">
            <v>2178.7713989104541</v>
          </cell>
          <cell r="CR20">
            <v>1439.656021173357</v>
          </cell>
          <cell r="CT20">
            <v>3618.4274200838108</v>
          </cell>
          <cell r="CV20">
            <v>33.097718148773374</v>
          </cell>
        </row>
        <row r="21">
          <cell r="B21" t="str">
            <v>MSA</v>
          </cell>
          <cell r="D21" t="str">
            <v>MEDICAL STAFF ADMIN</v>
          </cell>
          <cell r="F21" t="str">
            <v>C13</v>
          </cell>
          <cell r="H21">
            <v>1010539.0321373952</v>
          </cell>
          <cell r="J21">
            <v>132766.52999999997</v>
          </cell>
          <cell r="L21">
            <v>1143305.5621373951</v>
          </cell>
          <cell r="N21">
            <v>10.087259615384616</v>
          </cell>
          <cell r="O21" t="str">
            <v>MSA</v>
          </cell>
          <cell r="P21">
            <v>1010.5</v>
          </cell>
          <cell r="R21">
            <v>132.80000000000001</v>
          </cell>
          <cell r="T21">
            <v>1143.3</v>
          </cell>
          <cell r="X21">
            <v>0</v>
          </cell>
          <cell r="Z21">
            <v>0</v>
          </cell>
          <cell r="AD21">
            <v>1010.5</v>
          </cell>
          <cell r="AF21">
            <v>132.80000000000001</v>
          </cell>
          <cell r="AH21">
            <v>1143.3</v>
          </cell>
          <cell r="AJ21">
            <v>10.087259615384616</v>
          </cell>
          <cell r="AL21">
            <v>0</v>
          </cell>
          <cell r="AN21">
            <v>0</v>
          </cell>
          <cell r="AP21">
            <v>0</v>
          </cell>
          <cell r="AR21">
            <v>0</v>
          </cell>
          <cell r="AT21">
            <v>0.2172915747684164</v>
          </cell>
          <cell r="AV21">
            <v>34.104455227172473</v>
          </cell>
          <cell r="AX21">
            <v>34.32174680194089</v>
          </cell>
          <cell r="AZ21">
            <v>6.3971785823351772E-4</v>
          </cell>
          <cell r="BB21">
            <v>1010.7172915747684</v>
          </cell>
          <cell r="BD21">
            <v>166.90445522717249</v>
          </cell>
          <cell r="BF21">
            <v>1177.6217468019408</v>
          </cell>
          <cell r="BH21">
            <v>10.087899333242849</v>
          </cell>
          <cell r="BJ21">
            <v>0</v>
          </cell>
          <cell r="BN21">
            <v>0</v>
          </cell>
          <cell r="BP21">
            <v>3.5524999422426848</v>
          </cell>
          <cell r="BR21">
            <v>1010.7172915747684</v>
          </cell>
          <cell r="BT21">
            <v>166.90445522717249</v>
          </cell>
          <cell r="BV21">
            <v>1177.6217468019408</v>
          </cell>
          <cell r="BX21">
            <v>13.640399275485533</v>
          </cell>
          <cell r="CB21">
            <v>4.3523300000000003</v>
          </cell>
          <cell r="CD21">
            <v>4.3523300000000003</v>
          </cell>
          <cell r="CG21" t="str">
            <v>MSA</v>
          </cell>
          <cell r="CH21">
            <v>-72.451077377226383</v>
          </cell>
          <cell r="CJ21">
            <v>-9.5187596245446304</v>
          </cell>
          <cell r="CL21">
            <v>-81.969837001771012</v>
          </cell>
          <cell r="CN21">
            <v>-0.72321088416804047</v>
          </cell>
          <cell r="CO21" t="str">
            <v>MSA</v>
          </cell>
          <cell r="CP21">
            <v>942.61854419754206</v>
          </cell>
          <cell r="CR21">
            <v>157.38569560262786</v>
          </cell>
          <cell r="CT21">
            <v>1100.0042398001699</v>
          </cell>
          <cell r="CV21">
            <v>12.917188391317493</v>
          </cell>
        </row>
        <row r="22">
          <cell r="B22" t="str">
            <v>NAD</v>
          </cell>
          <cell r="D22" t="str">
            <v>NURSING ADMIN</v>
          </cell>
          <cell r="F22" t="str">
            <v>C14</v>
          </cell>
          <cell r="H22">
            <v>3493932.9802738382</v>
          </cell>
          <cell r="J22">
            <v>114606.89</v>
          </cell>
          <cell r="L22">
            <v>3608539.8702738383</v>
          </cell>
          <cell r="N22">
            <v>28.542329545454546</v>
          </cell>
          <cell r="O22" t="str">
            <v>NAD</v>
          </cell>
          <cell r="P22">
            <v>3493.9</v>
          </cell>
          <cell r="R22">
            <v>114.6</v>
          </cell>
          <cell r="T22">
            <v>3608.5</v>
          </cell>
          <cell r="X22">
            <v>0</v>
          </cell>
          <cell r="Z22">
            <v>0</v>
          </cell>
          <cell r="AD22">
            <v>3493.9</v>
          </cell>
          <cell r="AF22">
            <v>114.6</v>
          </cell>
          <cell r="AH22">
            <v>3608.5</v>
          </cell>
          <cell r="AJ22">
            <v>28.542329545454546</v>
          </cell>
          <cell r="AL22">
            <v>0</v>
          </cell>
          <cell r="AN22">
            <v>0</v>
          </cell>
          <cell r="AP22">
            <v>0</v>
          </cell>
          <cell r="AR22">
            <v>0</v>
          </cell>
          <cell r="AT22">
            <v>1.3761799735333038</v>
          </cell>
          <cell r="AV22">
            <v>215.99488310542566</v>
          </cell>
          <cell r="AX22">
            <v>217.37106307895897</v>
          </cell>
          <cell r="AZ22">
            <v>4.0515464354789451E-3</v>
          </cell>
          <cell r="BB22">
            <v>3495.2761799735335</v>
          </cell>
          <cell r="BD22">
            <v>330.59488310542565</v>
          </cell>
          <cell r="BF22">
            <v>3825.8710630789592</v>
          </cell>
          <cell r="BH22">
            <v>28.546381091890026</v>
          </cell>
          <cell r="BN22">
            <v>0</v>
          </cell>
          <cell r="BR22">
            <v>3495.2761799735335</v>
          </cell>
          <cell r="BT22">
            <v>330.59488310542565</v>
          </cell>
          <cell r="BV22">
            <v>3825.8710630789592</v>
          </cell>
          <cell r="BX22">
            <v>28.546381091890026</v>
          </cell>
          <cell r="CB22">
            <v>9.6184499999999993</v>
          </cell>
          <cell r="CD22">
            <v>9.6184499999999993</v>
          </cell>
          <cell r="CG22" t="str">
            <v>NAD</v>
          </cell>
          <cell r="CH22">
            <v>0</v>
          </cell>
          <cell r="CJ22">
            <v>0</v>
          </cell>
          <cell r="CL22">
            <v>0</v>
          </cell>
          <cell r="CN22">
            <v>0</v>
          </cell>
          <cell r="CO22" t="str">
            <v>NAD</v>
          </cell>
          <cell r="CP22">
            <v>3504.8946299735335</v>
          </cell>
          <cell r="CR22">
            <v>330.59488310542565</v>
          </cell>
          <cell r="CT22">
            <v>3835.4895130789591</v>
          </cell>
          <cell r="CV22">
            <v>28.546381091890026</v>
          </cell>
        </row>
        <row r="23">
          <cell r="B23" t="str">
            <v>OAO</v>
          </cell>
          <cell r="D23" t="str">
            <v>ORGAN ACQUISITION OVERHEAD</v>
          </cell>
          <cell r="F23" t="str">
            <v>C15</v>
          </cell>
          <cell r="H23">
            <v>0</v>
          </cell>
          <cell r="J23">
            <v>0</v>
          </cell>
          <cell r="L23">
            <v>0</v>
          </cell>
          <cell r="N23">
            <v>0</v>
          </cell>
          <cell r="O23" t="str">
            <v>OAO</v>
          </cell>
          <cell r="P23">
            <v>0</v>
          </cell>
          <cell r="R23">
            <v>0</v>
          </cell>
          <cell r="T23">
            <v>0</v>
          </cell>
          <cell r="AD23">
            <v>0</v>
          </cell>
          <cell r="AF23">
            <v>0</v>
          </cell>
          <cell r="AH23">
            <v>0</v>
          </cell>
          <cell r="AJ23">
            <v>0</v>
          </cell>
          <cell r="AL23">
            <v>0</v>
          </cell>
          <cell r="AN23">
            <v>0</v>
          </cell>
          <cell r="AP23">
            <v>0</v>
          </cell>
          <cell r="AR23">
            <v>0</v>
          </cell>
          <cell r="AT23">
            <v>0</v>
          </cell>
          <cell r="AV23">
            <v>0</v>
          </cell>
          <cell r="AX23">
            <v>0</v>
          </cell>
          <cell r="AZ23">
            <v>0</v>
          </cell>
          <cell r="BB23">
            <v>0</v>
          </cell>
          <cell r="BD23">
            <v>0</v>
          </cell>
          <cell r="BF23">
            <v>0</v>
          </cell>
          <cell r="BH23">
            <v>0</v>
          </cell>
          <cell r="BN23">
            <v>0</v>
          </cell>
          <cell r="BR23">
            <v>0</v>
          </cell>
          <cell r="BT23">
            <v>0</v>
          </cell>
          <cell r="BV23">
            <v>0</v>
          </cell>
          <cell r="BX23">
            <v>0</v>
          </cell>
          <cell r="CB23">
            <v>0</v>
          </cell>
          <cell r="CD23">
            <v>0</v>
          </cell>
          <cell r="CG23" t="str">
            <v>OAO</v>
          </cell>
          <cell r="CH23">
            <v>0</v>
          </cell>
          <cell r="CJ23">
            <v>0</v>
          </cell>
          <cell r="CL23">
            <v>0</v>
          </cell>
          <cell r="CN23">
            <v>0</v>
          </cell>
          <cell r="CO23" t="str">
            <v>NAD</v>
          </cell>
          <cell r="CP23">
            <v>0</v>
          </cell>
          <cell r="CR23">
            <v>0</v>
          </cell>
          <cell r="CT23">
            <v>0</v>
          </cell>
          <cell r="CV23">
            <v>0</v>
          </cell>
        </row>
        <row r="24">
          <cell r="B24" t="str">
            <v>MSG</v>
          </cell>
          <cell r="D24" t="str">
            <v>MED/SURG ACUTE</v>
          </cell>
          <cell r="F24" t="str">
            <v>D1</v>
          </cell>
          <cell r="H24">
            <v>22816149.738658499</v>
          </cell>
          <cell r="J24">
            <v>1479263.6125219455</v>
          </cell>
          <cell r="L24">
            <v>24295413.351180445</v>
          </cell>
          <cell r="N24">
            <v>272.15276218659403</v>
          </cell>
          <cell r="O24" t="str">
            <v>MSG</v>
          </cell>
          <cell r="P24">
            <v>22816.1</v>
          </cell>
          <cell r="R24">
            <v>1479.3</v>
          </cell>
          <cell r="T24">
            <v>24295.399999999998</v>
          </cell>
          <cell r="AD24">
            <v>22816.1</v>
          </cell>
          <cell r="AF24">
            <v>1479.3</v>
          </cell>
          <cell r="AH24">
            <v>24295.399999999998</v>
          </cell>
          <cell r="AJ24">
            <v>272.15276218659403</v>
          </cell>
          <cell r="AL24">
            <v>0</v>
          </cell>
          <cell r="AN24">
            <v>0</v>
          </cell>
          <cell r="AP24">
            <v>0</v>
          </cell>
          <cell r="AR24">
            <v>0</v>
          </cell>
          <cell r="AT24">
            <v>14.962987560652845</v>
          </cell>
          <cell r="AV24">
            <v>2348.4782595500665</v>
          </cell>
          <cell r="AX24">
            <v>2363.4412471107194</v>
          </cell>
          <cell r="AZ24">
            <v>4.4051824675104344E-2</v>
          </cell>
          <cell r="BB24">
            <v>22831.06298756065</v>
          </cell>
          <cell r="BD24">
            <v>3827.7782595500667</v>
          </cell>
          <cell r="BF24">
            <v>26658.841247110715</v>
          </cell>
          <cell r="BH24">
            <v>272.19681401126911</v>
          </cell>
          <cell r="BJ24">
            <v>795.82601276400476</v>
          </cell>
          <cell r="BN24">
            <v>795.82601276400476</v>
          </cell>
          <cell r="BP24">
            <v>3.921194456900996</v>
          </cell>
          <cell r="BR24">
            <v>23626.889000324656</v>
          </cell>
          <cell r="BT24">
            <v>3827.7782595500667</v>
          </cell>
          <cell r="BV24">
            <v>27454.667259874725</v>
          </cell>
          <cell r="BX24">
            <v>276.1180084681701</v>
          </cell>
          <cell r="CB24">
            <v>93.035560000000004</v>
          </cell>
          <cell r="CD24">
            <v>93.035560000000004</v>
          </cell>
          <cell r="CG24" t="str">
            <v>MSG</v>
          </cell>
          <cell r="CO24" t="str">
            <v>MSG</v>
          </cell>
          <cell r="CP24">
            <v>23719.924560324656</v>
          </cell>
          <cell r="CR24">
            <v>3827.7782595500667</v>
          </cell>
          <cell r="CT24">
            <v>27547.702819874721</v>
          </cell>
          <cell r="CV24">
            <v>276.1180084681701</v>
          </cell>
        </row>
        <row r="25">
          <cell r="B25" t="str">
            <v>PED</v>
          </cell>
          <cell r="D25" t="str">
            <v>PEDIATRIC ACUTE</v>
          </cell>
          <cell r="F25" t="str">
            <v>D2</v>
          </cell>
          <cell r="H25">
            <v>0</v>
          </cell>
          <cell r="J25">
            <v>0</v>
          </cell>
          <cell r="L25">
            <v>0</v>
          </cell>
          <cell r="N25">
            <v>0</v>
          </cell>
          <cell r="O25" t="str">
            <v>PED</v>
          </cell>
          <cell r="P25">
            <v>0</v>
          </cell>
          <cell r="R25">
            <v>0</v>
          </cell>
          <cell r="T25">
            <v>0</v>
          </cell>
          <cell r="AD25">
            <v>0</v>
          </cell>
          <cell r="AF25">
            <v>0</v>
          </cell>
          <cell r="AH25">
            <v>0</v>
          </cell>
          <cell r="AJ25">
            <v>0</v>
          </cell>
          <cell r="AL25">
            <v>0</v>
          </cell>
          <cell r="AN25">
            <v>0</v>
          </cell>
          <cell r="AP25">
            <v>0</v>
          </cell>
          <cell r="AR25">
            <v>0</v>
          </cell>
          <cell r="AT25">
            <v>0</v>
          </cell>
          <cell r="AV25">
            <v>0</v>
          </cell>
          <cell r="AX25">
            <v>0</v>
          </cell>
          <cell r="AZ25">
            <v>0</v>
          </cell>
          <cell r="BB25">
            <v>0</v>
          </cell>
          <cell r="BD25">
            <v>0</v>
          </cell>
          <cell r="BF25">
            <v>0</v>
          </cell>
          <cell r="BH25">
            <v>0</v>
          </cell>
          <cell r="BJ25">
            <v>0</v>
          </cell>
          <cell r="BN25">
            <v>0</v>
          </cell>
          <cell r="BP25">
            <v>0</v>
          </cell>
          <cell r="BR25">
            <v>0</v>
          </cell>
          <cell r="BT25">
            <v>0</v>
          </cell>
          <cell r="BV25">
            <v>0</v>
          </cell>
          <cell r="BX25">
            <v>0</v>
          </cell>
          <cell r="CB25">
            <v>0</v>
          </cell>
          <cell r="CD25">
            <v>0</v>
          </cell>
          <cell r="CG25" t="str">
            <v>PED</v>
          </cell>
          <cell r="CO25" t="str">
            <v>PED</v>
          </cell>
          <cell r="CP25">
            <v>0</v>
          </cell>
          <cell r="CR25">
            <v>0</v>
          </cell>
          <cell r="CT25">
            <v>0</v>
          </cell>
          <cell r="CV25">
            <v>0</v>
          </cell>
        </row>
        <row r="26">
          <cell r="B26" t="str">
            <v>PSY</v>
          </cell>
          <cell r="D26" t="str">
            <v>PSYCHIATRIC ACUTE</v>
          </cell>
          <cell r="F26" t="str">
            <v>D3</v>
          </cell>
          <cell r="H26">
            <v>2210449.2960213041</v>
          </cell>
          <cell r="J26">
            <v>617618.15877720644</v>
          </cell>
          <cell r="L26">
            <v>2828067.4547985103</v>
          </cell>
          <cell r="N26">
            <v>25.304027887309399</v>
          </cell>
          <cell r="O26" t="str">
            <v>PSY</v>
          </cell>
          <cell r="P26">
            <v>2210.4</v>
          </cell>
          <cell r="R26">
            <v>617.6</v>
          </cell>
          <cell r="T26">
            <v>2828</v>
          </cell>
          <cell r="AD26">
            <v>2210.4</v>
          </cell>
          <cell r="AF26">
            <v>617.6</v>
          </cell>
          <cell r="AH26">
            <v>2828</v>
          </cell>
          <cell r="AJ26">
            <v>25.304027887309399</v>
          </cell>
          <cell r="AL26">
            <v>0</v>
          </cell>
          <cell r="AN26">
            <v>0</v>
          </cell>
          <cell r="AP26">
            <v>0</v>
          </cell>
          <cell r="AR26">
            <v>0</v>
          </cell>
          <cell r="AT26">
            <v>1.5210410233789149</v>
          </cell>
          <cell r="AV26">
            <v>238.73118659020733</v>
          </cell>
          <cell r="AX26">
            <v>240.25222761358626</v>
          </cell>
          <cell r="AZ26">
            <v>4.4780250076346239E-3</v>
          </cell>
          <cell r="BB26">
            <v>2211.9210410233791</v>
          </cell>
          <cell r="BD26">
            <v>856.33118659020738</v>
          </cell>
          <cell r="BF26">
            <v>3068.2522276135865</v>
          </cell>
          <cell r="BH26">
            <v>25.308505912317035</v>
          </cell>
          <cell r="BJ26">
            <v>161.95601171341869</v>
          </cell>
          <cell r="BN26">
            <v>161.95601171341869</v>
          </cell>
          <cell r="BP26">
            <v>0.90986523434504885</v>
          </cell>
          <cell r="BR26">
            <v>2373.8770527367979</v>
          </cell>
          <cell r="BT26">
            <v>856.33118659020738</v>
          </cell>
          <cell r="BV26">
            <v>3230.2082393270052</v>
          </cell>
          <cell r="BX26">
            <v>26.218371146662083</v>
          </cell>
          <cell r="CB26">
            <v>8.8340499999999995</v>
          </cell>
          <cell r="CD26">
            <v>8.8340499999999995</v>
          </cell>
          <cell r="CG26" t="str">
            <v>PSY</v>
          </cell>
          <cell r="CO26" t="str">
            <v>PSY</v>
          </cell>
          <cell r="CP26">
            <v>2382.7111027367978</v>
          </cell>
          <cell r="CR26">
            <v>856.33118659020738</v>
          </cell>
          <cell r="CT26">
            <v>3239.0422893270052</v>
          </cell>
          <cell r="CV26">
            <v>26.218371146662083</v>
          </cell>
        </row>
        <row r="27">
          <cell r="B27" t="str">
            <v>OBS</v>
          </cell>
          <cell r="D27" t="str">
            <v>OBSTETRICS ACUTE</v>
          </cell>
          <cell r="F27" t="str">
            <v>D4</v>
          </cell>
          <cell r="H27">
            <v>1589205.6215546136</v>
          </cell>
          <cell r="J27">
            <v>47139.153005748529</v>
          </cell>
          <cell r="L27">
            <v>1636344.7745603621</v>
          </cell>
          <cell r="N27">
            <v>17.130312206197871</v>
          </cell>
          <cell r="O27" t="str">
            <v>OBS</v>
          </cell>
          <cell r="P27">
            <v>1589.2</v>
          </cell>
          <cell r="R27">
            <v>47.1</v>
          </cell>
          <cell r="T27">
            <v>1636.3</v>
          </cell>
          <cell r="AD27">
            <v>1589.2</v>
          </cell>
          <cell r="AF27">
            <v>47.1</v>
          </cell>
          <cell r="AH27">
            <v>1636.3</v>
          </cell>
          <cell r="AJ27">
            <v>17.130312206197871</v>
          </cell>
          <cell r="AL27">
            <v>0</v>
          </cell>
          <cell r="AN27">
            <v>0</v>
          </cell>
          <cell r="AP27">
            <v>0</v>
          </cell>
          <cell r="AR27">
            <v>0</v>
          </cell>
          <cell r="AT27">
            <v>1.1588883987648875</v>
          </cell>
          <cell r="AV27">
            <v>181.89042787825318</v>
          </cell>
          <cell r="AX27">
            <v>183.04931627701808</v>
          </cell>
          <cell r="AZ27">
            <v>3.4118285772454277E-3</v>
          </cell>
          <cell r="BB27">
            <v>1590.358888398765</v>
          </cell>
          <cell r="BD27">
            <v>228.99042787825317</v>
          </cell>
          <cell r="BF27">
            <v>1819.3493162770183</v>
          </cell>
          <cell r="BH27">
            <v>17.133724034775117</v>
          </cell>
          <cell r="BJ27">
            <v>112.60127434256647</v>
          </cell>
          <cell r="BN27">
            <v>112.60127434256647</v>
          </cell>
          <cell r="BP27">
            <v>0.47441025634112688</v>
          </cell>
          <cell r="BR27">
            <v>1702.9601627413315</v>
          </cell>
          <cell r="BT27">
            <v>228.99042787825317</v>
          </cell>
          <cell r="BV27">
            <v>1931.9505906195845</v>
          </cell>
          <cell r="BX27">
            <v>17.608134291116244</v>
          </cell>
          <cell r="CB27">
            <v>5.9329099999999997</v>
          </cell>
          <cell r="CD27">
            <v>5.9329099999999997</v>
          </cell>
          <cell r="CG27" t="str">
            <v>OBS</v>
          </cell>
          <cell r="CO27" t="str">
            <v>OBS</v>
          </cell>
          <cell r="CP27">
            <v>1708.8930727413315</v>
          </cell>
          <cell r="CR27">
            <v>228.99042787825317</v>
          </cell>
          <cell r="CT27">
            <v>1937.8835006195845</v>
          </cell>
          <cell r="CV27">
            <v>17.608134291116244</v>
          </cell>
        </row>
        <row r="28">
          <cell r="B28" t="str">
            <v>DEF</v>
          </cell>
          <cell r="D28" t="str">
            <v>DEFINITIVE OBSERVATION</v>
          </cell>
          <cell r="F28" t="str">
            <v>D5</v>
          </cell>
          <cell r="H28">
            <v>0</v>
          </cell>
          <cell r="J28">
            <v>0</v>
          </cell>
          <cell r="L28">
            <v>0</v>
          </cell>
          <cell r="N28">
            <v>0</v>
          </cell>
          <cell r="O28" t="str">
            <v>DEF</v>
          </cell>
          <cell r="P28">
            <v>0</v>
          </cell>
          <cell r="R28">
            <v>0</v>
          </cell>
          <cell r="T28">
            <v>0</v>
          </cell>
          <cell r="AD28">
            <v>0</v>
          </cell>
          <cell r="AF28">
            <v>0</v>
          </cell>
          <cell r="AH28">
            <v>0</v>
          </cell>
          <cell r="AJ28">
            <v>0</v>
          </cell>
          <cell r="AL28">
            <v>0</v>
          </cell>
          <cell r="AN28">
            <v>0</v>
          </cell>
          <cell r="AP28">
            <v>0</v>
          </cell>
          <cell r="AR28">
            <v>0</v>
          </cell>
          <cell r="AT28">
            <v>0</v>
          </cell>
          <cell r="AV28">
            <v>0</v>
          </cell>
          <cell r="AX28">
            <v>0</v>
          </cell>
          <cell r="AZ28">
            <v>0</v>
          </cell>
          <cell r="BB28">
            <v>0</v>
          </cell>
          <cell r="BD28">
            <v>0</v>
          </cell>
          <cell r="BF28">
            <v>0</v>
          </cell>
          <cell r="BH28">
            <v>0</v>
          </cell>
          <cell r="BJ28">
            <v>0</v>
          </cell>
          <cell r="BN28">
            <v>0</v>
          </cell>
          <cell r="BP28">
            <v>0</v>
          </cell>
          <cell r="BR28">
            <v>0</v>
          </cell>
          <cell r="BT28">
            <v>0</v>
          </cell>
          <cell r="BV28">
            <v>0</v>
          </cell>
          <cell r="BX28">
            <v>0</v>
          </cell>
          <cell r="CB28">
            <v>0</v>
          </cell>
          <cell r="CD28">
            <v>0</v>
          </cell>
          <cell r="CG28" t="str">
            <v>DEF</v>
          </cell>
          <cell r="CO28" t="str">
            <v>DEF</v>
          </cell>
          <cell r="CP28">
            <v>0</v>
          </cell>
          <cell r="CR28">
            <v>0</v>
          </cell>
          <cell r="CT28">
            <v>0</v>
          </cell>
          <cell r="CV28">
            <v>0</v>
          </cell>
        </row>
        <row r="29">
          <cell r="B29" t="str">
            <v>MIS</v>
          </cell>
          <cell r="D29" t="str">
            <v>MED/SURG INTENSIVE CARE</v>
          </cell>
          <cell r="F29" t="str">
            <v>D6</v>
          </cell>
          <cell r="H29">
            <v>6831969.2489291634</v>
          </cell>
          <cell r="J29">
            <v>352802.09749182116</v>
          </cell>
          <cell r="L29">
            <v>7184771.3464209847</v>
          </cell>
          <cell r="N29">
            <v>62.821008117436271</v>
          </cell>
          <cell r="O29" t="str">
            <v>MIS</v>
          </cell>
          <cell r="P29">
            <v>6832</v>
          </cell>
          <cell r="R29">
            <v>352.8</v>
          </cell>
          <cell r="T29">
            <v>7184.8</v>
          </cell>
          <cell r="AD29">
            <v>6832</v>
          </cell>
          <cell r="AF29">
            <v>352.8</v>
          </cell>
          <cell r="AH29">
            <v>7184.8</v>
          </cell>
          <cell r="AJ29">
            <v>62.821008117436271</v>
          </cell>
          <cell r="AL29">
            <v>0</v>
          </cell>
          <cell r="AN29">
            <v>0</v>
          </cell>
          <cell r="AP29">
            <v>0</v>
          </cell>
          <cell r="AR29">
            <v>0</v>
          </cell>
          <cell r="AT29">
            <v>3.6939567710630787</v>
          </cell>
          <cell r="AV29">
            <v>579.77573886193204</v>
          </cell>
          <cell r="AX29">
            <v>583.46969563299513</v>
          </cell>
          <cell r="AZ29">
            <v>1.0875203589969802E-2</v>
          </cell>
          <cell r="BB29">
            <v>6835.6939567710633</v>
          </cell>
          <cell r="BD29">
            <v>932.575738861932</v>
          </cell>
          <cell r="BF29">
            <v>7768.2696956329955</v>
          </cell>
          <cell r="BH29">
            <v>62.83188332102624</v>
          </cell>
          <cell r="BJ29">
            <v>0</v>
          </cell>
          <cell r="BN29">
            <v>0</v>
          </cell>
          <cell r="BP29">
            <v>0</v>
          </cell>
          <cell r="BR29">
            <v>6835.6939567710633</v>
          </cell>
          <cell r="BT29">
            <v>932.575738861932</v>
          </cell>
          <cell r="BV29">
            <v>7768.2696956329955</v>
          </cell>
          <cell r="BX29">
            <v>62.83188332102624</v>
          </cell>
          <cell r="CB29">
            <v>21.170660000000002</v>
          </cell>
          <cell r="CD29">
            <v>21.170660000000002</v>
          </cell>
          <cell r="CG29" t="str">
            <v>MIS</v>
          </cell>
          <cell r="CO29" t="str">
            <v>MIS</v>
          </cell>
          <cell r="CP29">
            <v>6856.8646167710631</v>
          </cell>
          <cell r="CR29">
            <v>932.575738861932</v>
          </cell>
          <cell r="CT29">
            <v>7789.4403556329953</v>
          </cell>
          <cell r="CV29">
            <v>62.83188332102624</v>
          </cell>
        </row>
        <row r="30">
          <cell r="B30" t="str">
            <v>CCU</v>
          </cell>
          <cell r="D30" t="str">
            <v>CORONARY CARE</v>
          </cell>
          <cell r="F30" t="str">
            <v>D7</v>
          </cell>
          <cell r="H30">
            <v>0</v>
          </cell>
          <cell r="J30">
            <v>0</v>
          </cell>
          <cell r="L30">
            <v>0</v>
          </cell>
          <cell r="N30">
            <v>0</v>
          </cell>
          <cell r="O30" t="str">
            <v>CCU</v>
          </cell>
          <cell r="P30">
            <v>0</v>
          </cell>
          <cell r="R30">
            <v>0</v>
          </cell>
          <cell r="T30">
            <v>0</v>
          </cell>
          <cell r="AD30">
            <v>0</v>
          </cell>
          <cell r="AF30">
            <v>0</v>
          </cell>
          <cell r="AH30">
            <v>0</v>
          </cell>
          <cell r="AJ30">
            <v>0</v>
          </cell>
          <cell r="AL30">
            <v>0</v>
          </cell>
          <cell r="AN30">
            <v>0</v>
          </cell>
          <cell r="AP30">
            <v>0</v>
          </cell>
          <cell r="AR30">
            <v>0</v>
          </cell>
          <cell r="AT30">
            <v>0</v>
          </cell>
          <cell r="AV30">
            <v>0</v>
          </cell>
          <cell r="AX30">
            <v>0</v>
          </cell>
          <cell r="AZ30">
            <v>0</v>
          </cell>
          <cell r="BB30">
            <v>0</v>
          </cell>
          <cell r="BD30">
            <v>0</v>
          </cell>
          <cell r="BF30">
            <v>0</v>
          </cell>
          <cell r="BH30">
            <v>0</v>
          </cell>
          <cell r="BJ30">
            <v>0</v>
          </cell>
          <cell r="BN30">
            <v>0</v>
          </cell>
          <cell r="BP30">
            <v>0</v>
          </cell>
          <cell r="BR30">
            <v>0</v>
          </cell>
          <cell r="BT30">
            <v>0</v>
          </cell>
          <cell r="BV30">
            <v>0</v>
          </cell>
          <cell r="BX30">
            <v>0</v>
          </cell>
          <cell r="CB30">
            <v>0</v>
          </cell>
          <cell r="CD30">
            <v>0</v>
          </cell>
          <cell r="CG30" t="str">
            <v>CCU</v>
          </cell>
          <cell r="CO30" t="str">
            <v>CCU</v>
          </cell>
          <cell r="CP30">
            <v>0</v>
          </cell>
          <cell r="CR30">
            <v>0</v>
          </cell>
          <cell r="CT30">
            <v>0</v>
          </cell>
          <cell r="CV30">
            <v>0</v>
          </cell>
        </row>
        <row r="31">
          <cell r="B31" t="str">
            <v>PIC</v>
          </cell>
          <cell r="D31" t="str">
            <v>PEDIATRIC INTENSIVE CARE</v>
          </cell>
          <cell r="F31" t="str">
            <v>D8</v>
          </cell>
          <cell r="H31">
            <v>0</v>
          </cell>
          <cell r="J31">
            <v>0</v>
          </cell>
          <cell r="L31">
            <v>0</v>
          </cell>
          <cell r="N31">
            <v>0</v>
          </cell>
          <cell r="O31" t="str">
            <v>PIC</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PIC</v>
          </cell>
          <cell r="CO31" t="str">
            <v>PIC</v>
          </cell>
          <cell r="CP31">
            <v>0</v>
          </cell>
          <cell r="CR31">
            <v>0</v>
          </cell>
          <cell r="CT31">
            <v>0</v>
          </cell>
          <cell r="CV31">
            <v>0</v>
          </cell>
        </row>
        <row r="32">
          <cell r="B32" t="str">
            <v>NEO</v>
          </cell>
          <cell r="D32" t="str">
            <v>NEONATAL INTENSIVE CARE</v>
          </cell>
          <cell r="F32" t="str">
            <v>D9</v>
          </cell>
          <cell r="H32">
            <v>3589011.3784555392</v>
          </cell>
          <cell r="J32">
            <v>67347.72457021891</v>
          </cell>
          <cell r="L32">
            <v>3656359.1030257582</v>
          </cell>
          <cell r="N32">
            <v>32.716144492315678</v>
          </cell>
          <cell r="O32" t="str">
            <v>NEO</v>
          </cell>
          <cell r="P32">
            <v>3589</v>
          </cell>
          <cell r="R32">
            <v>67.3</v>
          </cell>
          <cell r="T32">
            <v>3656.3</v>
          </cell>
          <cell r="AD32">
            <v>3589</v>
          </cell>
          <cell r="AF32">
            <v>67.3</v>
          </cell>
          <cell r="AH32">
            <v>3656.3</v>
          </cell>
          <cell r="AJ32">
            <v>32.716144492315678</v>
          </cell>
          <cell r="AL32">
            <v>0</v>
          </cell>
          <cell r="AN32">
            <v>0</v>
          </cell>
          <cell r="AP32">
            <v>0</v>
          </cell>
          <cell r="AR32">
            <v>0</v>
          </cell>
          <cell r="AT32">
            <v>1.5572562858403176</v>
          </cell>
          <cell r="AV32">
            <v>244.41526246140273</v>
          </cell>
          <cell r="AX32">
            <v>245.97251874724304</v>
          </cell>
          <cell r="AZ32">
            <v>4.5846446506735434E-3</v>
          </cell>
          <cell r="BB32">
            <v>3590.5572562858401</v>
          </cell>
          <cell r="BD32">
            <v>311.71526246140274</v>
          </cell>
          <cell r="BF32">
            <v>3902.2725187472429</v>
          </cell>
          <cell r="BH32">
            <v>32.720729136966348</v>
          </cell>
          <cell r="BJ32">
            <v>36.222840995699734</v>
          </cell>
          <cell r="BN32">
            <v>36.222840995699734</v>
          </cell>
          <cell r="BP32">
            <v>0.15261361278997149</v>
          </cell>
          <cell r="BR32">
            <v>3626.7800972815398</v>
          </cell>
          <cell r="BT32">
            <v>311.71526246140274</v>
          </cell>
          <cell r="BV32">
            <v>3938.4953597429426</v>
          </cell>
          <cell r="BX32">
            <v>32.873342749756318</v>
          </cell>
          <cell r="CB32">
            <v>11.07639</v>
          </cell>
          <cell r="CD32">
            <v>11.07639</v>
          </cell>
          <cell r="CG32" t="str">
            <v>NEO</v>
          </cell>
          <cell r="CO32" t="str">
            <v>NEO</v>
          </cell>
          <cell r="CP32">
            <v>3637.85648728154</v>
          </cell>
          <cell r="CR32">
            <v>311.71526246140274</v>
          </cell>
          <cell r="CT32">
            <v>3949.5717497429428</v>
          </cell>
          <cell r="CV32">
            <v>32.873342749756318</v>
          </cell>
        </row>
        <row r="33">
          <cell r="B33" t="str">
            <v>BUR</v>
          </cell>
          <cell r="D33" t="str">
            <v>BURN CARE</v>
          </cell>
          <cell r="F33" t="str">
            <v>D10</v>
          </cell>
          <cell r="H33">
            <v>0</v>
          </cell>
          <cell r="J33">
            <v>0</v>
          </cell>
          <cell r="L33">
            <v>0</v>
          </cell>
          <cell r="N33">
            <v>0</v>
          </cell>
          <cell r="O33" t="str">
            <v>BUR</v>
          </cell>
          <cell r="P33">
            <v>0</v>
          </cell>
          <cell r="R33">
            <v>0</v>
          </cell>
          <cell r="T33">
            <v>0</v>
          </cell>
          <cell r="AD33">
            <v>0</v>
          </cell>
          <cell r="AF33">
            <v>0</v>
          </cell>
          <cell r="AH33">
            <v>0</v>
          </cell>
          <cell r="AJ33">
            <v>0</v>
          </cell>
          <cell r="AL33">
            <v>0</v>
          </cell>
          <cell r="AN33">
            <v>0</v>
          </cell>
          <cell r="AP33">
            <v>0</v>
          </cell>
          <cell r="AR33">
            <v>0</v>
          </cell>
          <cell r="AT33">
            <v>0</v>
          </cell>
          <cell r="AV33">
            <v>0</v>
          </cell>
          <cell r="AX33">
            <v>0</v>
          </cell>
          <cell r="AZ33">
            <v>0</v>
          </cell>
          <cell r="BB33">
            <v>0</v>
          </cell>
          <cell r="BD33">
            <v>0</v>
          </cell>
          <cell r="BF33">
            <v>0</v>
          </cell>
          <cell r="BH33">
            <v>0</v>
          </cell>
          <cell r="BJ33">
            <v>0</v>
          </cell>
          <cell r="BN33">
            <v>0</v>
          </cell>
          <cell r="BP33">
            <v>0</v>
          </cell>
          <cell r="BR33">
            <v>0</v>
          </cell>
          <cell r="BT33">
            <v>0</v>
          </cell>
          <cell r="BV33">
            <v>0</v>
          </cell>
          <cell r="BX33">
            <v>0</v>
          </cell>
          <cell r="CB33">
            <v>0</v>
          </cell>
          <cell r="CD33">
            <v>0</v>
          </cell>
          <cell r="CG33" t="str">
            <v>BUR</v>
          </cell>
          <cell r="CO33" t="str">
            <v>BUR</v>
          </cell>
          <cell r="CP33">
            <v>0</v>
          </cell>
          <cell r="CR33">
            <v>0</v>
          </cell>
          <cell r="CT33">
            <v>0</v>
          </cell>
          <cell r="CV33">
            <v>0</v>
          </cell>
        </row>
        <row r="34">
          <cell r="B34" t="str">
            <v>PSI</v>
          </cell>
          <cell r="D34" t="str">
            <v>PSYCHIATRIC - ICU</v>
          </cell>
          <cell r="F34" t="str">
            <v>D11</v>
          </cell>
          <cell r="H34">
            <v>0</v>
          </cell>
          <cell r="J34">
            <v>0</v>
          </cell>
          <cell r="L34">
            <v>0</v>
          </cell>
          <cell r="N34">
            <v>0</v>
          </cell>
          <cell r="O34" t="str">
            <v>PSI</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PSI</v>
          </cell>
          <cell r="CO34" t="str">
            <v>PSI</v>
          </cell>
          <cell r="CP34">
            <v>0</v>
          </cell>
          <cell r="CR34">
            <v>0</v>
          </cell>
          <cell r="CT34">
            <v>0</v>
          </cell>
          <cell r="CV34">
            <v>0</v>
          </cell>
        </row>
        <row r="35">
          <cell r="B35" t="str">
            <v>TRM</v>
          </cell>
          <cell r="D35" t="str">
            <v>SHOCK TRAUMA</v>
          </cell>
          <cell r="F35" t="str">
            <v>D12</v>
          </cell>
          <cell r="H35">
            <v>0</v>
          </cell>
          <cell r="J35">
            <v>0</v>
          </cell>
          <cell r="L35">
            <v>0</v>
          </cell>
          <cell r="N35">
            <v>0</v>
          </cell>
          <cell r="O35" t="str">
            <v>TRM</v>
          </cell>
          <cell r="P35">
            <v>0</v>
          </cell>
          <cell r="R35">
            <v>0</v>
          </cell>
          <cell r="T35">
            <v>0</v>
          </cell>
          <cell r="AD35">
            <v>0</v>
          </cell>
          <cell r="AF35">
            <v>0</v>
          </cell>
          <cell r="AH35">
            <v>0</v>
          </cell>
          <cell r="AJ35">
            <v>0</v>
          </cell>
          <cell r="AL35">
            <v>0</v>
          </cell>
          <cell r="AN35">
            <v>0</v>
          </cell>
          <cell r="AP35">
            <v>0</v>
          </cell>
          <cell r="AR35">
            <v>0</v>
          </cell>
          <cell r="AT35">
            <v>0</v>
          </cell>
          <cell r="AV35">
            <v>0</v>
          </cell>
          <cell r="AX35">
            <v>0</v>
          </cell>
          <cell r="AZ35">
            <v>0</v>
          </cell>
          <cell r="BB35">
            <v>0</v>
          </cell>
          <cell r="BD35">
            <v>0</v>
          </cell>
          <cell r="BF35">
            <v>0</v>
          </cell>
          <cell r="BH35">
            <v>0</v>
          </cell>
          <cell r="BJ35">
            <v>0</v>
          </cell>
          <cell r="BN35">
            <v>0</v>
          </cell>
          <cell r="BP35">
            <v>0</v>
          </cell>
          <cell r="BR35">
            <v>0</v>
          </cell>
          <cell r="BT35">
            <v>0</v>
          </cell>
          <cell r="BV35">
            <v>0</v>
          </cell>
          <cell r="BX35">
            <v>0</v>
          </cell>
          <cell r="CB35">
            <v>0</v>
          </cell>
          <cell r="CD35">
            <v>0</v>
          </cell>
          <cell r="CG35" t="str">
            <v>TRM</v>
          </cell>
          <cell r="CO35" t="str">
            <v>TRM</v>
          </cell>
          <cell r="CP35">
            <v>0</v>
          </cell>
          <cell r="CR35">
            <v>0</v>
          </cell>
          <cell r="CT35">
            <v>0</v>
          </cell>
          <cell r="CV35">
            <v>0</v>
          </cell>
        </row>
        <row r="36">
          <cell r="B36" t="str">
            <v>ONC</v>
          </cell>
          <cell r="D36" t="str">
            <v>ONCOLOGY</v>
          </cell>
          <cell r="F36" t="str">
            <v>D13</v>
          </cell>
          <cell r="H36">
            <v>0</v>
          </cell>
          <cell r="J36">
            <v>0</v>
          </cell>
          <cell r="L36">
            <v>0</v>
          </cell>
          <cell r="N36">
            <v>0</v>
          </cell>
          <cell r="O36" t="str">
            <v>ONC</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ONC</v>
          </cell>
          <cell r="CO36" t="str">
            <v>ONC</v>
          </cell>
          <cell r="CP36">
            <v>0</v>
          </cell>
          <cell r="CR36">
            <v>0</v>
          </cell>
          <cell r="CT36">
            <v>0</v>
          </cell>
          <cell r="CV36">
            <v>0</v>
          </cell>
        </row>
        <row r="37">
          <cell r="B37" t="str">
            <v>NUR</v>
          </cell>
          <cell r="D37" t="str">
            <v>NEWBORN NURSERY</v>
          </cell>
          <cell r="F37" t="str">
            <v>D14</v>
          </cell>
          <cell r="H37">
            <v>1194606.7824904532</v>
          </cell>
          <cell r="J37">
            <v>17214.704837734549</v>
          </cell>
          <cell r="L37">
            <v>1211821.4873281878</v>
          </cell>
          <cell r="N37">
            <v>12.735775507653214</v>
          </cell>
          <cell r="O37" t="str">
            <v>NUR</v>
          </cell>
          <cell r="P37">
            <v>1194.5999999999999</v>
          </cell>
          <cell r="R37">
            <v>17.2</v>
          </cell>
          <cell r="T37">
            <v>1211.8</v>
          </cell>
          <cell r="AD37">
            <v>1194.5999999999999</v>
          </cell>
          <cell r="AF37">
            <v>17.2</v>
          </cell>
          <cell r="AH37">
            <v>1211.8</v>
          </cell>
          <cell r="AJ37">
            <v>12.735775507653214</v>
          </cell>
          <cell r="AL37">
            <v>0</v>
          </cell>
          <cell r="AN37">
            <v>0</v>
          </cell>
          <cell r="AP37">
            <v>0</v>
          </cell>
          <cell r="AR37">
            <v>0</v>
          </cell>
          <cell r="AT37">
            <v>0</v>
          </cell>
          <cell r="AV37">
            <v>0</v>
          </cell>
          <cell r="AX37">
            <v>0</v>
          </cell>
          <cell r="AZ37">
            <v>0</v>
          </cell>
          <cell r="BB37">
            <v>1194.5999999999999</v>
          </cell>
          <cell r="BD37">
            <v>17.2</v>
          </cell>
          <cell r="BF37">
            <v>1211.8</v>
          </cell>
          <cell r="BH37">
            <v>12.735775507653214</v>
          </cell>
          <cell r="BJ37">
            <v>0</v>
          </cell>
          <cell r="BN37">
            <v>0</v>
          </cell>
          <cell r="BP37">
            <v>0</v>
          </cell>
          <cell r="BR37">
            <v>1194.5999999999999</v>
          </cell>
          <cell r="BT37">
            <v>17.2</v>
          </cell>
          <cell r="BV37">
            <v>1211.8</v>
          </cell>
          <cell r="BX37">
            <v>12.735775507653214</v>
          </cell>
          <cell r="CB37">
            <v>4.2912100000000004</v>
          </cell>
          <cell r="CD37">
            <v>4.2912100000000004</v>
          </cell>
          <cell r="CG37" t="str">
            <v>NUR</v>
          </cell>
          <cell r="CO37" t="str">
            <v>NUR</v>
          </cell>
          <cell r="CP37">
            <v>1198.89121</v>
          </cell>
          <cell r="CR37">
            <v>17.2</v>
          </cell>
          <cell r="CT37">
            <v>1216.09121</v>
          </cell>
          <cell r="CV37">
            <v>12.735775507653214</v>
          </cell>
        </row>
        <row r="38">
          <cell r="B38" t="str">
            <v>PRE</v>
          </cell>
          <cell r="D38" t="str">
            <v>PREMATURE NURSERY</v>
          </cell>
          <cell r="F38" t="str">
            <v>D15</v>
          </cell>
          <cell r="H38">
            <v>0</v>
          </cell>
          <cell r="J38">
            <v>0</v>
          </cell>
          <cell r="L38">
            <v>0</v>
          </cell>
          <cell r="N38">
            <v>0</v>
          </cell>
          <cell r="O38" t="str">
            <v>PRE</v>
          </cell>
          <cell r="P38">
            <v>0</v>
          </cell>
          <cell r="R38">
            <v>0</v>
          </cell>
          <cell r="T38">
            <v>0</v>
          </cell>
          <cell r="AD38">
            <v>0</v>
          </cell>
          <cell r="AF38">
            <v>0</v>
          </cell>
          <cell r="AH38">
            <v>0</v>
          </cell>
          <cell r="AJ38">
            <v>0</v>
          </cell>
          <cell r="AL38">
            <v>0</v>
          </cell>
          <cell r="AN38">
            <v>0</v>
          </cell>
          <cell r="AP38">
            <v>0</v>
          </cell>
          <cell r="AR38">
            <v>0</v>
          </cell>
          <cell r="AT38">
            <v>0</v>
          </cell>
          <cell r="AV38">
            <v>0</v>
          </cell>
          <cell r="AX38">
            <v>0</v>
          </cell>
          <cell r="AZ38">
            <v>0</v>
          </cell>
          <cell r="BB38">
            <v>0</v>
          </cell>
          <cell r="BD38">
            <v>0</v>
          </cell>
          <cell r="BF38">
            <v>0</v>
          </cell>
          <cell r="BH38">
            <v>0</v>
          </cell>
          <cell r="BJ38">
            <v>0</v>
          </cell>
          <cell r="BN38">
            <v>0</v>
          </cell>
          <cell r="BP38">
            <v>0</v>
          </cell>
          <cell r="BR38">
            <v>0</v>
          </cell>
          <cell r="BT38">
            <v>0</v>
          </cell>
          <cell r="BV38">
            <v>0</v>
          </cell>
          <cell r="BX38">
            <v>0</v>
          </cell>
          <cell r="CB38">
            <v>0</v>
          </cell>
          <cell r="CD38">
            <v>0</v>
          </cell>
          <cell r="CG38" t="str">
            <v>PRE</v>
          </cell>
          <cell r="CO38" t="str">
            <v>PRE</v>
          </cell>
          <cell r="CP38">
            <v>0</v>
          </cell>
          <cell r="CR38">
            <v>0</v>
          </cell>
          <cell r="CT38">
            <v>0</v>
          </cell>
          <cell r="CV38">
            <v>0</v>
          </cell>
        </row>
        <row r="39">
          <cell r="B39" t="str">
            <v>ECF</v>
          </cell>
          <cell r="D39" t="str">
            <v>SKILLED NURSING CARE</v>
          </cell>
          <cell r="F39" t="str">
            <v>D16</v>
          </cell>
          <cell r="H39">
            <v>0</v>
          </cell>
          <cell r="J39">
            <v>0</v>
          </cell>
          <cell r="L39">
            <v>0</v>
          </cell>
          <cell r="N39">
            <v>0</v>
          </cell>
          <cell r="O39" t="str">
            <v>ECF</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R39">
            <v>0</v>
          </cell>
          <cell r="BT39">
            <v>0</v>
          </cell>
          <cell r="BV39">
            <v>0</v>
          </cell>
          <cell r="BX39">
            <v>0</v>
          </cell>
          <cell r="CG39" t="str">
            <v>ECF</v>
          </cell>
          <cell r="CO39" t="str">
            <v>ECF</v>
          </cell>
          <cell r="CP39">
            <v>0</v>
          </cell>
          <cell r="CR39">
            <v>0</v>
          </cell>
          <cell r="CT39">
            <v>0</v>
          </cell>
          <cell r="CV39">
            <v>0</v>
          </cell>
        </row>
        <row r="40">
          <cell r="B40" t="str">
            <v>CHR</v>
          </cell>
          <cell r="D40" t="str">
            <v>CHRONIC CARE</v>
          </cell>
          <cell r="F40" t="str">
            <v>D17</v>
          </cell>
          <cell r="H40">
            <v>0</v>
          </cell>
          <cell r="J40">
            <v>0</v>
          </cell>
          <cell r="L40">
            <v>0</v>
          </cell>
          <cell r="N40">
            <v>0</v>
          </cell>
          <cell r="O40" t="str">
            <v>ICC</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ICC</v>
          </cell>
          <cell r="CO40" t="str">
            <v>ICC</v>
          </cell>
          <cell r="CP40">
            <v>0</v>
          </cell>
          <cell r="CR40">
            <v>0</v>
          </cell>
          <cell r="CT40">
            <v>0</v>
          </cell>
          <cell r="CV40">
            <v>0</v>
          </cell>
        </row>
        <row r="41">
          <cell r="B41" t="str">
            <v>EMG</v>
          </cell>
          <cell r="D41" t="str">
            <v>EMERGENCY SERVICES</v>
          </cell>
          <cell r="F41" t="str">
            <v>D18</v>
          </cell>
          <cell r="H41">
            <v>7079413.5498396112</v>
          </cell>
          <cell r="J41">
            <v>289021.27100307803</v>
          </cell>
          <cell r="L41">
            <v>7368434.8208426889</v>
          </cell>
          <cell r="N41">
            <v>77.866268045204308</v>
          </cell>
          <cell r="O41" t="str">
            <v>EMG</v>
          </cell>
          <cell r="P41">
            <v>7079.4</v>
          </cell>
          <cell r="R41">
            <v>289</v>
          </cell>
          <cell r="T41">
            <v>7368.4</v>
          </cell>
          <cell r="AD41">
            <v>7079.4</v>
          </cell>
          <cell r="AF41">
            <v>289</v>
          </cell>
          <cell r="AH41">
            <v>7368.4</v>
          </cell>
          <cell r="AJ41">
            <v>77.866268045204308</v>
          </cell>
          <cell r="AL41">
            <v>0</v>
          </cell>
          <cell r="AN41">
            <v>0</v>
          </cell>
          <cell r="AP41">
            <v>0</v>
          </cell>
          <cell r="AR41">
            <v>0</v>
          </cell>
          <cell r="AT41">
            <v>3.1869430966034402</v>
          </cell>
          <cell r="AV41">
            <v>500.19867666519627</v>
          </cell>
          <cell r="AX41">
            <v>503.38561976179972</v>
          </cell>
          <cell r="AZ41">
            <v>9.3825285874249258E-3</v>
          </cell>
          <cell r="BB41">
            <v>7082.5869430966031</v>
          </cell>
          <cell r="BD41">
            <v>789.19867666519622</v>
          </cell>
          <cell r="BF41">
            <v>7871.7856197617994</v>
          </cell>
          <cell r="BH41">
            <v>77.875650573791731</v>
          </cell>
          <cell r="BJ41">
            <v>1571.9131435023805</v>
          </cell>
          <cell r="BN41">
            <v>1571.9131435023805</v>
          </cell>
          <cell r="BP41">
            <v>6.3981809881066534</v>
          </cell>
          <cell r="BR41">
            <v>8654.5000865989841</v>
          </cell>
          <cell r="BT41">
            <v>789.19867666519622</v>
          </cell>
          <cell r="BV41">
            <v>9443.6987632641794</v>
          </cell>
          <cell r="BX41">
            <v>84.27383156189839</v>
          </cell>
          <cell r="CB41">
            <v>28.395330000000001</v>
          </cell>
          <cell r="CD41">
            <v>28.395330000000001</v>
          </cell>
          <cell r="CG41" t="str">
            <v>EMG</v>
          </cell>
          <cell r="CO41" t="str">
            <v>EMG</v>
          </cell>
          <cell r="CP41">
            <v>8682.8954165989835</v>
          </cell>
          <cell r="CR41">
            <v>789.19867666519622</v>
          </cell>
          <cell r="CT41">
            <v>9472.0940932641788</v>
          </cell>
          <cell r="CV41">
            <v>84.27383156189839</v>
          </cell>
        </row>
        <row r="42">
          <cell r="B42" t="str">
            <v>CL</v>
          </cell>
          <cell r="D42" t="str">
            <v>CLINIC SERVICES</v>
          </cell>
          <cell r="F42" t="str">
            <v>D19</v>
          </cell>
          <cell r="H42">
            <v>4516137.5106393443</v>
          </cell>
          <cell r="J42">
            <v>368443.22588849516</v>
          </cell>
          <cell r="L42">
            <v>4884580.7365278397</v>
          </cell>
          <cell r="N42">
            <v>43.559388020658474</v>
          </cell>
          <cell r="O42" t="str">
            <v>CL</v>
          </cell>
          <cell r="P42">
            <v>4516.1000000000004</v>
          </cell>
          <cell r="R42">
            <v>368.4</v>
          </cell>
          <cell r="T42">
            <v>4884.5</v>
          </cell>
          <cell r="AD42">
            <v>4516.1000000000004</v>
          </cell>
          <cell r="AF42">
            <v>368.4</v>
          </cell>
          <cell r="AH42">
            <v>4884.5</v>
          </cell>
          <cell r="AJ42">
            <v>43.559388020658474</v>
          </cell>
          <cell r="AL42">
            <v>0</v>
          </cell>
          <cell r="AN42">
            <v>0</v>
          </cell>
          <cell r="AP42">
            <v>0</v>
          </cell>
          <cell r="AR42">
            <v>0</v>
          </cell>
          <cell r="AT42">
            <v>6.0841640935156596</v>
          </cell>
          <cell r="AV42">
            <v>954.92474636082932</v>
          </cell>
          <cell r="AX42">
            <v>961.00891045434503</v>
          </cell>
          <cell r="AZ42">
            <v>1.7912100030538496E-2</v>
          </cell>
          <cell r="BB42">
            <v>4522.1841640935163</v>
          </cell>
          <cell r="BD42">
            <v>1323.3247463608293</v>
          </cell>
          <cell r="BF42">
            <v>5845.5089104543458</v>
          </cell>
          <cell r="BH42">
            <v>43.57730012068901</v>
          </cell>
          <cell r="BJ42">
            <v>415.68891127611147</v>
          </cell>
          <cell r="BN42">
            <v>415.68891127611147</v>
          </cell>
          <cell r="BP42">
            <v>1.9195978354934726</v>
          </cell>
          <cell r="BR42">
            <v>4937.8730753696282</v>
          </cell>
          <cell r="BT42">
            <v>1323.3247463608293</v>
          </cell>
          <cell r="BV42">
            <v>6261.1978217304577</v>
          </cell>
          <cell r="BX42">
            <v>45.49689795618248</v>
          </cell>
          <cell r="CB42">
            <v>15.32978</v>
          </cell>
          <cell r="CD42">
            <v>15.32978</v>
          </cell>
          <cell r="CG42" t="str">
            <v>CL</v>
          </cell>
          <cell r="CO42" t="str">
            <v>CL</v>
          </cell>
          <cell r="CP42">
            <v>4953.2028553696282</v>
          </cell>
          <cell r="CR42">
            <v>1323.3247463608293</v>
          </cell>
          <cell r="CT42">
            <v>6276.5276017304577</v>
          </cell>
          <cell r="CV42">
            <v>45.49689795618248</v>
          </cell>
        </row>
        <row r="43">
          <cell r="B43" t="str">
            <v>PDC</v>
          </cell>
          <cell r="D43" t="str">
            <v>PSYCH DAY &amp; NIGHT</v>
          </cell>
          <cell r="F43" t="str">
            <v>D20</v>
          </cell>
          <cell r="H43">
            <v>206447.95325074942</v>
          </cell>
          <cell r="J43">
            <v>1357.1825971445019</v>
          </cell>
          <cell r="L43">
            <v>207805.13584789392</v>
          </cell>
          <cell r="N43">
            <v>2.5468235060726627</v>
          </cell>
          <cell r="O43" t="str">
            <v>PDC</v>
          </cell>
          <cell r="P43">
            <v>206.4</v>
          </cell>
          <cell r="R43">
            <v>1.4</v>
          </cell>
          <cell r="T43">
            <v>207.8</v>
          </cell>
          <cell r="AD43">
            <v>206.4</v>
          </cell>
          <cell r="AF43">
            <v>1.4</v>
          </cell>
          <cell r="AH43">
            <v>207.8</v>
          </cell>
          <cell r="AJ43">
            <v>2.5468235060726627</v>
          </cell>
          <cell r="AL43">
            <v>0</v>
          </cell>
          <cell r="AN43">
            <v>0</v>
          </cell>
          <cell r="AP43">
            <v>0</v>
          </cell>
          <cell r="AR43">
            <v>0</v>
          </cell>
          <cell r="AT43">
            <v>0</v>
          </cell>
          <cell r="AV43">
            <v>0</v>
          </cell>
          <cell r="AX43">
            <v>0</v>
          </cell>
          <cell r="AZ43">
            <v>0</v>
          </cell>
          <cell r="BB43">
            <v>206.4</v>
          </cell>
          <cell r="BD43">
            <v>1.4</v>
          </cell>
          <cell r="BF43">
            <v>207.8</v>
          </cell>
          <cell r="BH43">
            <v>2.5468235060726627</v>
          </cell>
          <cell r="BJ43">
            <v>25.908562499999999</v>
          </cell>
          <cell r="BN43">
            <v>25.908562499999999</v>
          </cell>
          <cell r="BP43">
            <v>0.15514109281437125</v>
          </cell>
          <cell r="BR43">
            <v>232.30856249999999</v>
          </cell>
          <cell r="BT43">
            <v>1.4</v>
          </cell>
          <cell r="BV43">
            <v>233.7085625</v>
          </cell>
          <cell r="BX43">
            <v>2.701964598887034</v>
          </cell>
          <cell r="CB43">
            <v>0.91039999999999999</v>
          </cell>
          <cell r="CD43">
            <v>0.91039999999999999</v>
          </cell>
          <cell r="CG43" t="str">
            <v>PDC</v>
          </cell>
          <cell r="CO43" t="str">
            <v>PDC</v>
          </cell>
          <cell r="CP43">
            <v>233.2189625</v>
          </cell>
          <cell r="CR43">
            <v>1.4</v>
          </cell>
          <cell r="CT43">
            <v>234.61896250000001</v>
          </cell>
          <cell r="CV43">
            <v>2.701964598887034</v>
          </cell>
        </row>
        <row r="44">
          <cell r="B44" t="str">
            <v>AMS</v>
          </cell>
          <cell r="D44" t="str">
            <v>AMBULATORY SURGERY (PBP)</v>
          </cell>
          <cell r="F44" t="str">
            <v>D21</v>
          </cell>
          <cell r="H44">
            <v>0</v>
          </cell>
          <cell r="L44">
            <v>0</v>
          </cell>
          <cell r="N44">
            <v>0</v>
          </cell>
          <cell r="O44" t="str">
            <v>AMS</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AMS</v>
          </cell>
          <cell r="CO44" t="str">
            <v>FSC</v>
          </cell>
          <cell r="CP44">
            <v>0</v>
          </cell>
          <cell r="CR44">
            <v>0</v>
          </cell>
          <cell r="CT44">
            <v>0</v>
          </cell>
          <cell r="CV44">
            <v>0</v>
          </cell>
        </row>
        <row r="45">
          <cell r="B45" t="str">
            <v>SDS</v>
          </cell>
          <cell r="D45" t="str">
            <v>SAME DAY SURGERY</v>
          </cell>
          <cell r="F45" t="str">
            <v>D22</v>
          </cell>
          <cell r="H45">
            <v>1036822.5153078837</v>
          </cell>
          <cell r="J45">
            <v>827837.15973266331</v>
          </cell>
          <cell r="L45">
            <v>1864659.675040547</v>
          </cell>
          <cell r="N45">
            <v>11.053790619202736</v>
          </cell>
          <cell r="O45" t="str">
            <v>SDS</v>
          </cell>
          <cell r="P45">
            <v>1036.8</v>
          </cell>
          <cell r="R45">
            <v>827.8</v>
          </cell>
          <cell r="T45">
            <v>1864.6</v>
          </cell>
          <cell r="AD45">
            <v>1036.8</v>
          </cell>
          <cell r="AF45">
            <v>827.8</v>
          </cell>
          <cell r="AH45">
            <v>1864.6</v>
          </cell>
          <cell r="AJ45">
            <v>11.053790619202736</v>
          </cell>
          <cell r="AL45">
            <v>0</v>
          </cell>
          <cell r="AN45">
            <v>0</v>
          </cell>
          <cell r="AP45">
            <v>0</v>
          </cell>
          <cell r="AR45">
            <v>0</v>
          </cell>
          <cell r="AT45">
            <v>0</v>
          </cell>
          <cell r="AV45">
            <v>0</v>
          </cell>
          <cell r="AX45">
            <v>0</v>
          </cell>
          <cell r="AZ45">
            <v>0</v>
          </cell>
          <cell r="BB45">
            <v>1036.8</v>
          </cell>
          <cell r="BD45">
            <v>827.8</v>
          </cell>
          <cell r="BF45">
            <v>1864.6</v>
          </cell>
          <cell r="BH45">
            <v>11.053790619202736</v>
          </cell>
          <cell r="BJ45">
            <v>0</v>
          </cell>
          <cell r="BN45">
            <v>0</v>
          </cell>
          <cell r="BP45">
            <v>0</v>
          </cell>
          <cell r="BR45">
            <v>1036.8</v>
          </cell>
          <cell r="BT45">
            <v>827.8</v>
          </cell>
          <cell r="BV45">
            <v>1864.6</v>
          </cell>
          <cell r="BX45">
            <v>11.053790619202736</v>
          </cell>
          <cell r="CB45">
            <v>3.7244799999999998</v>
          </cell>
          <cell r="CD45">
            <v>3.7244799999999998</v>
          </cell>
          <cell r="CG45" t="str">
            <v>SDS</v>
          </cell>
          <cell r="CO45" t="str">
            <v>SDS</v>
          </cell>
          <cell r="CP45">
            <v>1040.52448</v>
          </cell>
          <cell r="CR45">
            <v>827.8</v>
          </cell>
          <cell r="CT45">
            <v>1868.32448</v>
          </cell>
          <cell r="CV45">
            <v>11.053790619202736</v>
          </cell>
        </row>
        <row r="46">
          <cell r="B46" t="str">
            <v>DEL</v>
          </cell>
          <cell r="D46" t="str">
            <v>LABOR &amp; DELIVERY</v>
          </cell>
          <cell r="F46" t="str">
            <v>D23</v>
          </cell>
          <cell r="H46">
            <v>3781374.9130327888</v>
          </cell>
          <cell r="J46">
            <v>223393.90267328231</v>
          </cell>
          <cell r="L46">
            <v>4004768.815706071</v>
          </cell>
          <cell r="N46">
            <v>35.605166638871999</v>
          </cell>
          <cell r="O46" t="str">
            <v>DEL</v>
          </cell>
          <cell r="P46">
            <v>3781.4</v>
          </cell>
          <cell r="R46">
            <v>223.4</v>
          </cell>
          <cell r="T46">
            <v>4004.8</v>
          </cell>
          <cell r="AD46">
            <v>3781.4</v>
          </cell>
          <cell r="AF46">
            <v>223.4</v>
          </cell>
          <cell r="AH46">
            <v>4004.8</v>
          </cell>
          <cell r="AJ46">
            <v>35.605166638871999</v>
          </cell>
          <cell r="AL46">
            <v>0</v>
          </cell>
          <cell r="AN46">
            <v>0</v>
          </cell>
          <cell r="AP46">
            <v>0</v>
          </cell>
          <cell r="AR46">
            <v>0</v>
          </cell>
          <cell r="AT46">
            <v>1.2313189236876929</v>
          </cell>
          <cell r="AV46">
            <v>193.25857962064401</v>
          </cell>
          <cell r="AX46">
            <v>194.48989854433171</v>
          </cell>
          <cell r="AZ46">
            <v>3.6250678633232671E-3</v>
          </cell>
          <cell r="BB46">
            <v>3782.6313189236876</v>
          </cell>
          <cell r="BD46">
            <v>416.65857962064399</v>
          </cell>
          <cell r="BF46">
            <v>4199.2898985443317</v>
          </cell>
          <cell r="BH46">
            <v>35.608791706735325</v>
          </cell>
          <cell r="BJ46">
            <v>0</v>
          </cell>
          <cell r="BN46">
            <v>0</v>
          </cell>
          <cell r="BP46">
            <v>0</v>
          </cell>
          <cell r="BR46">
            <v>3782.6313189236876</v>
          </cell>
          <cell r="BT46">
            <v>416.65857962064399</v>
          </cell>
          <cell r="BV46">
            <v>4199.2898985443317</v>
          </cell>
          <cell r="BX46">
            <v>35.608791706735325</v>
          </cell>
          <cell r="CB46">
            <v>11.99807</v>
          </cell>
          <cell r="CD46">
            <v>11.99807</v>
          </cell>
          <cell r="CG46" t="str">
            <v>DEL</v>
          </cell>
          <cell r="CO46" t="str">
            <v>DEL</v>
          </cell>
          <cell r="CP46">
            <v>3794.6293889236877</v>
          </cell>
          <cell r="CR46">
            <v>416.65857962064399</v>
          </cell>
          <cell r="CT46">
            <v>4211.2879685443313</v>
          </cell>
          <cell r="CV46">
            <v>35.608791706735325</v>
          </cell>
        </row>
        <row r="47">
          <cell r="B47" t="str">
            <v>OR</v>
          </cell>
          <cell r="D47" t="str">
            <v>OPERATING ROOM</v>
          </cell>
          <cell r="F47" t="str">
            <v>D24</v>
          </cell>
          <cell r="H47">
            <v>12598969.184747577</v>
          </cell>
          <cell r="J47">
            <v>1114737.2902705127</v>
          </cell>
          <cell r="L47">
            <v>13713706.47501809</v>
          </cell>
          <cell r="N47">
            <v>118.17592667822278</v>
          </cell>
          <cell r="O47" t="str">
            <v>OR</v>
          </cell>
          <cell r="P47">
            <v>12599</v>
          </cell>
          <cell r="R47">
            <v>1114.7</v>
          </cell>
          <cell r="T47">
            <v>13713.7</v>
          </cell>
          <cell r="AD47">
            <v>12599</v>
          </cell>
          <cell r="AF47">
            <v>1114.7</v>
          </cell>
          <cell r="AH47">
            <v>13713.7</v>
          </cell>
          <cell r="AJ47">
            <v>118.17592667822278</v>
          </cell>
          <cell r="AL47">
            <v>0</v>
          </cell>
          <cell r="AN47">
            <v>0</v>
          </cell>
          <cell r="AP47">
            <v>0</v>
          </cell>
          <cell r="AR47">
            <v>0</v>
          </cell>
          <cell r="AT47">
            <v>8.3295103661226282</v>
          </cell>
          <cell r="AV47">
            <v>1307.3374503749449</v>
          </cell>
          <cell r="AX47">
            <v>1315.6669607410674</v>
          </cell>
          <cell r="AZ47">
            <v>2.4522517898951511E-2</v>
          </cell>
          <cell r="BB47">
            <v>12607.329510366122</v>
          </cell>
          <cell r="BD47">
            <v>2422.0374503749449</v>
          </cell>
          <cell r="BF47">
            <v>15029.366960741067</v>
          </cell>
          <cell r="BH47">
            <v>118.20044919612174</v>
          </cell>
          <cell r="BJ47">
            <v>821.15759726840076</v>
          </cell>
          <cell r="BN47">
            <v>821.15759726840076</v>
          </cell>
          <cell r="BP47">
            <v>2.6576057467838683</v>
          </cell>
          <cell r="BR47">
            <v>13428.487107634523</v>
          </cell>
          <cell r="BT47">
            <v>2422.0374503749449</v>
          </cell>
          <cell r="BV47">
            <v>15850.524558009467</v>
          </cell>
          <cell r="BX47">
            <v>120.85805494290561</v>
          </cell>
          <cell r="CB47">
            <v>40.722070000000002</v>
          </cell>
          <cell r="CD47">
            <v>40.722070000000002</v>
          </cell>
          <cell r="CG47" t="str">
            <v>OR</v>
          </cell>
          <cell r="CO47" t="str">
            <v>OR</v>
          </cell>
          <cell r="CP47">
            <v>13469.209177634522</v>
          </cell>
          <cell r="CR47">
            <v>2422.0374503749449</v>
          </cell>
          <cell r="CT47">
            <v>15891.246628009467</v>
          </cell>
          <cell r="CV47">
            <v>120.85805494290561</v>
          </cell>
        </row>
        <row r="48">
          <cell r="B48" t="str">
            <v>ORC</v>
          </cell>
          <cell r="D48" t="str">
            <v>OPERATING ROOM CLINIC</v>
          </cell>
          <cell r="F48" t="str">
            <v>D24a</v>
          </cell>
          <cell r="H48">
            <v>9437.877399643472</v>
          </cell>
          <cell r="J48">
            <v>2015.3453021177916</v>
          </cell>
          <cell r="L48">
            <v>11453.222701761264</v>
          </cell>
          <cell r="N48">
            <v>0.11352586450944882</v>
          </cell>
          <cell r="O48" t="str">
            <v>ORC</v>
          </cell>
          <cell r="P48">
            <v>9.4</v>
          </cell>
          <cell r="R48">
            <v>2</v>
          </cell>
          <cell r="T48">
            <v>11.4</v>
          </cell>
          <cell r="AD48">
            <v>9.4</v>
          </cell>
          <cell r="AF48">
            <v>2</v>
          </cell>
          <cell r="AH48">
            <v>11.4</v>
          </cell>
          <cell r="AJ48">
            <v>0.11352586450944882</v>
          </cell>
          <cell r="AL48">
            <v>0</v>
          </cell>
          <cell r="AN48">
            <v>0</v>
          </cell>
          <cell r="AP48">
            <v>0</v>
          </cell>
          <cell r="AR48">
            <v>0</v>
          </cell>
          <cell r="AT48">
            <v>0</v>
          </cell>
          <cell r="AV48">
            <v>0</v>
          </cell>
          <cell r="AX48">
            <v>0</v>
          </cell>
          <cell r="AZ48">
            <v>0</v>
          </cell>
          <cell r="BB48">
            <v>9.4</v>
          </cell>
          <cell r="BD48">
            <v>2</v>
          </cell>
          <cell r="BF48">
            <v>11.4</v>
          </cell>
          <cell r="BH48">
            <v>0.11352586450944882</v>
          </cell>
          <cell r="BJ48">
            <v>0</v>
          </cell>
          <cell r="BN48">
            <v>0</v>
          </cell>
          <cell r="BP48">
            <v>0</v>
          </cell>
          <cell r="BR48">
            <v>9.4</v>
          </cell>
          <cell r="BT48">
            <v>2</v>
          </cell>
          <cell r="BV48">
            <v>11.4</v>
          </cell>
          <cell r="BX48">
            <v>0.11352586450944882</v>
          </cell>
          <cell r="CB48">
            <v>3.8249999999999999E-2</v>
          </cell>
          <cell r="CD48">
            <v>3.8249999999999999E-2</v>
          </cell>
          <cell r="CG48" t="str">
            <v>ORC</v>
          </cell>
          <cell r="CO48" t="str">
            <v>OR</v>
          </cell>
          <cell r="CP48">
            <v>9.43825</v>
          </cell>
          <cell r="CR48">
            <v>2</v>
          </cell>
          <cell r="CT48">
            <v>11.43825</v>
          </cell>
          <cell r="CV48">
            <v>0.11352586450944882</v>
          </cell>
        </row>
        <row r="49">
          <cell r="B49" t="str">
            <v>ANS</v>
          </cell>
          <cell r="D49" t="str">
            <v>ANESTHESIOLOGY</v>
          </cell>
          <cell r="F49" t="str">
            <v>D25</v>
          </cell>
          <cell r="H49">
            <v>794831.14063894982</v>
          </cell>
          <cell r="J49">
            <v>335003.34920000029</v>
          </cell>
          <cell r="L49">
            <v>1129834.4898389501</v>
          </cell>
          <cell r="N49">
            <v>11.277304347826085</v>
          </cell>
          <cell r="O49" t="str">
            <v>ANS</v>
          </cell>
          <cell r="P49">
            <v>794.8</v>
          </cell>
          <cell r="R49">
            <v>335</v>
          </cell>
          <cell r="T49">
            <v>1129.8</v>
          </cell>
          <cell r="AD49">
            <v>794.8</v>
          </cell>
          <cell r="AF49">
            <v>335</v>
          </cell>
          <cell r="AH49">
            <v>1129.8</v>
          </cell>
          <cell r="AJ49">
            <v>11.277304347826085</v>
          </cell>
          <cell r="AL49">
            <v>0</v>
          </cell>
          <cell r="AN49">
            <v>0</v>
          </cell>
          <cell r="AP49">
            <v>0</v>
          </cell>
          <cell r="AR49">
            <v>0</v>
          </cell>
          <cell r="AT49">
            <v>0.47079841199823552</v>
          </cell>
          <cell r="AV49">
            <v>73.892986325540363</v>
          </cell>
          <cell r="AX49">
            <v>74.363784737538595</v>
          </cell>
          <cell r="AZ49">
            <v>1.3860553595059549E-3</v>
          </cell>
          <cell r="BB49">
            <v>795.27079841199816</v>
          </cell>
          <cell r="BD49">
            <v>408.89298632554039</v>
          </cell>
          <cell r="BF49">
            <v>1204.1637847375387</v>
          </cell>
          <cell r="BH49">
            <v>11.278690403185591</v>
          </cell>
          <cell r="BJ49">
            <v>75.581916229677049</v>
          </cell>
          <cell r="BN49">
            <v>75.581916229677049</v>
          </cell>
          <cell r="BP49">
            <v>0.2438519639608874</v>
          </cell>
          <cell r="BR49">
            <v>870.85271464167522</v>
          </cell>
          <cell r="BT49">
            <v>408.89298632554039</v>
          </cell>
          <cell r="BV49">
            <v>1279.7457009672157</v>
          </cell>
          <cell r="BX49">
            <v>11.522542367146478</v>
          </cell>
          <cell r="CB49">
            <v>3.8824200000000002</v>
          </cell>
          <cell r="CD49">
            <v>3.8824200000000002</v>
          </cell>
          <cell r="CG49" t="str">
            <v>ANS</v>
          </cell>
          <cell r="CO49" t="str">
            <v>ANS</v>
          </cell>
          <cell r="CP49">
            <v>874.73513464167524</v>
          </cell>
          <cell r="CR49">
            <v>408.89298632554039</v>
          </cell>
          <cell r="CT49">
            <v>1283.6281209672156</v>
          </cell>
          <cell r="CV49">
            <v>11.522542367146478</v>
          </cell>
        </row>
        <row r="50">
          <cell r="B50" t="str">
            <v>MSS</v>
          </cell>
          <cell r="D50" t="str">
            <v>MEDICAL SUPPLIES SOLD</v>
          </cell>
          <cell r="F50" t="str">
            <v>D26</v>
          </cell>
          <cell r="H50">
            <v>0</v>
          </cell>
          <cell r="J50">
            <v>39859726.466053896</v>
          </cell>
          <cell r="L50">
            <v>39859726.466053896</v>
          </cell>
          <cell r="N50">
            <v>0</v>
          </cell>
          <cell r="O50" t="str">
            <v>MSS</v>
          </cell>
          <cell r="P50">
            <v>0</v>
          </cell>
          <cell r="R50">
            <v>39859.699999999997</v>
          </cell>
          <cell r="T50">
            <v>39859.699999999997</v>
          </cell>
          <cell r="AD50">
            <v>0</v>
          </cell>
          <cell r="AF50">
            <v>39859.699999999997</v>
          </cell>
          <cell r="AH50">
            <v>39859.699999999997</v>
          </cell>
          <cell r="AJ50">
            <v>0</v>
          </cell>
          <cell r="AL50">
            <v>0</v>
          </cell>
          <cell r="AN50">
            <v>0</v>
          </cell>
          <cell r="AP50">
            <v>0</v>
          </cell>
          <cell r="AR50">
            <v>0</v>
          </cell>
          <cell r="AT50">
            <v>0</v>
          </cell>
          <cell r="AV50">
            <v>0</v>
          </cell>
          <cell r="AX50">
            <v>0</v>
          </cell>
          <cell r="AZ50">
            <v>0</v>
          </cell>
          <cell r="BB50">
            <v>0</v>
          </cell>
          <cell r="BD50">
            <v>39859.699999999997</v>
          </cell>
          <cell r="BF50">
            <v>39859.699999999997</v>
          </cell>
          <cell r="BH50">
            <v>0</v>
          </cell>
          <cell r="BJ50">
            <v>0</v>
          </cell>
          <cell r="BN50">
            <v>0</v>
          </cell>
          <cell r="BR50">
            <v>0</v>
          </cell>
          <cell r="BT50">
            <v>39859.699999999997</v>
          </cell>
          <cell r="BV50">
            <v>39859.699999999997</v>
          </cell>
          <cell r="BX50">
            <v>0</v>
          </cell>
          <cell r="CD50">
            <v>0</v>
          </cell>
          <cell r="CG50" t="str">
            <v>MSS</v>
          </cell>
          <cell r="CO50" t="str">
            <v>MSS</v>
          </cell>
          <cell r="CP50">
            <v>0</v>
          </cell>
          <cell r="CR50">
            <v>39859.699999999997</v>
          </cell>
          <cell r="CT50">
            <v>39859.699999999997</v>
          </cell>
          <cell r="CV50">
            <v>0</v>
          </cell>
        </row>
        <row r="51">
          <cell r="B51" t="str">
            <v>CDS</v>
          </cell>
          <cell r="D51" t="str">
            <v>DRUGS SOLD</v>
          </cell>
          <cell r="F51" t="str">
            <v>D27</v>
          </cell>
          <cell r="H51">
            <v>0</v>
          </cell>
          <cell r="J51">
            <v>19398338.430000003</v>
          </cell>
          <cell r="L51">
            <v>19398338.430000003</v>
          </cell>
          <cell r="N51">
            <v>0</v>
          </cell>
          <cell r="O51" t="str">
            <v>CDS</v>
          </cell>
          <cell r="P51">
            <v>0</v>
          </cell>
          <cell r="R51">
            <v>19398.3</v>
          </cell>
          <cell r="T51">
            <v>19398.3</v>
          </cell>
          <cell r="AD51">
            <v>0</v>
          </cell>
          <cell r="AF51">
            <v>19398.3</v>
          </cell>
          <cell r="AH51">
            <v>19398.3</v>
          </cell>
          <cell r="AJ51">
            <v>0</v>
          </cell>
          <cell r="AL51">
            <v>0</v>
          </cell>
          <cell r="AN51">
            <v>0</v>
          </cell>
          <cell r="AP51">
            <v>0</v>
          </cell>
          <cell r="AR51">
            <v>0</v>
          </cell>
          <cell r="AT51">
            <v>0</v>
          </cell>
          <cell r="AV51">
            <v>0</v>
          </cell>
          <cell r="AX51">
            <v>0</v>
          </cell>
          <cell r="AZ51">
            <v>0</v>
          </cell>
          <cell r="BB51">
            <v>0</v>
          </cell>
          <cell r="BD51">
            <v>19398.3</v>
          </cell>
          <cell r="BF51">
            <v>19398.3</v>
          </cell>
          <cell r="BH51">
            <v>0</v>
          </cell>
          <cell r="BJ51">
            <v>0</v>
          </cell>
          <cell r="BN51">
            <v>0</v>
          </cell>
          <cell r="BR51">
            <v>0</v>
          </cell>
          <cell r="BT51">
            <v>19398.3</v>
          </cell>
          <cell r="BV51">
            <v>19398.3</v>
          </cell>
          <cell r="BX51">
            <v>0</v>
          </cell>
          <cell r="CD51">
            <v>0</v>
          </cell>
          <cell r="CG51" t="str">
            <v>CDS</v>
          </cell>
          <cell r="CO51" t="str">
            <v>CDS</v>
          </cell>
          <cell r="CP51">
            <v>0</v>
          </cell>
          <cell r="CR51">
            <v>19398.3</v>
          </cell>
          <cell r="CT51">
            <v>19398.3</v>
          </cell>
          <cell r="CV51">
            <v>0</v>
          </cell>
        </row>
        <row r="52">
          <cell r="B52" t="str">
            <v>LAB</v>
          </cell>
          <cell r="D52" t="str">
            <v>LABORATORY SERVICES</v>
          </cell>
          <cell r="F52" t="str">
            <v>D28</v>
          </cell>
          <cell r="H52">
            <v>4817373.8178668022</v>
          </cell>
          <cell r="J52">
            <v>4515041.5696472218</v>
          </cell>
          <cell r="L52">
            <v>9332415.387514025</v>
          </cell>
          <cell r="N52">
            <v>61.512599158111954</v>
          </cell>
          <cell r="O52" t="str">
            <v>LAB</v>
          </cell>
          <cell r="P52">
            <v>4817.3999999999996</v>
          </cell>
          <cell r="R52">
            <v>4515</v>
          </cell>
          <cell r="T52">
            <v>9332.4</v>
          </cell>
          <cell r="AD52">
            <v>4817.3999999999996</v>
          </cell>
          <cell r="AF52">
            <v>4515</v>
          </cell>
          <cell r="AH52">
            <v>9332.4</v>
          </cell>
          <cell r="AJ52">
            <v>61.512599158111954</v>
          </cell>
          <cell r="AL52">
            <v>0</v>
          </cell>
          <cell r="AN52">
            <v>0</v>
          </cell>
          <cell r="AP52">
            <v>0</v>
          </cell>
          <cell r="AR52">
            <v>0</v>
          </cell>
          <cell r="AT52">
            <v>6.8808998676665185</v>
          </cell>
          <cell r="AV52">
            <v>1079.9744155271283</v>
          </cell>
          <cell r="AX52">
            <v>1086.8553153947948</v>
          </cell>
          <cell r="AZ52">
            <v>2.0257732177394724E-2</v>
          </cell>
          <cell r="BB52">
            <v>4824.2808998676664</v>
          </cell>
          <cell r="BD52">
            <v>5594.9744155271283</v>
          </cell>
          <cell r="BF52">
            <v>10419.255315394796</v>
          </cell>
          <cell r="BH52">
            <v>61.532856890289345</v>
          </cell>
          <cell r="BJ52">
            <v>103.48</v>
          </cell>
          <cell r="BN52">
            <v>103.48</v>
          </cell>
          <cell r="BP52">
            <v>0.61964071856287428</v>
          </cell>
          <cell r="BR52">
            <v>4927.760899867666</v>
          </cell>
          <cell r="BT52">
            <v>5594.9744155271283</v>
          </cell>
          <cell r="BV52">
            <v>10522.735315394795</v>
          </cell>
          <cell r="BX52">
            <v>62.152497608852222</v>
          </cell>
          <cell r="CB52">
            <v>20.941739999999999</v>
          </cell>
          <cell r="CD52">
            <v>20.941739999999999</v>
          </cell>
          <cell r="CG52" t="str">
            <v>LAB</v>
          </cell>
          <cell r="CO52" t="str">
            <v>LAB</v>
          </cell>
          <cell r="CP52">
            <v>4948.7026398676662</v>
          </cell>
          <cell r="CR52">
            <v>5594.9744155271283</v>
          </cell>
          <cell r="CT52">
            <v>10543.677055394794</v>
          </cell>
          <cell r="CV52">
            <v>62.152497608852222</v>
          </cell>
        </row>
        <row r="53">
          <cell r="H53" t="str">
            <v>XXXXXXXXX</v>
          </cell>
          <cell r="J53" t="str">
            <v>XXXXXXXXX</v>
          </cell>
          <cell r="L53">
            <v>0</v>
          </cell>
          <cell r="O53">
            <v>0</v>
          </cell>
          <cell r="P53">
            <v>0</v>
          </cell>
          <cell r="R53">
            <v>0</v>
          </cell>
          <cell r="T53">
            <v>0</v>
          </cell>
          <cell r="AD53">
            <v>0</v>
          </cell>
          <cell r="AF53">
            <v>0</v>
          </cell>
          <cell r="AH53">
            <v>0</v>
          </cell>
          <cell r="AJ53">
            <v>0</v>
          </cell>
          <cell r="AL53">
            <v>0</v>
          </cell>
          <cell r="AN53">
            <v>0</v>
          </cell>
          <cell r="AP53">
            <v>0</v>
          </cell>
          <cell r="AR53">
            <v>0</v>
          </cell>
          <cell r="AT53">
            <v>0</v>
          </cell>
          <cell r="AV53">
            <v>0</v>
          </cell>
          <cell r="AX53">
            <v>0</v>
          </cell>
          <cell r="AZ53">
            <v>0</v>
          </cell>
          <cell r="BB53">
            <v>0</v>
          </cell>
          <cell r="BD53">
            <v>0</v>
          </cell>
          <cell r="BF53">
            <v>0</v>
          </cell>
          <cell r="BH53">
            <v>0</v>
          </cell>
          <cell r="BJ53">
            <v>0</v>
          </cell>
          <cell r="BN53">
            <v>0</v>
          </cell>
          <cell r="BP53">
            <v>0</v>
          </cell>
          <cell r="BR53">
            <v>0</v>
          </cell>
          <cell r="BT53">
            <v>0</v>
          </cell>
          <cell r="BV53">
            <v>0</v>
          </cell>
          <cell r="BX53">
            <v>0</v>
          </cell>
          <cell r="CD53">
            <v>0</v>
          </cell>
          <cell r="CG53">
            <v>0</v>
          </cell>
          <cell r="CO53" t="str">
            <v>BB</v>
          </cell>
          <cell r="CP53">
            <v>0</v>
          </cell>
          <cell r="CR53">
            <v>0</v>
          </cell>
          <cell r="CT53">
            <v>0</v>
          </cell>
          <cell r="CV53">
            <v>0</v>
          </cell>
        </row>
        <row r="54">
          <cell r="B54" t="str">
            <v>EKG</v>
          </cell>
          <cell r="D54" t="str">
            <v>ELECTROCARDIOLOGY</v>
          </cell>
          <cell r="F54" t="str">
            <v>D30</v>
          </cell>
          <cell r="H54">
            <v>842528.74475403584</v>
          </cell>
          <cell r="J54">
            <v>11993.029856697831</v>
          </cell>
          <cell r="L54">
            <v>854521.77461073361</v>
          </cell>
          <cell r="N54">
            <v>11.166502081835612</v>
          </cell>
          <cell r="O54" t="str">
            <v>EKG</v>
          </cell>
          <cell r="P54">
            <v>842.5</v>
          </cell>
          <cell r="R54">
            <v>12</v>
          </cell>
          <cell r="T54">
            <v>854.5</v>
          </cell>
          <cell r="AD54">
            <v>842.5</v>
          </cell>
          <cell r="AF54">
            <v>12</v>
          </cell>
          <cell r="AH54">
            <v>854.5</v>
          </cell>
          <cell r="AJ54">
            <v>11.166502081835612</v>
          </cell>
          <cell r="AL54">
            <v>0</v>
          </cell>
          <cell r="AN54">
            <v>0</v>
          </cell>
          <cell r="AP54">
            <v>0</v>
          </cell>
          <cell r="AR54">
            <v>0</v>
          </cell>
          <cell r="AT54">
            <v>0.83295103661226289</v>
          </cell>
          <cell r="AV54">
            <v>130.73374503749449</v>
          </cell>
          <cell r="AX54">
            <v>131.56669607410674</v>
          </cell>
          <cell r="AZ54">
            <v>2.4522517898951514E-3</v>
          </cell>
          <cell r="BB54">
            <v>843.33295103661226</v>
          </cell>
          <cell r="BD54">
            <v>142.73374503749449</v>
          </cell>
          <cell r="BF54">
            <v>986.06669607410674</v>
          </cell>
          <cell r="BH54">
            <v>11.168954333625507</v>
          </cell>
          <cell r="BJ54">
            <v>0</v>
          </cell>
          <cell r="BN54">
            <v>0</v>
          </cell>
          <cell r="BP54">
            <v>0</v>
          </cell>
          <cell r="BR54">
            <v>843.33295103661226</v>
          </cell>
          <cell r="BT54">
            <v>142.73374503749449</v>
          </cell>
          <cell r="BV54">
            <v>986.06669607410674</v>
          </cell>
          <cell r="BX54">
            <v>11.168954333625507</v>
          </cell>
          <cell r="CB54">
            <v>3.76328</v>
          </cell>
          <cell r="CD54">
            <v>3.76328</v>
          </cell>
          <cell r="CG54" t="str">
            <v>EKG</v>
          </cell>
          <cell r="CO54" t="str">
            <v>EKG</v>
          </cell>
          <cell r="CP54">
            <v>847.09623103661227</v>
          </cell>
          <cell r="CR54">
            <v>142.73374503749449</v>
          </cell>
          <cell r="CT54">
            <v>989.82997607410675</v>
          </cell>
          <cell r="CV54">
            <v>11.168954333625507</v>
          </cell>
        </row>
        <row r="55">
          <cell r="B55" t="str">
            <v>IRC</v>
          </cell>
          <cell r="D55" t="str">
            <v>INVASIVE RADIOLOGY/CARDIOVASCULAR</v>
          </cell>
          <cell r="F55" t="str">
            <v>D31</v>
          </cell>
          <cell r="H55">
            <v>4467359.4025463676</v>
          </cell>
          <cell r="J55">
            <v>496308.38822417153</v>
          </cell>
          <cell r="L55">
            <v>4963667.7907705391</v>
          </cell>
          <cell r="N55">
            <v>39.840175951768899</v>
          </cell>
          <cell r="O55" t="str">
            <v>IRC</v>
          </cell>
          <cell r="P55">
            <v>4467.3999999999996</v>
          </cell>
          <cell r="R55">
            <v>496.3</v>
          </cell>
          <cell r="T55">
            <v>4963.7</v>
          </cell>
          <cell r="AD55">
            <v>4467.3999999999996</v>
          </cell>
          <cell r="AF55">
            <v>496.3</v>
          </cell>
          <cell r="AH55">
            <v>4963.7</v>
          </cell>
          <cell r="AJ55">
            <v>39.840175951768899</v>
          </cell>
          <cell r="AL55">
            <v>0</v>
          </cell>
          <cell r="AN55">
            <v>0</v>
          </cell>
          <cell r="AP55">
            <v>0</v>
          </cell>
          <cell r="AR55">
            <v>0</v>
          </cell>
          <cell r="AT55">
            <v>1.9556241729157477</v>
          </cell>
          <cell r="AV55">
            <v>306.94009704455226</v>
          </cell>
          <cell r="AX55">
            <v>308.89572121746801</v>
          </cell>
          <cell r="AZ55">
            <v>5.7574607241016595E-3</v>
          </cell>
          <cell r="BB55">
            <v>4469.3556241729157</v>
          </cell>
          <cell r="BD55">
            <v>803.24009704455227</v>
          </cell>
          <cell r="BF55">
            <v>5272.5957212174681</v>
          </cell>
          <cell r="BH55">
            <v>39.845933412493004</v>
          </cell>
          <cell r="BJ55">
            <v>332.22820320737162</v>
          </cell>
          <cell r="BN55">
            <v>332.22820320737162</v>
          </cell>
          <cell r="BP55">
            <v>1.0064471469475058</v>
          </cell>
          <cell r="BR55">
            <v>4801.5838273802874</v>
          </cell>
          <cell r="BT55">
            <v>803.24009704455227</v>
          </cell>
          <cell r="BV55">
            <v>5604.8239244248398</v>
          </cell>
          <cell r="BX55">
            <v>40.852380559440512</v>
          </cell>
          <cell r="CB55">
            <v>13.764849999999999</v>
          </cell>
          <cell r="CD55">
            <v>13.764849999999999</v>
          </cell>
          <cell r="CG55" t="str">
            <v>IRC</v>
          </cell>
          <cell r="CO55" t="str">
            <v>IRC</v>
          </cell>
          <cell r="CP55">
            <v>4815.348677380287</v>
          </cell>
          <cell r="CR55">
            <v>803.24009704455227</v>
          </cell>
          <cell r="CT55">
            <v>5618.5887744248394</v>
          </cell>
          <cell r="CV55">
            <v>40.852380559440512</v>
          </cell>
        </row>
        <row r="56">
          <cell r="B56" t="str">
            <v>RAD</v>
          </cell>
          <cell r="D56" t="str">
            <v>RADIOLOGY DIAGNOSTIC</v>
          </cell>
          <cell r="F56" t="str">
            <v>D32</v>
          </cell>
          <cell r="H56">
            <v>3723684.5643729172</v>
          </cell>
          <cell r="J56">
            <v>399552.58229635027</v>
          </cell>
          <cell r="L56">
            <v>4123237.1466692677</v>
          </cell>
          <cell r="N56">
            <v>42.887770384138861</v>
          </cell>
          <cell r="O56" t="str">
            <v>RAD</v>
          </cell>
          <cell r="P56">
            <v>3723.7</v>
          </cell>
          <cell r="R56">
            <v>399.6</v>
          </cell>
          <cell r="T56">
            <v>4123.3</v>
          </cell>
          <cell r="AD56">
            <v>3723.7</v>
          </cell>
          <cell r="AF56">
            <v>399.6</v>
          </cell>
          <cell r="AH56">
            <v>4123.3</v>
          </cell>
          <cell r="AJ56">
            <v>42.887770384138861</v>
          </cell>
          <cell r="AL56">
            <v>0</v>
          </cell>
          <cell r="AN56">
            <v>0</v>
          </cell>
          <cell r="AP56">
            <v>0</v>
          </cell>
          <cell r="AR56">
            <v>0</v>
          </cell>
          <cell r="AT56">
            <v>1.7021173356859283</v>
          </cell>
          <cell r="AV56">
            <v>267.15156594618435</v>
          </cell>
          <cell r="AX56">
            <v>268.8536832818703</v>
          </cell>
          <cell r="AZ56">
            <v>5.0111232228292214E-3</v>
          </cell>
          <cell r="BB56">
            <v>3725.4021173356859</v>
          </cell>
          <cell r="BD56">
            <v>666.75156594618443</v>
          </cell>
          <cell r="BF56">
            <v>4392.1536832818701</v>
          </cell>
          <cell r="BH56">
            <v>42.89278150736169</v>
          </cell>
          <cell r="BJ56">
            <v>159.16933585170062</v>
          </cell>
          <cell r="BN56">
            <v>159.16933585170062</v>
          </cell>
          <cell r="BP56">
            <v>0.26031020403423394</v>
          </cell>
          <cell r="BR56">
            <v>3884.5714531873864</v>
          </cell>
          <cell r="BT56">
            <v>666.75156594618443</v>
          </cell>
          <cell r="BV56">
            <v>4551.3230191335706</v>
          </cell>
          <cell r="BX56">
            <v>43.153091711395923</v>
          </cell>
          <cell r="CB56">
            <v>14.54006</v>
          </cell>
          <cell r="CD56">
            <v>14.54006</v>
          </cell>
          <cell r="CG56" t="str">
            <v>RAD</v>
          </cell>
          <cell r="CO56" t="str">
            <v>RAD</v>
          </cell>
          <cell r="CP56">
            <v>3899.1115131873862</v>
          </cell>
          <cell r="CR56">
            <v>666.75156594618443</v>
          </cell>
          <cell r="CT56">
            <v>4565.8630791335709</v>
          </cell>
          <cell r="CV56">
            <v>43.153091711395923</v>
          </cell>
        </row>
        <row r="57">
          <cell r="B57" t="str">
            <v>CAT</v>
          </cell>
          <cell r="D57" t="str">
            <v>CT SCANNER</v>
          </cell>
          <cell r="F57" t="str">
            <v>D33</v>
          </cell>
          <cell r="H57">
            <v>919567.66602557711</v>
          </cell>
          <cell r="J57">
            <v>669195.31346512295</v>
          </cell>
          <cell r="L57">
            <v>1588762.9794907002</v>
          </cell>
          <cell r="N57">
            <v>9.2600372361466246</v>
          </cell>
          <cell r="O57" t="str">
            <v>CAT</v>
          </cell>
          <cell r="P57">
            <v>919.6</v>
          </cell>
          <cell r="R57">
            <v>669.2</v>
          </cell>
          <cell r="T57">
            <v>1588.8000000000002</v>
          </cell>
          <cell r="AD57">
            <v>919.6</v>
          </cell>
          <cell r="AF57">
            <v>669.2</v>
          </cell>
          <cell r="AH57">
            <v>1588.8000000000002</v>
          </cell>
          <cell r="AJ57">
            <v>9.2600372361466246</v>
          </cell>
          <cell r="AL57">
            <v>0</v>
          </cell>
          <cell r="AN57">
            <v>0</v>
          </cell>
          <cell r="AP57">
            <v>0</v>
          </cell>
          <cell r="AR57">
            <v>0</v>
          </cell>
          <cell r="AT57">
            <v>0.2172915747684164</v>
          </cell>
          <cell r="AV57">
            <v>34.104455227172473</v>
          </cell>
          <cell r="AX57">
            <v>34.32174680194089</v>
          </cell>
          <cell r="AZ57">
            <v>6.3971785823351772E-4</v>
          </cell>
          <cell r="BB57">
            <v>919.81729157476843</v>
          </cell>
          <cell r="BD57">
            <v>703.30445522717253</v>
          </cell>
          <cell r="BF57">
            <v>1623.1217468019408</v>
          </cell>
          <cell r="BH57">
            <v>9.2606769540048575</v>
          </cell>
          <cell r="BJ57">
            <v>0</v>
          </cell>
          <cell r="BN57">
            <v>0</v>
          </cell>
          <cell r="BP57">
            <v>0</v>
          </cell>
          <cell r="BR57">
            <v>919.81729157476843</v>
          </cell>
          <cell r="BT57">
            <v>703.30445522717253</v>
          </cell>
          <cell r="BV57">
            <v>1623.1217468019408</v>
          </cell>
          <cell r="BX57">
            <v>9.2606769540048575</v>
          </cell>
          <cell r="CB57">
            <v>3.1202999999999999</v>
          </cell>
          <cell r="CD57">
            <v>3.1202999999999999</v>
          </cell>
          <cell r="CG57" t="str">
            <v>CAT</v>
          </cell>
          <cell r="CO57" t="str">
            <v>CT</v>
          </cell>
          <cell r="CP57">
            <v>922.93759157476848</v>
          </cell>
          <cell r="CR57">
            <v>703.30445522717253</v>
          </cell>
          <cell r="CT57">
            <v>1626.2420468019409</v>
          </cell>
          <cell r="CV57">
            <v>9.2606769540048575</v>
          </cell>
        </row>
        <row r="58">
          <cell r="B58" t="str">
            <v>RAT</v>
          </cell>
          <cell r="D58" t="str">
            <v>RADIOLOGY THERAPEUTIC</v>
          </cell>
          <cell r="F58" t="str">
            <v>D34</v>
          </cell>
          <cell r="H58">
            <v>0</v>
          </cell>
          <cell r="J58">
            <v>3686299.9635374825</v>
          </cell>
          <cell r="L58">
            <v>3686299.9635374825</v>
          </cell>
          <cell r="N58">
            <v>0</v>
          </cell>
          <cell r="O58" t="str">
            <v>RAT</v>
          </cell>
          <cell r="P58">
            <v>0</v>
          </cell>
          <cell r="R58">
            <v>3686.3</v>
          </cell>
          <cell r="T58">
            <v>3686.3</v>
          </cell>
          <cell r="AD58">
            <v>0</v>
          </cell>
          <cell r="AF58">
            <v>3686.3</v>
          </cell>
          <cell r="AH58">
            <v>3686.3</v>
          </cell>
          <cell r="AJ58">
            <v>0</v>
          </cell>
          <cell r="AL58">
            <v>0</v>
          </cell>
          <cell r="AN58">
            <v>0</v>
          </cell>
          <cell r="AP58">
            <v>0</v>
          </cell>
          <cell r="AR58">
            <v>0</v>
          </cell>
          <cell r="AT58">
            <v>0</v>
          </cell>
          <cell r="AV58">
            <v>0</v>
          </cell>
          <cell r="AX58">
            <v>0</v>
          </cell>
          <cell r="AZ58">
            <v>0</v>
          </cell>
          <cell r="BB58">
            <v>0</v>
          </cell>
          <cell r="BD58">
            <v>3686.3</v>
          </cell>
          <cell r="BF58">
            <v>3686.3</v>
          </cell>
          <cell r="BH58">
            <v>0</v>
          </cell>
          <cell r="BJ58">
            <v>0</v>
          </cell>
          <cell r="BN58">
            <v>0</v>
          </cell>
          <cell r="BP58">
            <v>0</v>
          </cell>
          <cell r="BR58">
            <v>0</v>
          </cell>
          <cell r="BT58">
            <v>3686.3</v>
          </cell>
          <cell r="BV58">
            <v>3686.3</v>
          </cell>
          <cell r="BX58">
            <v>0</v>
          </cell>
          <cell r="CB58">
            <v>0</v>
          </cell>
          <cell r="CD58">
            <v>0</v>
          </cell>
          <cell r="CG58" t="str">
            <v>RAT</v>
          </cell>
          <cell r="CO58" t="str">
            <v>RAT</v>
          </cell>
          <cell r="CP58">
            <v>0</v>
          </cell>
          <cell r="CR58">
            <v>3686.3</v>
          </cell>
          <cell r="CT58">
            <v>3686.3</v>
          </cell>
          <cell r="CV58">
            <v>0</v>
          </cell>
        </row>
        <row r="59">
          <cell r="B59" t="str">
            <v>NUC</v>
          </cell>
          <cell r="D59" t="str">
            <v>NUCLEAR MEDICINE</v>
          </cell>
          <cell r="F59" t="str">
            <v>D35</v>
          </cell>
          <cell r="H59">
            <v>545095.80447363283</v>
          </cell>
          <cell r="J59">
            <v>1535752.0176161304</v>
          </cell>
          <cell r="L59">
            <v>2080847.8220897634</v>
          </cell>
          <cell r="N59">
            <v>6.188052376221477</v>
          </cell>
          <cell r="O59" t="str">
            <v>NUC</v>
          </cell>
          <cell r="P59">
            <v>545.1</v>
          </cell>
          <cell r="R59">
            <v>1535.8</v>
          </cell>
          <cell r="T59">
            <v>2080.9</v>
          </cell>
          <cell r="AD59">
            <v>545.1</v>
          </cell>
          <cell r="AF59">
            <v>1535.8</v>
          </cell>
          <cell r="AH59">
            <v>2080.9</v>
          </cell>
          <cell r="AJ59">
            <v>6.188052376221477</v>
          </cell>
          <cell r="AL59">
            <v>0</v>
          </cell>
          <cell r="AN59">
            <v>0</v>
          </cell>
          <cell r="AP59">
            <v>0</v>
          </cell>
          <cell r="AR59">
            <v>0</v>
          </cell>
          <cell r="AT59">
            <v>0.39836788707543003</v>
          </cell>
          <cell r="AV59">
            <v>62.524834583149534</v>
          </cell>
          <cell r="AX59">
            <v>62.923202470224965</v>
          </cell>
          <cell r="AZ59">
            <v>1.1728160734281157E-3</v>
          </cell>
          <cell r="BB59">
            <v>545.49836788707546</v>
          </cell>
          <cell r="BD59">
            <v>1598.3248345831496</v>
          </cell>
          <cell r="BF59">
            <v>2143.8232024702252</v>
          </cell>
          <cell r="BH59">
            <v>6.1892251922949049</v>
          </cell>
          <cell r="BJ59">
            <v>0</v>
          </cell>
          <cell r="BN59">
            <v>0</v>
          </cell>
          <cell r="BP59">
            <v>0</v>
          </cell>
          <cell r="BR59">
            <v>545.49836788707546</v>
          </cell>
          <cell r="BT59">
            <v>1598.3248345831496</v>
          </cell>
          <cell r="BV59">
            <v>2143.8232024702252</v>
          </cell>
          <cell r="BX59">
            <v>6.1892251922949049</v>
          </cell>
          <cell r="CB59">
            <v>2.08541</v>
          </cell>
          <cell r="CD59">
            <v>2.08541</v>
          </cell>
          <cell r="CG59" t="str">
            <v>NUC</v>
          </cell>
          <cell r="CO59" t="str">
            <v>NUC</v>
          </cell>
          <cell r="CP59">
            <v>547.58377788707548</v>
          </cell>
          <cell r="CR59">
            <v>1598.3248345831496</v>
          </cell>
          <cell r="CT59">
            <v>2145.9086124702253</v>
          </cell>
          <cell r="CV59">
            <v>6.1892251922949049</v>
          </cell>
        </row>
        <row r="60">
          <cell r="B60" t="str">
            <v>RES</v>
          </cell>
          <cell r="D60" t="str">
            <v>RESPIRATORY THERAPY</v>
          </cell>
          <cell r="F60" t="str">
            <v>D36</v>
          </cell>
          <cell r="H60">
            <v>2500813.8730860786</v>
          </cell>
          <cell r="J60">
            <v>389200.73999999993</v>
          </cell>
          <cell r="L60">
            <v>2890014.6130860783</v>
          </cell>
          <cell r="N60">
            <v>25.933089743589743</v>
          </cell>
          <cell r="O60" t="str">
            <v>RES</v>
          </cell>
          <cell r="P60">
            <v>2500.8000000000002</v>
          </cell>
          <cell r="R60">
            <v>389.2</v>
          </cell>
          <cell r="T60">
            <v>2890</v>
          </cell>
          <cell r="AD60">
            <v>2500.8000000000002</v>
          </cell>
          <cell r="AF60">
            <v>389.2</v>
          </cell>
          <cell r="AH60">
            <v>2890</v>
          </cell>
          <cell r="AJ60">
            <v>25.933089743589743</v>
          </cell>
          <cell r="AL60">
            <v>0</v>
          </cell>
          <cell r="AN60">
            <v>0</v>
          </cell>
          <cell r="AP60">
            <v>0</v>
          </cell>
          <cell r="AR60">
            <v>0</v>
          </cell>
          <cell r="AT60">
            <v>0.4345831495368328</v>
          </cell>
          <cell r="AV60">
            <v>68.208910454344945</v>
          </cell>
          <cell r="AX60">
            <v>68.64349360388178</v>
          </cell>
          <cell r="AZ60">
            <v>1.2794357164670354E-3</v>
          </cell>
          <cell r="BB60">
            <v>2501.2345831495372</v>
          </cell>
          <cell r="BD60">
            <v>457.40891045434495</v>
          </cell>
          <cell r="BF60">
            <v>2958.6434936038822</v>
          </cell>
          <cell r="BH60">
            <v>25.934369179306209</v>
          </cell>
          <cell r="BJ60">
            <v>0</v>
          </cell>
          <cell r="BN60">
            <v>0</v>
          </cell>
          <cell r="BP60">
            <v>0</v>
          </cell>
          <cell r="BR60">
            <v>2501.2345831495372</v>
          </cell>
          <cell r="BT60">
            <v>457.40891045434495</v>
          </cell>
          <cell r="BV60">
            <v>2958.6434936038822</v>
          </cell>
          <cell r="BX60">
            <v>25.934369179306209</v>
          </cell>
          <cell r="CB60">
            <v>8.7383600000000001</v>
          </cell>
          <cell r="CD60">
            <v>8.7383600000000001</v>
          </cell>
          <cell r="CG60" t="str">
            <v>RES</v>
          </cell>
          <cell r="CO60" t="str">
            <v>RES</v>
          </cell>
          <cell r="CP60">
            <v>2509.9729431495371</v>
          </cell>
          <cell r="CR60">
            <v>457.40891045434495</v>
          </cell>
          <cell r="CT60">
            <v>2967.3818536038821</v>
          </cell>
          <cell r="CV60">
            <v>25.934369179306209</v>
          </cell>
        </row>
        <row r="61">
          <cell r="B61" t="str">
            <v>PUL</v>
          </cell>
          <cell r="D61" t="str">
            <v>PULMONARY FUNCTION</v>
          </cell>
          <cell r="F61" t="str">
            <v>D37</v>
          </cell>
          <cell r="H61">
            <v>115309.26425329995</v>
          </cell>
          <cell r="J61">
            <v>11158.312835929386</v>
          </cell>
          <cell r="L61">
            <v>126467.57708922934</v>
          </cell>
          <cell r="N61">
            <v>1.3809642954551187</v>
          </cell>
          <cell r="O61" t="str">
            <v>PUL</v>
          </cell>
          <cell r="P61">
            <v>115.3</v>
          </cell>
          <cell r="R61">
            <v>11.2</v>
          </cell>
          <cell r="T61">
            <v>126.5</v>
          </cell>
          <cell r="AD61">
            <v>115.3</v>
          </cell>
          <cell r="AF61">
            <v>11.2</v>
          </cell>
          <cell r="AH61">
            <v>126.5</v>
          </cell>
          <cell r="AJ61">
            <v>1.3809642954551187</v>
          </cell>
          <cell r="AL61">
            <v>0</v>
          </cell>
          <cell r="AN61">
            <v>0</v>
          </cell>
          <cell r="AP61">
            <v>0</v>
          </cell>
          <cell r="AR61">
            <v>0</v>
          </cell>
          <cell r="AT61">
            <v>0.32593736215262453</v>
          </cell>
          <cell r="AV61">
            <v>51.156682840758705</v>
          </cell>
          <cell r="AX61">
            <v>51.482620202911328</v>
          </cell>
          <cell r="AZ61">
            <v>9.5957678735027641E-4</v>
          </cell>
          <cell r="BB61">
            <v>115.62593736215263</v>
          </cell>
          <cell r="BD61">
            <v>62.356682840758708</v>
          </cell>
          <cell r="BF61">
            <v>177.98262020291133</v>
          </cell>
          <cell r="BH61">
            <v>1.3819238722424689</v>
          </cell>
          <cell r="BJ61">
            <v>0</v>
          </cell>
          <cell r="BN61">
            <v>0</v>
          </cell>
          <cell r="BP61">
            <v>0</v>
          </cell>
          <cell r="BR61">
            <v>115.62593736215263</v>
          </cell>
          <cell r="BT61">
            <v>62.356682840758708</v>
          </cell>
          <cell r="BV61">
            <v>177.98262020291133</v>
          </cell>
          <cell r="BX61">
            <v>1.3819238722424689</v>
          </cell>
          <cell r="CB61">
            <v>0.46562999999999999</v>
          </cell>
          <cell r="CD61">
            <v>0.46562999999999999</v>
          </cell>
          <cell r="CG61" t="str">
            <v>PUL</v>
          </cell>
          <cell r="CO61" t="str">
            <v>PUL</v>
          </cell>
          <cell r="CP61">
            <v>116.09156736215263</v>
          </cell>
          <cell r="CR61">
            <v>62.356682840758708</v>
          </cell>
          <cell r="CT61">
            <v>178.44825020291134</v>
          </cell>
          <cell r="CV61">
            <v>1.3819238722424689</v>
          </cell>
        </row>
        <row r="62">
          <cell r="B62" t="str">
            <v>EEG</v>
          </cell>
          <cell r="D62" t="str">
            <v>ELECTROENCEPHALOGRAPHY</v>
          </cell>
          <cell r="F62" t="str">
            <v>D38</v>
          </cell>
          <cell r="H62">
            <v>347072.31103139039</v>
          </cell>
          <cell r="J62">
            <v>21547.01999999999</v>
          </cell>
          <cell r="L62">
            <v>368619.33103139035</v>
          </cell>
          <cell r="N62">
            <v>3.8228873425551058</v>
          </cell>
          <cell r="O62" t="str">
            <v>EEG</v>
          </cell>
          <cell r="P62">
            <v>347.1</v>
          </cell>
          <cell r="R62">
            <v>21.5</v>
          </cell>
          <cell r="T62">
            <v>368.6</v>
          </cell>
          <cell r="AD62">
            <v>347.1</v>
          </cell>
          <cell r="AF62">
            <v>21.5</v>
          </cell>
          <cell r="AH62">
            <v>368.6</v>
          </cell>
          <cell r="AJ62">
            <v>3.8228873425551058</v>
          </cell>
          <cell r="AL62">
            <v>0</v>
          </cell>
          <cell r="AN62">
            <v>0</v>
          </cell>
          <cell r="AP62">
            <v>0</v>
          </cell>
          <cell r="AR62">
            <v>0</v>
          </cell>
          <cell r="AT62">
            <v>0.47079841199823552</v>
          </cell>
          <cell r="AV62">
            <v>73.892986325540363</v>
          </cell>
          <cell r="AX62">
            <v>74.363784737538595</v>
          </cell>
          <cell r="AZ62">
            <v>1.3860553595059549E-3</v>
          </cell>
          <cell r="BB62">
            <v>347.57079841199828</v>
          </cell>
          <cell r="BD62">
            <v>95.392986325540363</v>
          </cell>
          <cell r="BF62">
            <v>442.96378473753862</v>
          </cell>
          <cell r="BH62">
            <v>3.8242733979146117</v>
          </cell>
          <cell r="BJ62">
            <v>0</v>
          </cell>
          <cell r="BN62">
            <v>0</v>
          </cell>
          <cell r="BP62">
            <v>0</v>
          </cell>
          <cell r="BR62">
            <v>347.57079841199828</v>
          </cell>
          <cell r="BT62">
            <v>95.392986325540363</v>
          </cell>
          <cell r="BV62">
            <v>442.96378473753862</v>
          </cell>
          <cell r="BX62">
            <v>3.8242733979146117</v>
          </cell>
          <cell r="CB62">
            <v>1.2885599999999999</v>
          </cell>
          <cell r="CD62">
            <v>1.2885599999999999</v>
          </cell>
          <cell r="CG62" t="str">
            <v>EEG</v>
          </cell>
          <cell r="CO62" t="str">
            <v>EEG</v>
          </cell>
          <cell r="CP62">
            <v>348.8593584119983</v>
          </cell>
          <cell r="CR62">
            <v>95.392986325540363</v>
          </cell>
          <cell r="CT62">
            <v>444.25234473753869</v>
          </cell>
          <cell r="CV62">
            <v>3.8242733979146117</v>
          </cell>
        </row>
        <row r="63">
          <cell r="B63" t="str">
            <v>PTH</v>
          </cell>
          <cell r="D63" t="str">
            <v>PHYSICAL THERAPY</v>
          </cell>
          <cell r="F63" t="str">
            <v>D39</v>
          </cell>
          <cell r="H63">
            <v>1220239.8522483653</v>
          </cell>
          <cell r="J63">
            <v>106419.72418023055</v>
          </cell>
          <cell r="L63">
            <v>1326659.5764285959</v>
          </cell>
          <cell r="N63">
            <v>12.238221153846155</v>
          </cell>
          <cell r="O63" t="str">
            <v>PTH</v>
          </cell>
          <cell r="P63">
            <v>1220.2</v>
          </cell>
          <cell r="R63">
            <v>106.4</v>
          </cell>
          <cell r="T63">
            <v>1326.6000000000001</v>
          </cell>
          <cell r="AD63">
            <v>1220.2</v>
          </cell>
          <cell r="AF63">
            <v>106.4</v>
          </cell>
          <cell r="AH63">
            <v>1326.6000000000001</v>
          </cell>
          <cell r="AJ63">
            <v>12.238221153846155</v>
          </cell>
          <cell r="AL63">
            <v>0</v>
          </cell>
          <cell r="AN63">
            <v>0</v>
          </cell>
          <cell r="AP63">
            <v>0</v>
          </cell>
          <cell r="AR63">
            <v>0</v>
          </cell>
          <cell r="AT63">
            <v>0.36215262461402736</v>
          </cell>
          <cell r="AV63">
            <v>56.840758711954123</v>
          </cell>
          <cell r="AX63">
            <v>57.20291133656815</v>
          </cell>
          <cell r="AZ63">
            <v>1.0661964303891962E-3</v>
          </cell>
          <cell r="BB63">
            <v>1220.5621526246141</v>
          </cell>
          <cell r="BD63">
            <v>163.24075871195413</v>
          </cell>
          <cell r="BF63">
            <v>1383.8029113365683</v>
          </cell>
          <cell r="BH63">
            <v>12.239287350276545</v>
          </cell>
          <cell r="BJ63">
            <v>0</v>
          </cell>
          <cell r="BN63">
            <v>0</v>
          </cell>
          <cell r="BP63">
            <v>0</v>
          </cell>
          <cell r="BR63">
            <v>1220.5621526246141</v>
          </cell>
          <cell r="BT63">
            <v>163.24075871195413</v>
          </cell>
          <cell r="BV63">
            <v>1383.8029113365683</v>
          </cell>
          <cell r="BX63">
            <v>12.239287350276545</v>
          </cell>
          <cell r="CB63">
            <v>4.12392</v>
          </cell>
          <cell r="CD63">
            <v>4.12392</v>
          </cell>
          <cell r="CG63" t="str">
            <v>PTH</v>
          </cell>
          <cell r="CO63" t="str">
            <v>PTH</v>
          </cell>
          <cell r="CP63">
            <v>1224.6860726246141</v>
          </cell>
          <cell r="CR63">
            <v>163.24075871195413</v>
          </cell>
          <cell r="CT63">
            <v>1387.9268313365683</v>
          </cell>
          <cell r="CV63">
            <v>12.239287350276545</v>
          </cell>
        </row>
        <row r="64">
          <cell r="B64" t="str">
            <v>OTH</v>
          </cell>
          <cell r="D64" t="str">
            <v>OCCUPATIONAL THERAPY</v>
          </cell>
          <cell r="F64" t="str">
            <v>D40</v>
          </cell>
          <cell r="H64">
            <v>1304208.2894824471</v>
          </cell>
          <cell r="J64">
            <v>5227.9699999999993</v>
          </cell>
          <cell r="L64">
            <v>1309436.2594824471</v>
          </cell>
          <cell r="N64">
            <v>13.937379807692308</v>
          </cell>
          <cell r="O64" t="str">
            <v>OTH</v>
          </cell>
          <cell r="P64">
            <v>1304.2</v>
          </cell>
          <cell r="R64">
            <v>5.2</v>
          </cell>
          <cell r="T64">
            <v>1309.4000000000001</v>
          </cell>
          <cell r="AD64">
            <v>1304.2</v>
          </cell>
          <cell r="AF64">
            <v>5.2</v>
          </cell>
          <cell r="AH64">
            <v>1309.4000000000001</v>
          </cell>
          <cell r="AJ64">
            <v>13.937379807692308</v>
          </cell>
          <cell r="AL64">
            <v>0</v>
          </cell>
          <cell r="AN64">
            <v>0</v>
          </cell>
          <cell r="AP64">
            <v>0</v>
          </cell>
          <cell r="AR64">
            <v>0</v>
          </cell>
          <cell r="AT64">
            <v>0.2172915747684164</v>
          </cell>
          <cell r="AV64">
            <v>34.104455227172473</v>
          </cell>
          <cell r="AX64">
            <v>34.32174680194089</v>
          </cell>
          <cell r="AZ64">
            <v>6.3971785823351772E-4</v>
          </cell>
          <cell r="BB64">
            <v>1304.4172915747686</v>
          </cell>
          <cell r="BD64">
            <v>39.304455227172475</v>
          </cell>
          <cell r="BF64">
            <v>1343.721746801941</v>
          </cell>
          <cell r="BH64">
            <v>13.938019525550541</v>
          </cell>
          <cell r="BJ64">
            <v>0</v>
          </cell>
          <cell r="BN64">
            <v>0</v>
          </cell>
          <cell r="BP64">
            <v>0</v>
          </cell>
          <cell r="BR64">
            <v>1304.4172915747686</v>
          </cell>
          <cell r="BT64">
            <v>39.304455227172475</v>
          </cell>
          <cell r="BV64">
            <v>1343.721746801941</v>
          </cell>
          <cell r="BX64">
            <v>13.938019525550541</v>
          </cell>
          <cell r="CB64">
            <v>4.6962900000000003</v>
          </cell>
          <cell r="CD64">
            <v>4.6962900000000003</v>
          </cell>
          <cell r="CG64" t="str">
            <v>OTH</v>
          </cell>
          <cell r="CO64" t="str">
            <v>OTH</v>
          </cell>
          <cell r="CP64">
            <v>1309.1135815747687</v>
          </cell>
          <cell r="CR64">
            <v>39.304455227172475</v>
          </cell>
          <cell r="CT64">
            <v>1348.4180368019411</v>
          </cell>
          <cell r="CV64">
            <v>13.938019525550541</v>
          </cell>
        </row>
        <row r="65">
          <cell r="B65" t="str">
            <v>STH</v>
          </cell>
          <cell r="D65" t="str">
            <v>SPEECH LANGUAGE PATHOLOGY</v>
          </cell>
          <cell r="F65" t="str">
            <v>D41</v>
          </cell>
          <cell r="H65">
            <v>162965.80667164596</v>
          </cell>
          <cell r="J65">
            <v>2741.9500000000003</v>
          </cell>
          <cell r="L65">
            <v>165707.75667164597</v>
          </cell>
          <cell r="N65">
            <v>1.3858173076923077</v>
          </cell>
          <cell r="O65" t="str">
            <v>STH</v>
          </cell>
          <cell r="P65">
            <v>163</v>
          </cell>
          <cell r="R65">
            <v>2.7</v>
          </cell>
          <cell r="T65">
            <v>165.7</v>
          </cell>
          <cell r="AD65">
            <v>163</v>
          </cell>
          <cell r="AF65">
            <v>2.7</v>
          </cell>
          <cell r="AH65">
            <v>165.7</v>
          </cell>
          <cell r="AJ65">
            <v>1.3858173076923077</v>
          </cell>
          <cell r="AL65">
            <v>0</v>
          </cell>
          <cell r="AN65">
            <v>0</v>
          </cell>
          <cell r="AP65">
            <v>0</v>
          </cell>
          <cell r="AR65">
            <v>0</v>
          </cell>
          <cell r="AT65">
            <v>0</v>
          </cell>
          <cell r="AV65">
            <v>0</v>
          </cell>
          <cell r="AX65">
            <v>0</v>
          </cell>
          <cell r="AZ65">
            <v>0</v>
          </cell>
          <cell r="BB65">
            <v>163</v>
          </cell>
          <cell r="BD65">
            <v>2.7</v>
          </cell>
          <cell r="BF65">
            <v>165.7</v>
          </cell>
          <cell r="BH65">
            <v>1.3858173076923077</v>
          </cell>
          <cell r="BJ65">
            <v>0</v>
          </cell>
          <cell r="BN65">
            <v>0</v>
          </cell>
          <cell r="BP65">
            <v>0</v>
          </cell>
          <cell r="BR65">
            <v>163</v>
          </cell>
          <cell r="BT65">
            <v>2.7</v>
          </cell>
          <cell r="BV65">
            <v>165.7</v>
          </cell>
          <cell r="BX65">
            <v>1.3858173076923077</v>
          </cell>
          <cell r="CB65">
            <v>0.46694000000000002</v>
          </cell>
          <cell r="CD65">
            <v>0.46694000000000002</v>
          </cell>
          <cell r="CG65" t="str">
            <v>STH</v>
          </cell>
          <cell r="CO65" t="str">
            <v>STH</v>
          </cell>
          <cell r="CP65">
            <v>163.46693999999999</v>
          </cell>
          <cell r="CR65">
            <v>2.7</v>
          </cell>
          <cell r="CT65">
            <v>166.16693999999998</v>
          </cell>
          <cell r="CV65">
            <v>1.3858173076923077</v>
          </cell>
        </row>
        <row r="66">
          <cell r="B66" t="str">
            <v>REC</v>
          </cell>
          <cell r="D66" t="str">
            <v>RECREATIONAL THERAPY</v>
          </cell>
          <cell r="F66" t="str">
            <v>D42</v>
          </cell>
          <cell r="H66">
            <v>0</v>
          </cell>
          <cell r="J66">
            <v>0</v>
          </cell>
          <cell r="L66">
            <v>0</v>
          </cell>
          <cell r="N66">
            <v>0</v>
          </cell>
          <cell r="O66" t="str">
            <v>REC</v>
          </cell>
          <cell r="P66">
            <v>0</v>
          </cell>
          <cell r="R66">
            <v>0</v>
          </cell>
          <cell r="T66">
            <v>0</v>
          </cell>
          <cell r="AD66">
            <v>0</v>
          </cell>
          <cell r="AF66">
            <v>0</v>
          </cell>
          <cell r="AH66">
            <v>0</v>
          </cell>
          <cell r="AJ66">
            <v>0</v>
          </cell>
          <cell r="AL66">
            <v>0</v>
          </cell>
          <cell r="AN66">
            <v>0</v>
          </cell>
          <cell r="AP66">
            <v>0</v>
          </cell>
          <cell r="AR66">
            <v>0</v>
          </cell>
          <cell r="AT66">
            <v>0</v>
          </cell>
          <cell r="AV66">
            <v>0</v>
          </cell>
          <cell r="AX66">
            <v>0</v>
          </cell>
          <cell r="AZ66">
            <v>0</v>
          </cell>
          <cell r="BB66">
            <v>0</v>
          </cell>
          <cell r="BD66">
            <v>0</v>
          </cell>
          <cell r="BF66">
            <v>0</v>
          </cell>
          <cell r="BH66">
            <v>0</v>
          </cell>
          <cell r="BJ66">
            <v>0</v>
          </cell>
          <cell r="BN66">
            <v>0</v>
          </cell>
          <cell r="BP66">
            <v>0</v>
          </cell>
          <cell r="BR66">
            <v>0</v>
          </cell>
          <cell r="BT66">
            <v>0</v>
          </cell>
          <cell r="BV66">
            <v>0</v>
          </cell>
          <cell r="BX66">
            <v>0</v>
          </cell>
          <cell r="CB66">
            <v>0</v>
          </cell>
          <cell r="CD66">
            <v>0</v>
          </cell>
          <cell r="CG66" t="str">
            <v>REC</v>
          </cell>
          <cell r="CO66" t="str">
            <v>REC</v>
          </cell>
          <cell r="CP66">
            <v>0</v>
          </cell>
          <cell r="CR66">
            <v>0</v>
          </cell>
          <cell r="CT66">
            <v>0</v>
          </cell>
          <cell r="CV66">
            <v>0</v>
          </cell>
        </row>
        <row r="67">
          <cell r="B67" t="str">
            <v>AUD</v>
          </cell>
          <cell r="D67" t="str">
            <v>AUDIOLOGY</v>
          </cell>
          <cell r="F67" t="str">
            <v>D43</v>
          </cell>
          <cell r="H67">
            <v>0</v>
          </cell>
          <cell r="J67">
            <v>100500</v>
          </cell>
          <cell r="L67">
            <v>100500</v>
          </cell>
          <cell r="N67">
            <v>0</v>
          </cell>
          <cell r="O67" t="str">
            <v>AUD</v>
          </cell>
          <cell r="P67">
            <v>0</v>
          </cell>
          <cell r="R67">
            <v>100.5</v>
          </cell>
          <cell r="T67">
            <v>100.5</v>
          </cell>
          <cell r="AD67">
            <v>0</v>
          </cell>
          <cell r="AF67">
            <v>100.5</v>
          </cell>
          <cell r="AH67">
            <v>100.5</v>
          </cell>
          <cell r="AJ67">
            <v>0</v>
          </cell>
          <cell r="AL67">
            <v>0</v>
          </cell>
          <cell r="AN67">
            <v>0</v>
          </cell>
          <cell r="AP67">
            <v>0</v>
          </cell>
          <cell r="AR67">
            <v>0</v>
          </cell>
          <cell r="AT67">
            <v>0</v>
          </cell>
          <cell r="AV67">
            <v>0</v>
          </cell>
          <cell r="AX67">
            <v>0</v>
          </cell>
          <cell r="AZ67">
            <v>0</v>
          </cell>
          <cell r="BB67">
            <v>0</v>
          </cell>
          <cell r="BD67">
            <v>100.5</v>
          </cell>
          <cell r="BF67">
            <v>100.5</v>
          </cell>
          <cell r="BH67">
            <v>0</v>
          </cell>
          <cell r="BJ67">
            <v>0</v>
          </cell>
          <cell r="BN67">
            <v>0</v>
          </cell>
          <cell r="BP67">
            <v>0</v>
          </cell>
          <cell r="BR67">
            <v>0</v>
          </cell>
          <cell r="BT67">
            <v>100.5</v>
          </cell>
          <cell r="BV67">
            <v>100.5</v>
          </cell>
          <cell r="BX67">
            <v>0</v>
          </cell>
          <cell r="CB67">
            <v>0</v>
          </cell>
          <cell r="CD67">
            <v>0</v>
          </cell>
          <cell r="CG67" t="str">
            <v>AUD</v>
          </cell>
          <cell r="CO67" t="str">
            <v>AUD</v>
          </cell>
          <cell r="CP67">
            <v>0</v>
          </cell>
          <cell r="CR67">
            <v>100.5</v>
          </cell>
          <cell r="CT67">
            <v>100.5</v>
          </cell>
          <cell r="CV67">
            <v>0</v>
          </cell>
        </row>
        <row r="68">
          <cell r="B68" t="str">
            <v>OPM</v>
          </cell>
          <cell r="D68" t="str">
            <v>OTHER PHYSICAL MEDICINE</v>
          </cell>
          <cell r="F68" t="str">
            <v>D44</v>
          </cell>
          <cell r="H68">
            <v>0</v>
          </cell>
          <cell r="J68">
            <v>0</v>
          </cell>
          <cell r="L68">
            <v>0</v>
          </cell>
          <cell r="N68">
            <v>0</v>
          </cell>
          <cell r="O68" t="str">
            <v>OPM</v>
          </cell>
          <cell r="P68">
            <v>0</v>
          </cell>
          <cell r="R68">
            <v>0</v>
          </cell>
          <cell r="T68">
            <v>0</v>
          </cell>
          <cell r="AD68">
            <v>0</v>
          </cell>
          <cell r="AF68">
            <v>0</v>
          </cell>
          <cell r="AH68">
            <v>0</v>
          </cell>
          <cell r="AJ68">
            <v>0</v>
          </cell>
          <cell r="AL68">
            <v>0</v>
          </cell>
          <cell r="AN68">
            <v>0</v>
          </cell>
          <cell r="AP68">
            <v>0</v>
          </cell>
          <cell r="AR68">
            <v>0</v>
          </cell>
          <cell r="AT68">
            <v>0</v>
          </cell>
          <cell r="AV68">
            <v>0</v>
          </cell>
          <cell r="AX68">
            <v>0</v>
          </cell>
          <cell r="AZ68">
            <v>0</v>
          </cell>
          <cell r="BB68">
            <v>0</v>
          </cell>
          <cell r="BD68">
            <v>0</v>
          </cell>
          <cell r="BF68">
            <v>0</v>
          </cell>
          <cell r="BH68">
            <v>0</v>
          </cell>
          <cell r="BJ68">
            <v>0</v>
          </cell>
          <cell r="BN68">
            <v>0</v>
          </cell>
          <cell r="BP68">
            <v>0</v>
          </cell>
          <cell r="BR68">
            <v>0</v>
          </cell>
          <cell r="BT68">
            <v>0</v>
          </cell>
          <cell r="BV68">
            <v>0</v>
          </cell>
          <cell r="BX68">
            <v>0</v>
          </cell>
          <cell r="CB68">
            <v>0</v>
          </cell>
          <cell r="CD68">
            <v>0</v>
          </cell>
          <cell r="CG68" t="str">
            <v>OPM</v>
          </cell>
          <cell r="CO68" t="str">
            <v>OPM</v>
          </cell>
          <cell r="CP68">
            <v>0</v>
          </cell>
          <cell r="CR68">
            <v>0</v>
          </cell>
          <cell r="CT68">
            <v>0</v>
          </cell>
          <cell r="CV68">
            <v>0</v>
          </cell>
        </row>
        <row r="69">
          <cell r="B69" t="str">
            <v>RDL</v>
          </cell>
          <cell r="D69" t="str">
            <v>RENAL DIALYSIS</v>
          </cell>
          <cell r="F69" t="str">
            <v>D45</v>
          </cell>
          <cell r="H69">
            <v>0</v>
          </cell>
          <cell r="J69">
            <v>0</v>
          </cell>
          <cell r="L69">
            <v>0</v>
          </cell>
          <cell r="N69">
            <v>0</v>
          </cell>
          <cell r="O69" t="str">
            <v>RDL</v>
          </cell>
          <cell r="P69">
            <v>0</v>
          </cell>
          <cell r="R69">
            <v>0</v>
          </cell>
          <cell r="T69">
            <v>0</v>
          </cell>
          <cell r="AD69">
            <v>0</v>
          </cell>
          <cell r="AF69">
            <v>0</v>
          </cell>
          <cell r="AH69">
            <v>0</v>
          </cell>
          <cell r="AJ69">
            <v>0</v>
          </cell>
          <cell r="AL69">
            <v>0</v>
          </cell>
          <cell r="AN69">
            <v>0</v>
          </cell>
          <cell r="AP69">
            <v>0</v>
          </cell>
          <cell r="AR69">
            <v>0</v>
          </cell>
          <cell r="AT69">
            <v>0</v>
          </cell>
          <cell r="AV69">
            <v>0</v>
          </cell>
          <cell r="AX69">
            <v>0</v>
          </cell>
          <cell r="AZ69">
            <v>0</v>
          </cell>
          <cell r="BB69">
            <v>0</v>
          </cell>
          <cell r="BD69">
            <v>0</v>
          </cell>
          <cell r="BF69">
            <v>0</v>
          </cell>
          <cell r="BH69">
            <v>0</v>
          </cell>
          <cell r="BJ69">
            <v>0</v>
          </cell>
          <cell r="BN69">
            <v>0</v>
          </cell>
          <cell r="BP69">
            <v>0</v>
          </cell>
          <cell r="BR69">
            <v>0</v>
          </cell>
          <cell r="BT69">
            <v>0</v>
          </cell>
          <cell r="BV69">
            <v>0</v>
          </cell>
          <cell r="BX69">
            <v>0</v>
          </cell>
          <cell r="CB69">
            <v>0</v>
          </cell>
          <cell r="CD69">
            <v>0</v>
          </cell>
          <cell r="CG69" t="str">
            <v>RDL</v>
          </cell>
          <cell r="CO69" t="str">
            <v>RDL</v>
          </cell>
          <cell r="CP69">
            <v>0</v>
          </cell>
          <cell r="CR69">
            <v>0</v>
          </cell>
          <cell r="CT69">
            <v>0</v>
          </cell>
          <cell r="CV69">
            <v>0</v>
          </cell>
        </row>
        <row r="70">
          <cell r="B70" t="str">
            <v>OA</v>
          </cell>
          <cell r="D70" t="str">
            <v>ORGAN ACQUISITION</v>
          </cell>
          <cell r="F70" t="str">
            <v>D46</v>
          </cell>
          <cell r="H70">
            <v>0</v>
          </cell>
          <cell r="J70">
            <v>0</v>
          </cell>
          <cell r="L70">
            <v>0</v>
          </cell>
          <cell r="N70">
            <v>0</v>
          </cell>
          <cell r="O70" t="str">
            <v>OA</v>
          </cell>
          <cell r="P70">
            <v>0</v>
          </cell>
          <cell r="R70">
            <v>0</v>
          </cell>
          <cell r="T70">
            <v>0</v>
          </cell>
          <cell r="AD70">
            <v>0</v>
          </cell>
          <cell r="AF70">
            <v>0</v>
          </cell>
          <cell r="AH70">
            <v>0</v>
          </cell>
          <cell r="AJ70">
            <v>0</v>
          </cell>
          <cell r="AL70">
            <v>0</v>
          </cell>
          <cell r="AN70">
            <v>0</v>
          </cell>
          <cell r="AP70">
            <v>0</v>
          </cell>
          <cell r="AR70">
            <v>0</v>
          </cell>
          <cell r="AT70">
            <v>0</v>
          </cell>
          <cell r="AV70">
            <v>0</v>
          </cell>
          <cell r="AX70">
            <v>0</v>
          </cell>
          <cell r="AZ70">
            <v>0</v>
          </cell>
          <cell r="BB70">
            <v>0</v>
          </cell>
          <cell r="BD70">
            <v>0</v>
          </cell>
          <cell r="BF70">
            <v>0</v>
          </cell>
          <cell r="BH70">
            <v>0</v>
          </cell>
          <cell r="BJ70">
            <v>0</v>
          </cell>
          <cell r="BN70">
            <v>0</v>
          </cell>
          <cell r="BP70">
            <v>0</v>
          </cell>
          <cell r="BR70">
            <v>0</v>
          </cell>
          <cell r="BT70">
            <v>0</v>
          </cell>
          <cell r="BV70">
            <v>0</v>
          </cell>
          <cell r="BX70">
            <v>0</v>
          </cell>
          <cell r="CB70">
            <v>0</v>
          </cell>
          <cell r="CD70">
            <v>0</v>
          </cell>
          <cell r="CG70" t="str">
            <v>OA</v>
          </cell>
          <cell r="CO70" t="str">
            <v>OA</v>
          </cell>
          <cell r="CP70">
            <v>0</v>
          </cell>
          <cell r="CR70">
            <v>0</v>
          </cell>
          <cell r="CT70">
            <v>0</v>
          </cell>
          <cell r="CV70">
            <v>0</v>
          </cell>
        </row>
        <row r="71">
          <cell r="B71" t="str">
            <v>AOR</v>
          </cell>
          <cell r="D71" t="str">
            <v>AMBULATORY SURGERY SVCS</v>
          </cell>
          <cell r="F71" t="str">
            <v>D47</v>
          </cell>
          <cell r="H71">
            <v>0</v>
          </cell>
          <cell r="J71">
            <v>0</v>
          </cell>
          <cell r="L71">
            <v>0</v>
          </cell>
          <cell r="N71">
            <v>0</v>
          </cell>
          <cell r="O71" t="str">
            <v>AOR</v>
          </cell>
          <cell r="P71">
            <v>0</v>
          </cell>
          <cell r="R71">
            <v>0</v>
          </cell>
          <cell r="T71">
            <v>0</v>
          </cell>
          <cell r="AD71">
            <v>0</v>
          </cell>
          <cell r="AF71">
            <v>0</v>
          </cell>
          <cell r="AH71">
            <v>0</v>
          </cell>
          <cell r="AJ71">
            <v>0</v>
          </cell>
          <cell r="AL71">
            <v>0</v>
          </cell>
          <cell r="AN71">
            <v>0</v>
          </cell>
          <cell r="AP71">
            <v>0</v>
          </cell>
          <cell r="AR71">
            <v>0</v>
          </cell>
          <cell r="AT71">
            <v>0</v>
          </cell>
          <cell r="AV71">
            <v>0</v>
          </cell>
          <cell r="AX71">
            <v>0</v>
          </cell>
          <cell r="AZ71">
            <v>0</v>
          </cell>
          <cell r="BB71">
            <v>0</v>
          </cell>
          <cell r="BD71">
            <v>0</v>
          </cell>
          <cell r="BF71">
            <v>0</v>
          </cell>
          <cell r="BH71">
            <v>0</v>
          </cell>
          <cell r="BJ71">
            <v>0</v>
          </cell>
          <cell r="BN71">
            <v>0</v>
          </cell>
          <cell r="BP71">
            <v>0</v>
          </cell>
          <cell r="BR71">
            <v>0</v>
          </cell>
          <cell r="BT71">
            <v>0</v>
          </cell>
          <cell r="BV71">
            <v>0</v>
          </cell>
          <cell r="BX71">
            <v>0</v>
          </cell>
          <cell r="CB71">
            <v>0</v>
          </cell>
          <cell r="CD71">
            <v>0</v>
          </cell>
          <cell r="CG71" t="str">
            <v>AOR</v>
          </cell>
          <cell r="CO71" t="str">
            <v>AOR</v>
          </cell>
          <cell r="CP71">
            <v>0</v>
          </cell>
          <cell r="CR71">
            <v>0</v>
          </cell>
          <cell r="CT71">
            <v>0</v>
          </cell>
          <cell r="CV71">
            <v>0</v>
          </cell>
        </row>
        <row r="72">
          <cell r="B72" t="str">
            <v>LEU</v>
          </cell>
          <cell r="D72" t="str">
            <v>LEUKOPHERESIS</v>
          </cell>
          <cell r="F72" t="str">
            <v>D48</v>
          </cell>
          <cell r="H72">
            <v>0</v>
          </cell>
          <cell r="J72">
            <v>0</v>
          </cell>
          <cell r="L72">
            <v>0</v>
          </cell>
          <cell r="N72">
            <v>0</v>
          </cell>
          <cell r="O72" t="str">
            <v>LEU</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LEU</v>
          </cell>
          <cell r="CO72" t="str">
            <v>LEU</v>
          </cell>
          <cell r="CP72">
            <v>0</v>
          </cell>
          <cell r="CR72">
            <v>0</v>
          </cell>
          <cell r="CT72">
            <v>0</v>
          </cell>
          <cell r="CV72">
            <v>0</v>
          </cell>
        </row>
        <row r="73">
          <cell r="B73" t="str">
            <v>HYP</v>
          </cell>
          <cell r="D73" t="str">
            <v>HYPERBARIC CHAMBER</v>
          </cell>
          <cell r="F73" t="str">
            <v>D49</v>
          </cell>
          <cell r="H73">
            <v>0</v>
          </cell>
          <cell r="J73">
            <v>0</v>
          </cell>
          <cell r="L73">
            <v>0</v>
          </cell>
          <cell r="N73">
            <v>0</v>
          </cell>
          <cell r="O73" t="str">
            <v>HYP</v>
          </cell>
          <cell r="P73">
            <v>0</v>
          </cell>
          <cell r="R73">
            <v>0</v>
          </cell>
          <cell r="T73">
            <v>0</v>
          </cell>
          <cell r="AD73">
            <v>0</v>
          </cell>
          <cell r="AF73">
            <v>0</v>
          </cell>
          <cell r="AH73">
            <v>0</v>
          </cell>
          <cell r="AJ73">
            <v>0</v>
          </cell>
          <cell r="AL73">
            <v>0</v>
          </cell>
          <cell r="AN73">
            <v>0</v>
          </cell>
          <cell r="AP73">
            <v>0</v>
          </cell>
          <cell r="AR73">
            <v>0</v>
          </cell>
          <cell r="AT73">
            <v>0</v>
          </cell>
          <cell r="AV73">
            <v>0</v>
          </cell>
          <cell r="AX73">
            <v>0</v>
          </cell>
          <cell r="AZ73">
            <v>0</v>
          </cell>
          <cell r="BB73">
            <v>0</v>
          </cell>
          <cell r="BD73">
            <v>0</v>
          </cell>
          <cell r="BF73">
            <v>0</v>
          </cell>
          <cell r="BH73">
            <v>0</v>
          </cell>
          <cell r="BJ73">
            <v>0</v>
          </cell>
          <cell r="BN73">
            <v>0</v>
          </cell>
          <cell r="BP73">
            <v>0</v>
          </cell>
          <cell r="BR73">
            <v>0</v>
          </cell>
          <cell r="BT73">
            <v>0</v>
          </cell>
          <cell r="BV73">
            <v>0</v>
          </cell>
          <cell r="BX73">
            <v>0</v>
          </cell>
          <cell r="CB73">
            <v>0</v>
          </cell>
          <cell r="CD73">
            <v>0</v>
          </cell>
          <cell r="CG73" t="str">
            <v>HYP</v>
          </cell>
          <cell r="CO73" t="str">
            <v>HYP</v>
          </cell>
          <cell r="CP73">
            <v>0</v>
          </cell>
          <cell r="CR73">
            <v>0</v>
          </cell>
          <cell r="CT73">
            <v>0</v>
          </cell>
          <cell r="CV73">
            <v>0</v>
          </cell>
        </row>
        <row r="74">
          <cell r="B74" t="str">
            <v>FSE</v>
          </cell>
          <cell r="D74" t="str">
            <v>FREE STANDING EMERGENCY</v>
          </cell>
          <cell r="F74" t="str">
            <v>D50</v>
          </cell>
          <cell r="H74">
            <v>0</v>
          </cell>
          <cell r="J74">
            <v>0</v>
          </cell>
          <cell r="L74">
            <v>0</v>
          </cell>
          <cell r="N74">
            <v>0</v>
          </cell>
          <cell r="O74" t="str">
            <v>FSE</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FSE</v>
          </cell>
          <cell r="CO74" t="str">
            <v>FSE</v>
          </cell>
          <cell r="CP74">
            <v>0</v>
          </cell>
          <cell r="CR74">
            <v>0</v>
          </cell>
          <cell r="CT74">
            <v>0</v>
          </cell>
          <cell r="CV74">
            <v>0</v>
          </cell>
        </row>
        <row r="75">
          <cell r="B75" t="str">
            <v>MRI</v>
          </cell>
          <cell r="D75" t="str">
            <v>MAGNETIC RESONANCE IMAGING</v>
          </cell>
          <cell r="F75" t="str">
            <v>D51</v>
          </cell>
          <cell r="H75">
            <v>13458.13616812508</v>
          </cell>
          <cell r="J75">
            <v>790413.03073018207</v>
          </cell>
          <cell r="L75">
            <v>803871.16689830716</v>
          </cell>
          <cell r="N75">
            <v>0.41601918294015816</v>
          </cell>
          <cell r="O75" t="str">
            <v>MRI</v>
          </cell>
          <cell r="P75">
            <v>13.5</v>
          </cell>
          <cell r="R75">
            <v>790.4</v>
          </cell>
          <cell r="T75">
            <v>803.9</v>
          </cell>
          <cell r="AD75">
            <v>13.5</v>
          </cell>
          <cell r="AF75">
            <v>790.4</v>
          </cell>
          <cell r="AH75">
            <v>803.9</v>
          </cell>
          <cell r="AJ75">
            <v>0.41601918294015816</v>
          </cell>
          <cell r="AL75">
            <v>0</v>
          </cell>
          <cell r="AN75">
            <v>0</v>
          </cell>
          <cell r="AP75">
            <v>0</v>
          </cell>
          <cell r="AR75">
            <v>0</v>
          </cell>
          <cell r="AT75">
            <v>0</v>
          </cell>
          <cell r="AV75">
            <v>0</v>
          </cell>
          <cell r="AX75">
            <v>0</v>
          </cell>
          <cell r="AZ75">
            <v>0</v>
          </cell>
          <cell r="BB75">
            <v>13.5</v>
          </cell>
          <cell r="BD75">
            <v>790.4</v>
          </cell>
          <cell r="BF75">
            <v>803.9</v>
          </cell>
          <cell r="BH75">
            <v>0.41601918294015816</v>
          </cell>
          <cell r="BJ75">
            <v>0</v>
          </cell>
          <cell r="BN75">
            <v>0</v>
          </cell>
          <cell r="BP75">
            <v>0</v>
          </cell>
          <cell r="BR75">
            <v>13.5</v>
          </cell>
          <cell r="BT75">
            <v>790.4</v>
          </cell>
          <cell r="BV75">
            <v>803.9</v>
          </cell>
          <cell r="BX75">
            <v>0.41601918294015816</v>
          </cell>
          <cell r="CB75">
            <v>0.14016999999999999</v>
          </cell>
          <cell r="CD75">
            <v>0.14016999999999999</v>
          </cell>
          <cell r="CG75" t="str">
            <v>MRI</v>
          </cell>
          <cell r="CO75" t="str">
            <v>MRI</v>
          </cell>
          <cell r="CP75">
            <v>13.640169999999999</v>
          </cell>
          <cell r="CR75">
            <v>790.4</v>
          </cell>
          <cell r="CT75">
            <v>804.04016999999999</v>
          </cell>
          <cell r="CV75">
            <v>0.41601918294015816</v>
          </cell>
        </row>
        <row r="76">
          <cell r="B76" t="str">
            <v>ADD</v>
          </cell>
          <cell r="D76" t="str">
            <v>ADOLESCENT DUAL DIAGNOSED</v>
          </cell>
          <cell r="F76" t="str">
            <v>D52</v>
          </cell>
          <cell r="H76">
            <v>0</v>
          </cell>
          <cell r="J76">
            <v>0</v>
          </cell>
          <cell r="L76">
            <v>0</v>
          </cell>
          <cell r="N76">
            <v>0</v>
          </cell>
          <cell r="O76" t="str">
            <v>ADD</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ADD</v>
          </cell>
          <cell r="CO76" t="str">
            <v>CNA</v>
          </cell>
          <cell r="CP76">
            <v>0</v>
          </cell>
          <cell r="CR76">
            <v>0</v>
          </cell>
          <cell r="CT76">
            <v>0</v>
          </cell>
          <cell r="CV76">
            <v>0</v>
          </cell>
        </row>
        <row r="77">
          <cell r="B77" t="str">
            <v>LIT</v>
          </cell>
          <cell r="D77" t="str">
            <v>LITHOTRIPSY</v>
          </cell>
          <cell r="F77" t="str">
            <v>D53</v>
          </cell>
          <cell r="H77">
            <v>0</v>
          </cell>
          <cell r="J77">
            <v>24000</v>
          </cell>
          <cell r="L77">
            <v>24000</v>
          </cell>
          <cell r="N77">
            <v>0</v>
          </cell>
          <cell r="O77" t="str">
            <v>LIT</v>
          </cell>
          <cell r="P77">
            <v>0</v>
          </cell>
          <cell r="R77">
            <v>24</v>
          </cell>
          <cell r="T77">
            <v>24</v>
          </cell>
          <cell r="AD77">
            <v>0</v>
          </cell>
          <cell r="AF77">
            <v>24</v>
          </cell>
          <cell r="AH77">
            <v>24</v>
          </cell>
          <cell r="AJ77">
            <v>0</v>
          </cell>
          <cell r="AL77">
            <v>0</v>
          </cell>
          <cell r="AN77">
            <v>0</v>
          </cell>
          <cell r="AP77">
            <v>0</v>
          </cell>
          <cell r="AR77">
            <v>0</v>
          </cell>
          <cell r="AT77">
            <v>0</v>
          </cell>
          <cell r="AV77">
            <v>0</v>
          </cell>
          <cell r="AX77">
            <v>0</v>
          </cell>
          <cell r="AZ77">
            <v>0</v>
          </cell>
          <cell r="BB77">
            <v>0</v>
          </cell>
          <cell r="BD77">
            <v>24</v>
          </cell>
          <cell r="BF77">
            <v>24</v>
          </cell>
          <cell r="BH77">
            <v>0</v>
          </cell>
          <cell r="BJ77">
            <v>0</v>
          </cell>
          <cell r="BN77">
            <v>0</v>
          </cell>
          <cell r="BP77">
            <v>0</v>
          </cell>
          <cell r="BR77">
            <v>0</v>
          </cell>
          <cell r="BT77">
            <v>24</v>
          </cell>
          <cell r="BV77">
            <v>24</v>
          </cell>
          <cell r="BX77">
            <v>0</v>
          </cell>
          <cell r="CB77">
            <v>0</v>
          </cell>
          <cell r="CD77">
            <v>0</v>
          </cell>
          <cell r="CG77" t="str">
            <v>LIT</v>
          </cell>
          <cell r="CO77" t="str">
            <v>LIT</v>
          </cell>
          <cell r="CP77">
            <v>0</v>
          </cell>
          <cell r="CR77">
            <v>24</v>
          </cell>
          <cell r="CT77">
            <v>24</v>
          </cell>
          <cell r="CV77">
            <v>0</v>
          </cell>
        </row>
        <row r="78">
          <cell r="B78" t="str">
            <v>RHB</v>
          </cell>
          <cell r="D78" t="str">
            <v>REHABILITATION</v>
          </cell>
          <cell r="F78" t="str">
            <v>D54</v>
          </cell>
          <cell r="H78">
            <v>0</v>
          </cell>
          <cell r="J78">
            <v>0</v>
          </cell>
          <cell r="L78">
            <v>0</v>
          </cell>
          <cell r="N78">
            <v>0</v>
          </cell>
          <cell r="O78" t="str">
            <v>RHB</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RHB</v>
          </cell>
          <cell r="CO78" t="str">
            <v>RHB</v>
          </cell>
          <cell r="CP78">
            <v>0</v>
          </cell>
          <cell r="CR78">
            <v>0</v>
          </cell>
          <cell r="CT78">
            <v>0</v>
          </cell>
          <cell r="CV78">
            <v>0</v>
          </cell>
        </row>
        <row r="79">
          <cell r="B79" t="str">
            <v>OBV</v>
          </cell>
          <cell r="D79" t="str">
            <v>OBSERVATION</v>
          </cell>
          <cell r="F79" t="str">
            <v>D55</v>
          </cell>
          <cell r="H79">
            <v>1155817.9871927283</v>
          </cell>
          <cell r="J79">
            <v>51255.340573300877</v>
          </cell>
          <cell r="L79">
            <v>1207073.3277660292</v>
          </cell>
          <cell r="N79">
            <v>13.360608033994877</v>
          </cell>
          <cell r="O79" t="str">
            <v>OBV</v>
          </cell>
          <cell r="P79">
            <v>1155.8</v>
          </cell>
          <cell r="R79">
            <v>51.3</v>
          </cell>
          <cell r="T79">
            <v>1207.0999999999999</v>
          </cell>
          <cell r="AD79">
            <v>1155.8</v>
          </cell>
          <cell r="AF79">
            <v>51.3</v>
          </cell>
          <cell r="AH79">
            <v>1207.0999999999999</v>
          </cell>
          <cell r="AJ79">
            <v>13.360608033994877</v>
          </cell>
          <cell r="AL79">
            <v>0</v>
          </cell>
          <cell r="AN79">
            <v>0</v>
          </cell>
          <cell r="AP79">
            <v>0</v>
          </cell>
          <cell r="AR79">
            <v>0</v>
          </cell>
          <cell r="AT79">
            <v>0.7544363475959418</v>
          </cell>
          <cell r="AV79">
            <v>118.41066854874283</v>
          </cell>
          <cell r="AX79">
            <v>119.16510489633878</v>
          </cell>
          <cell r="AZ79">
            <v>2.2211004037867737E-3</v>
          </cell>
          <cell r="BB79">
            <v>1156.5544363475958</v>
          </cell>
          <cell r="BD79">
            <v>169.71066854874283</v>
          </cell>
          <cell r="BF79">
            <v>1326.2651048963387</v>
          </cell>
          <cell r="BH79">
            <v>13.362829134398664</v>
          </cell>
          <cell r="BJ79">
            <v>0</v>
          </cell>
          <cell r="BN79">
            <v>0</v>
          </cell>
          <cell r="BR79">
            <v>1156.5544363475958</v>
          </cell>
          <cell r="BT79">
            <v>169.71066854874283</v>
          </cell>
          <cell r="BV79">
            <v>1326.2651048963387</v>
          </cell>
          <cell r="BX79">
            <v>13.362829134398664</v>
          </cell>
          <cell r="CB79">
            <v>4.5024899999999999</v>
          </cell>
          <cell r="CD79">
            <v>4.5024899999999999</v>
          </cell>
          <cell r="CG79" t="str">
            <v>OBV</v>
          </cell>
          <cell r="CO79" t="str">
            <v>OBV</v>
          </cell>
          <cell r="CP79">
            <v>1161.0569263475959</v>
          </cell>
          <cell r="CR79">
            <v>169.71066854874283</v>
          </cell>
          <cell r="CT79">
            <v>1330.7675948963388</v>
          </cell>
          <cell r="CV79">
            <v>13.362829134398664</v>
          </cell>
        </row>
        <row r="80">
          <cell r="B80" t="str">
            <v>AMR</v>
          </cell>
          <cell r="D80" t="str">
            <v>AMBULANCE REBUNDLED SVCS</v>
          </cell>
          <cell r="F80" t="str">
            <v>D56</v>
          </cell>
          <cell r="H80">
            <v>0</v>
          </cell>
          <cell r="J80">
            <v>115571.89</v>
          </cell>
          <cell r="L80">
            <v>115571.89</v>
          </cell>
          <cell r="N80">
            <v>0</v>
          </cell>
          <cell r="O80" t="str">
            <v>AMR</v>
          </cell>
          <cell r="P80">
            <v>0</v>
          </cell>
          <cell r="R80">
            <v>115.6</v>
          </cell>
          <cell r="T80">
            <v>115.6</v>
          </cell>
          <cell r="AD80">
            <v>0</v>
          </cell>
          <cell r="AF80">
            <v>115.6</v>
          </cell>
          <cell r="AH80">
            <v>115.6</v>
          </cell>
          <cell r="AJ80">
            <v>0</v>
          </cell>
          <cell r="AL80">
            <v>0</v>
          </cell>
          <cell r="AN80">
            <v>0</v>
          </cell>
          <cell r="AP80">
            <v>0</v>
          </cell>
          <cell r="AR80">
            <v>0</v>
          </cell>
          <cell r="AT80">
            <v>0.28972209969122187</v>
          </cell>
          <cell r="AV80">
            <v>45.472606969563294</v>
          </cell>
          <cell r="AX80">
            <v>45.76232906925452</v>
          </cell>
          <cell r="AZ80">
            <v>8.5295714431135692E-4</v>
          </cell>
          <cell r="BB80">
            <v>0.28972209969122187</v>
          </cell>
          <cell r="BD80">
            <v>161.07260696956328</v>
          </cell>
          <cell r="BF80">
            <v>161.36232906925451</v>
          </cell>
          <cell r="BH80">
            <v>8.5295714431135692E-4</v>
          </cell>
          <cell r="BJ80">
            <v>0</v>
          </cell>
          <cell r="BN80">
            <v>0</v>
          </cell>
          <cell r="BR80">
            <v>0.28972209969122187</v>
          </cell>
          <cell r="BT80">
            <v>161.07260696956328</v>
          </cell>
          <cell r="BV80">
            <v>161.36232906925451</v>
          </cell>
          <cell r="BX80">
            <v>8.5295714431135692E-4</v>
          </cell>
          <cell r="CB80">
            <v>2.9E-4</v>
          </cell>
          <cell r="CD80">
            <v>2.9E-4</v>
          </cell>
          <cell r="CG80" t="str">
            <v>AMR</v>
          </cell>
          <cell r="CO80" t="str">
            <v>AMR</v>
          </cell>
          <cell r="CP80">
            <v>0.29001209969122188</v>
          </cell>
          <cell r="CR80">
            <v>161.07260696956328</v>
          </cell>
          <cell r="CT80">
            <v>161.36261906925449</v>
          </cell>
          <cell r="CV80">
            <v>8.5295714431135692E-4</v>
          </cell>
        </row>
        <row r="81">
          <cell r="B81" t="str">
            <v>TMT</v>
          </cell>
          <cell r="D81" t="str">
            <v>TRANSURETHAL MICROWAVE THERMOTHERAPY</v>
          </cell>
          <cell r="F81" t="str">
            <v>D57</v>
          </cell>
          <cell r="H81">
            <v>0</v>
          </cell>
          <cell r="J81">
            <v>0</v>
          </cell>
          <cell r="L81">
            <v>0</v>
          </cell>
          <cell r="N81">
            <v>0</v>
          </cell>
          <cell r="O81" t="str">
            <v>TMT</v>
          </cell>
          <cell r="P81">
            <v>0</v>
          </cell>
          <cell r="R81">
            <v>0</v>
          </cell>
          <cell r="T81">
            <v>0</v>
          </cell>
          <cell r="AD81">
            <v>0</v>
          </cell>
          <cell r="AF81">
            <v>0</v>
          </cell>
          <cell r="AH81">
            <v>0</v>
          </cell>
          <cell r="AJ81">
            <v>0</v>
          </cell>
          <cell r="AL81">
            <v>0</v>
          </cell>
          <cell r="AN81">
            <v>0</v>
          </cell>
          <cell r="AP81">
            <v>0</v>
          </cell>
          <cell r="AR81">
            <v>0</v>
          </cell>
          <cell r="AT81">
            <v>0</v>
          </cell>
          <cell r="AV81">
            <v>0</v>
          </cell>
          <cell r="AX81">
            <v>0</v>
          </cell>
          <cell r="AZ81">
            <v>0</v>
          </cell>
          <cell r="BB81">
            <v>0</v>
          </cell>
          <cell r="BD81">
            <v>0</v>
          </cell>
          <cell r="BF81">
            <v>0</v>
          </cell>
          <cell r="BH81">
            <v>0</v>
          </cell>
          <cell r="BJ81">
            <v>0</v>
          </cell>
          <cell r="BN81">
            <v>0</v>
          </cell>
          <cell r="BR81">
            <v>0</v>
          </cell>
          <cell r="BT81">
            <v>0</v>
          </cell>
          <cell r="BV81">
            <v>0</v>
          </cell>
          <cell r="BX81">
            <v>0</v>
          </cell>
          <cell r="CB81">
            <v>0</v>
          </cell>
          <cell r="CD81">
            <v>0</v>
          </cell>
          <cell r="CG81" t="str">
            <v>TMT</v>
          </cell>
          <cell r="CO81" t="str">
            <v>AMR</v>
          </cell>
          <cell r="CP81">
            <v>0</v>
          </cell>
          <cell r="CR81">
            <v>0</v>
          </cell>
          <cell r="CT81">
            <v>0</v>
          </cell>
          <cell r="CV81">
            <v>0</v>
          </cell>
        </row>
        <row r="82">
          <cell r="B82" t="str">
            <v>OCL</v>
          </cell>
          <cell r="D82" t="str">
            <v>ONCOLOGY O/P CLINIC</v>
          </cell>
          <cell r="F82" t="str">
            <v>D58</v>
          </cell>
          <cell r="H82">
            <v>0</v>
          </cell>
          <cell r="J82">
            <v>0</v>
          </cell>
          <cell r="L82">
            <v>0</v>
          </cell>
          <cell r="N82">
            <v>0</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R82">
            <v>0</v>
          </cell>
          <cell r="BT82">
            <v>0</v>
          </cell>
          <cell r="BV82">
            <v>0</v>
          </cell>
          <cell r="BX82">
            <v>0</v>
          </cell>
          <cell r="CB82">
            <v>0</v>
          </cell>
          <cell r="CD82">
            <v>0</v>
          </cell>
          <cell r="CP82">
            <v>0</v>
          </cell>
          <cell r="CR82">
            <v>0</v>
          </cell>
          <cell r="CT82">
            <v>0</v>
          </cell>
          <cell r="CV82">
            <v>0</v>
          </cell>
        </row>
        <row r="83">
          <cell r="B83" t="str">
            <v>TNA</v>
          </cell>
          <cell r="D83" t="str">
            <v>TRANSURETHAL NEEDLE ABLATION</v>
          </cell>
          <cell r="F83" t="str">
            <v>D59</v>
          </cell>
          <cell r="H83">
            <v>0</v>
          </cell>
          <cell r="J83">
            <v>0</v>
          </cell>
          <cell r="L83">
            <v>0</v>
          </cell>
          <cell r="N83">
            <v>0</v>
          </cell>
          <cell r="P83">
            <v>0</v>
          </cell>
          <cell r="R83">
            <v>0</v>
          </cell>
          <cell r="T83">
            <v>0</v>
          </cell>
          <cell r="AD83">
            <v>0</v>
          </cell>
          <cell r="AF83">
            <v>0</v>
          </cell>
          <cell r="AH83">
            <v>0</v>
          </cell>
          <cell r="AJ83">
            <v>0</v>
          </cell>
          <cell r="AL83">
            <v>0</v>
          </cell>
          <cell r="AN83">
            <v>0</v>
          </cell>
          <cell r="AP83">
            <v>0</v>
          </cell>
          <cell r="AR83">
            <v>0</v>
          </cell>
          <cell r="AT83">
            <v>3.6215262461402734E-2</v>
          </cell>
          <cell r="AV83">
            <v>5.6840758711954118</v>
          </cell>
          <cell r="AX83">
            <v>5.720291133656815</v>
          </cell>
          <cell r="AZ83">
            <v>1.0661964303891961E-4</v>
          </cell>
          <cell r="BB83">
            <v>3.6215262461402734E-2</v>
          </cell>
          <cell r="BD83">
            <v>5.6840758711954118</v>
          </cell>
          <cell r="BF83">
            <v>5.720291133656815</v>
          </cell>
          <cell r="BH83">
            <v>1.0661964303891961E-4</v>
          </cell>
          <cell r="BJ83">
            <v>0</v>
          </cell>
          <cell r="BN83">
            <v>0</v>
          </cell>
          <cell r="BR83">
            <v>3.6215262461402734E-2</v>
          </cell>
          <cell r="BT83">
            <v>5.6840758711954118</v>
          </cell>
          <cell r="BV83">
            <v>5.720291133656815</v>
          </cell>
          <cell r="BX83">
            <v>1.0661964303891961E-4</v>
          </cell>
          <cell r="CB83">
            <v>4.0000000000000003E-5</v>
          </cell>
          <cell r="CD83">
            <v>4.0000000000000003E-5</v>
          </cell>
          <cell r="CP83">
            <v>3.6255262461402732E-2</v>
          </cell>
          <cell r="CR83">
            <v>5.6840758711954118</v>
          </cell>
          <cell r="CT83">
            <v>5.7203311336568143</v>
          </cell>
          <cell r="CV83">
            <v>1.0661964303891961E-4</v>
          </cell>
        </row>
        <row r="84">
          <cell r="B84" t="str">
            <v>PAD</v>
          </cell>
          <cell r="D84" t="str">
            <v>PSYCH ADULT</v>
          </cell>
          <cell r="F84" t="str">
            <v>D70</v>
          </cell>
          <cell r="H84">
            <v>0</v>
          </cell>
          <cell r="J84">
            <v>0</v>
          </cell>
          <cell r="L84">
            <v>0</v>
          </cell>
          <cell r="N84">
            <v>0</v>
          </cell>
          <cell r="O84" t="str">
            <v>PAD</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PAD</v>
          </cell>
          <cell r="CO84" t="str">
            <v>PAD</v>
          </cell>
          <cell r="CP84">
            <v>0</v>
          </cell>
          <cell r="CR84">
            <v>0</v>
          </cell>
          <cell r="CT84">
            <v>0</v>
          </cell>
          <cell r="CV84">
            <v>0</v>
          </cell>
        </row>
        <row r="85">
          <cell r="B85" t="str">
            <v>PCD</v>
          </cell>
          <cell r="D85" t="str">
            <v>PSYCH CHILD/ADOLESCENT</v>
          </cell>
          <cell r="F85" t="str">
            <v>D71</v>
          </cell>
          <cell r="H85">
            <v>0</v>
          </cell>
          <cell r="J85">
            <v>0</v>
          </cell>
          <cell r="L85">
            <v>0</v>
          </cell>
          <cell r="N85">
            <v>0</v>
          </cell>
          <cell r="O85" t="str">
            <v>PCD</v>
          </cell>
          <cell r="P85">
            <v>0</v>
          </cell>
          <cell r="R85">
            <v>0</v>
          </cell>
          <cell r="T85">
            <v>0</v>
          </cell>
          <cell r="AD85">
            <v>0</v>
          </cell>
          <cell r="AF85">
            <v>0</v>
          </cell>
          <cell r="AH85">
            <v>0</v>
          </cell>
          <cell r="AJ85">
            <v>0</v>
          </cell>
          <cell r="AL85">
            <v>0</v>
          </cell>
          <cell r="AN85">
            <v>0</v>
          </cell>
          <cell r="AP85">
            <v>0</v>
          </cell>
          <cell r="AR85">
            <v>0</v>
          </cell>
          <cell r="AT85">
            <v>0</v>
          </cell>
          <cell r="AV85">
            <v>0</v>
          </cell>
          <cell r="AX85">
            <v>0</v>
          </cell>
          <cell r="AZ85">
            <v>0</v>
          </cell>
          <cell r="BB85">
            <v>0</v>
          </cell>
          <cell r="BD85">
            <v>0</v>
          </cell>
          <cell r="BF85">
            <v>0</v>
          </cell>
          <cell r="BH85">
            <v>0</v>
          </cell>
          <cell r="BJ85">
            <v>0</v>
          </cell>
          <cell r="BN85">
            <v>0</v>
          </cell>
          <cell r="BP85">
            <v>0</v>
          </cell>
          <cell r="BR85">
            <v>0</v>
          </cell>
          <cell r="BT85">
            <v>0</v>
          </cell>
          <cell r="BV85">
            <v>0</v>
          </cell>
          <cell r="BX85">
            <v>0</v>
          </cell>
          <cell r="CB85">
            <v>0</v>
          </cell>
          <cell r="CD85">
            <v>0</v>
          </cell>
          <cell r="CG85" t="str">
            <v>PCD</v>
          </cell>
          <cell r="CO85" t="str">
            <v>PCD</v>
          </cell>
          <cell r="CP85">
            <v>0</v>
          </cell>
          <cell r="CR85">
            <v>0</v>
          </cell>
          <cell r="CT85">
            <v>0</v>
          </cell>
          <cell r="CV85">
            <v>0</v>
          </cell>
        </row>
        <row r="86">
          <cell r="B86" t="str">
            <v>PSG</v>
          </cell>
          <cell r="D86" t="str">
            <v>PSYCH GERIATRIC</v>
          </cell>
          <cell r="F86" t="str">
            <v>D73</v>
          </cell>
          <cell r="H86">
            <v>0</v>
          </cell>
          <cell r="J86">
            <v>0</v>
          </cell>
          <cell r="L86">
            <v>0</v>
          </cell>
          <cell r="N86">
            <v>0</v>
          </cell>
          <cell r="O86" t="str">
            <v>PSG</v>
          </cell>
          <cell r="P86">
            <v>0</v>
          </cell>
          <cell r="R86">
            <v>0</v>
          </cell>
          <cell r="T86">
            <v>0</v>
          </cell>
          <cell r="AD86">
            <v>0</v>
          </cell>
          <cell r="AF86">
            <v>0</v>
          </cell>
          <cell r="AH86">
            <v>0</v>
          </cell>
          <cell r="AJ86">
            <v>0</v>
          </cell>
          <cell r="AL86">
            <v>0</v>
          </cell>
          <cell r="AN86">
            <v>0</v>
          </cell>
          <cell r="AP86">
            <v>0</v>
          </cell>
          <cell r="AR86">
            <v>0</v>
          </cell>
          <cell r="AT86">
            <v>0</v>
          </cell>
          <cell r="AV86">
            <v>0</v>
          </cell>
          <cell r="AX86">
            <v>0</v>
          </cell>
          <cell r="AZ86">
            <v>0</v>
          </cell>
          <cell r="BB86">
            <v>0</v>
          </cell>
          <cell r="BD86">
            <v>0</v>
          </cell>
          <cell r="BF86">
            <v>0</v>
          </cell>
          <cell r="BH86">
            <v>0</v>
          </cell>
          <cell r="BJ86">
            <v>0</v>
          </cell>
          <cell r="BN86">
            <v>0</v>
          </cell>
          <cell r="BP86">
            <v>0</v>
          </cell>
          <cell r="BR86">
            <v>0</v>
          </cell>
          <cell r="BT86">
            <v>0</v>
          </cell>
          <cell r="BV86">
            <v>0</v>
          </cell>
          <cell r="BX86">
            <v>0</v>
          </cell>
          <cell r="CB86">
            <v>0</v>
          </cell>
          <cell r="CD86">
            <v>0</v>
          </cell>
          <cell r="CG86" t="str">
            <v>PSG</v>
          </cell>
          <cell r="CO86" t="str">
            <v>PSG</v>
          </cell>
          <cell r="CP86">
            <v>0</v>
          </cell>
          <cell r="CR86">
            <v>0</v>
          </cell>
          <cell r="CT86">
            <v>0</v>
          </cell>
          <cell r="CV86">
            <v>0</v>
          </cell>
        </row>
        <row r="87">
          <cell r="B87" t="str">
            <v>ITH</v>
          </cell>
          <cell r="D87" t="str">
            <v>INDIVIDUAL THERAPIES</v>
          </cell>
          <cell r="F87" t="str">
            <v>D74</v>
          </cell>
          <cell r="H87">
            <v>0</v>
          </cell>
          <cell r="J87">
            <v>0</v>
          </cell>
          <cell r="L87">
            <v>0</v>
          </cell>
          <cell r="N87">
            <v>0</v>
          </cell>
          <cell r="O87" t="str">
            <v>ITH</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P87">
            <v>0</v>
          </cell>
          <cell r="BR87">
            <v>0</v>
          </cell>
          <cell r="BT87">
            <v>0</v>
          </cell>
          <cell r="BV87">
            <v>0</v>
          </cell>
          <cell r="BX87">
            <v>0</v>
          </cell>
          <cell r="CB87">
            <v>0</v>
          </cell>
          <cell r="CD87">
            <v>0</v>
          </cell>
          <cell r="CG87" t="str">
            <v>ITH</v>
          </cell>
          <cell r="CO87" t="str">
            <v>ITH</v>
          </cell>
          <cell r="CP87">
            <v>0</v>
          </cell>
          <cell r="CR87">
            <v>0</v>
          </cell>
          <cell r="CT87">
            <v>0</v>
          </cell>
          <cell r="CV87">
            <v>0</v>
          </cell>
        </row>
        <row r="88">
          <cell r="B88" t="str">
            <v>GTH</v>
          </cell>
          <cell r="D88" t="str">
            <v>GROUP THERAPIES</v>
          </cell>
          <cell r="F88" t="str">
            <v>D75</v>
          </cell>
          <cell r="H88">
            <v>0</v>
          </cell>
          <cell r="J88">
            <v>0</v>
          </cell>
          <cell r="L88">
            <v>0</v>
          </cell>
          <cell r="N88">
            <v>0</v>
          </cell>
          <cell r="O88" t="str">
            <v>GTH</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P88">
            <v>0</v>
          </cell>
          <cell r="BR88">
            <v>0</v>
          </cell>
          <cell r="BT88">
            <v>0</v>
          </cell>
          <cell r="BV88">
            <v>0</v>
          </cell>
          <cell r="BX88">
            <v>0</v>
          </cell>
          <cell r="CB88">
            <v>0</v>
          </cell>
          <cell r="CD88">
            <v>0</v>
          </cell>
          <cell r="CG88" t="str">
            <v>GTH</v>
          </cell>
          <cell r="CO88" t="str">
            <v>GTH</v>
          </cell>
          <cell r="CP88">
            <v>0</v>
          </cell>
          <cell r="CR88">
            <v>0</v>
          </cell>
          <cell r="CT88">
            <v>0</v>
          </cell>
          <cell r="CV88">
            <v>0</v>
          </cell>
        </row>
        <row r="89">
          <cell r="B89" t="str">
            <v>FTH</v>
          </cell>
          <cell r="D89" t="str">
            <v>FAMILY THERAPIES</v>
          </cell>
          <cell r="F89" t="str">
            <v>D76</v>
          </cell>
          <cell r="H89">
            <v>0</v>
          </cell>
          <cell r="J89">
            <v>0</v>
          </cell>
          <cell r="L89">
            <v>0</v>
          </cell>
          <cell r="N89">
            <v>0</v>
          </cell>
          <cell r="O89" t="str">
            <v>FTH</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P89">
            <v>0</v>
          </cell>
          <cell r="BR89">
            <v>0</v>
          </cell>
          <cell r="BT89">
            <v>0</v>
          </cell>
          <cell r="BV89">
            <v>0</v>
          </cell>
          <cell r="BX89">
            <v>0</v>
          </cell>
          <cell r="CB89">
            <v>0</v>
          </cell>
          <cell r="CD89">
            <v>0</v>
          </cell>
          <cell r="CG89" t="str">
            <v>FTH</v>
          </cell>
          <cell r="CO89" t="str">
            <v>FTH</v>
          </cell>
          <cell r="CP89">
            <v>0</v>
          </cell>
          <cell r="CR89">
            <v>0</v>
          </cell>
          <cell r="CT89">
            <v>0</v>
          </cell>
          <cell r="CV89">
            <v>0</v>
          </cell>
        </row>
        <row r="90">
          <cell r="B90" t="str">
            <v>PST</v>
          </cell>
          <cell r="D90" t="str">
            <v>PSYCHOLOGICAL TESTING</v>
          </cell>
          <cell r="F90" t="str">
            <v>D77</v>
          </cell>
          <cell r="H90">
            <v>0</v>
          </cell>
          <cell r="J90">
            <v>0</v>
          </cell>
          <cell r="L90">
            <v>0</v>
          </cell>
          <cell r="N90">
            <v>0</v>
          </cell>
          <cell r="O90" t="str">
            <v>PST</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PST</v>
          </cell>
          <cell r="CO90" t="str">
            <v>PST</v>
          </cell>
          <cell r="CP90">
            <v>0</v>
          </cell>
          <cell r="CR90">
            <v>0</v>
          </cell>
          <cell r="CT90">
            <v>0</v>
          </cell>
          <cell r="CV90">
            <v>0</v>
          </cell>
        </row>
        <row r="91">
          <cell r="B91" t="str">
            <v>PSE</v>
          </cell>
          <cell r="D91" t="str">
            <v>EDUCATION</v>
          </cell>
          <cell r="F91" t="str">
            <v>D78</v>
          </cell>
          <cell r="H91">
            <v>0</v>
          </cell>
          <cell r="J91">
            <v>0</v>
          </cell>
          <cell r="L91">
            <v>0</v>
          </cell>
          <cell r="N91">
            <v>0</v>
          </cell>
          <cell r="O91" t="str">
            <v>PSE</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PSE</v>
          </cell>
          <cell r="CO91" t="str">
            <v>PSE</v>
          </cell>
          <cell r="CP91">
            <v>0</v>
          </cell>
          <cell r="CR91">
            <v>0</v>
          </cell>
          <cell r="CT91">
            <v>0</v>
          </cell>
          <cell r="CV91">
            <v>0</v>
          </cell>
        </row>
        <row r="92">
          <cell r="B92" t="str">
            <v>OPT</v>
          </cell>
          <cell r="D92" t="str">
            <v>OTHER THERAPIES</v>
          </cell>
          <cell r="F92" t="str">
            <v>D79</v>
          </cell>
          <cell r="H92">
            <v>0</v>
          </cell>
          <cell r="J92">
            <v>0</v>
          </cell>
          <cell r="L92">
            <v>0</v>
          </cell>
          <cell r="N92">
            <v>0</v>
          </cell>
          <cell r="O92" t="str">
            <v>OPT</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OPT</v>
          </cell>
          <cell r="CO92" t="str">
            <v>OPT</v>
          </cell>
          <cell r="CP92">
            <v>0</v>
          </cell>
          <cell r="CR92">
            <v>0</v>
          </cell>
          <cell r="CT92">
            <v>0</v>
          </cell>
          <cell r="CV92">
            <v>0</v>
          </cell>
        </row>
        <row r="93">
          <cell r="B93" t="str">
            <v>ETH</v>
          </cell>
          <cell r="D93" t="str">
            <v>ELECTROCONVULSIVE THERAPY</v>
          </cell>
          <cell r="F93" t="str">
            <v>D80</v>
          </cell>
          <cell r="H93">
            <v>0</v>
          </cell>
          <cell r="J93">
            <v>0</v>
          </cell>
          <cell r="L93">
            <v>0</v>
          </cell>
          <cell r="N93">
            <v>0</v>
          </cell>
          <cell r="O93" t="str">
            <v>ETH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ETH</v>
          </cell>
          <cell r="CO93" t="str">
            <v>ETH</v>
          </cell>
          <cell r="CP93">
            <v>0</v>
          </cell>
          <cell r="CR93">
            <v>0</v>
          </cell>
          <cell r="CT93">
            <v>0</v>
          </cell>
          <cell r="CV93">
            <v>0</v>
          </cell>
        </row>
        <row r="94">
          <cell r="B94" t="str">
            <v>ATH</v>
          </cell>
          <cell r="D94" t="str">
            <v>ACTIVITY THERAPIES</v>
          </cell>
          <cell r="F94" t="str">
            <v>D81</v>
          </cell>
          <cell r="H94">
            <v>0</v>
          </cell>
          <cell r="J94">
            <v>0</v>
          </cell>
          <cell r="L94">
            <v>0</v>
          </cell>
          <cell r="N94">
            <v>0</v>
          </cell>
          <cell r="O94" t="str">
            <v>ATH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ATH</v>
          </cell>
          <cell r="CO94" t="str">
            <v>ATH</v>
          </cell>
          <cell r="CP94">
            <v>0</v>
          </cell>
          <cell r="CR94">
            <v>0</v>
          </cell>
          <cell r="CT94">
            <v>0</v>
          </cell>
          <cell r="CV94">
            <v>0</v>
          </cell>
        </row>
        <row r="95">
          <cell r="B95" t="str">
            <v>EDP</v>
          </cell>
          <cell r="D95" t="str">
            <v>DATA PROCESSING</v>
          </cell>
          <cell r="F95" t="str">
            <v>DP1</v>
          </cell>
          <cell r="H95">
            <v>82078.977583687432</v>
          </cell>
          <cell r="J95">
            <v>12885763.25</v>
          </cell>
          <cell r="L95">
            <v>12967842.227583688</v>
          </cell>
          <cell r="N95">
            <v>0.24170673076923077</v>
          </cell>
          <cell r="O95" t="str">
            <v>EDP</v>
          </cell>
          <cell r="P95">
            <v>82.1</v>
          </cell>
          <cell r="R95">
            <v>12885.8</v>
          </cell>
          <cell r="T95">
            <v>12967.9</v>
          </cell>
          <cell r="X95">
            <v>0</v>
          </cell>
          <cell r="Z95">
            <v>0</v>
          </cell>
          <cell r="AD95">
            <v>82.1</v>
          </cell>
          <cell r="AF95">
            <v>12885.8</v>
          </cell>
          <cell r="AH95">
            <v>12967.9</v>
          </cell>
          <cell r="AJ95">
            <v>0.24170673076923077</v>
          </cell>
          <cell r="AL95">
            <v>0</v>
          </cell>
          <cell r="AN95">
            <v>0</v>
          </cell>
          <cell r="AP95">
            <v>0</v>
          </cell>
          <cell r="AR95">
            <v>0</v>
          </cell>
          <cell r="AT95">
            <v>-82.099999999999952</v>
          </cell>
          <cell r="AV95">
            <v>-12885.799999999997</v>
          </cell>
          <cell r="AX95">
            <v>-12967.899999999998</v>
          </cell>
          <cell r="AZ95">
            <v>-0.24170673076923083</v>
          </cell>
          <cell r="BB95">
            <v>0</v>
          </cell>
          <cell r="BD95">
            <v>0</v>
          </cell>
          <cell r="BF95">
            <v>0</v>
          </cell>
          <cell r="BH95">
            <v>0</v>
          </cell>
          <cell r="BN95">
            <v>0</v>
          </cell>
          <cell r="BR95">
            <v>0</v>
          </cell>
          <cell r="BT95">
            <v>0</v>
          </cell>
          <cell r="BV95">
            <v>0</v>
          </cell>
          <cell r="BX95">
            <v>0</v>
          </cell>
          <cell r="CD95">
            <v>0</v>
          </cell>
          <cell r="CG95" t="str">
            <v>EDP</v>
          </cell>
          <cell r="CO95" t="str">
            <v>EDP</v>
          </cell>
          <cell r="CP95">
            <v>0</v>
          </cell>
          <cell r="CR95">
            <v>0</v>
          </cell>
          <cell r="CT95">
            <v>0</v>
          </cell>
          <cell r="CV95">
            <v>0</v>
          </cell>
        </row>
        <row r="96">
          <cell r="B96" t="str">
            <v>AMB</v>
          </cell>
          <cell r="D96" t="str">
            <v>AMBULANCE SERVICE</v>
          </cell>
          <cell r="F96" t="str">
            <v>E1</v>
          </cell>
          <cell r="H96">
            <v>0</v>
          </cell>
          <cell r="J96">
            <v>0</v>
          </cell>
          <cell r="L96">
            <v>0</v>
          </cell>
          <cell r="N96">
            <v>0</v>
          </cell>
          <cell r="O96" t="str">
            <v>AMB</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N96">
            <v>0</v>
          </cell>
          <cell r="BR96">
            <v>0</v>
          </cell>
          <cell r="BT96">
            <v>0</v>
          </cell>
          <cell r="BV96">
            <v>0</v>
          </cell>
          <cell r="BX96">
            <v>0</v>
          </cell>
          <cell r="CB96">
            <v>0</v>
          </cell>
          <cell r="CD96">
            <v>0</v>
          </cell>
          <cell r="CG96" t="str">
            <v>AMB</v>
          </cell>
          <cell r="CH96">
            <v>0</v>
          </cell>
          <cell r="CJ96">
            <v>0</v>
          </cell>
          <cell r="CL96">
            <v>0</v>
          </cell>
          <cell r="CN96">
            <v>0</v>
          </cell>
          <cell r="CO96" t="str">
            <v>AMB</v>
          </cell>
          <cell r="CP96">
            <v>0</v>
          </cell>
          <cell r="CR96">
            <v>0</v>
          </cell>
          <cell r="CT96">
            <v>0</v>
          </cell>
          <cell r="CV96">
            <v>0</v>
          </cell>
        </row>
        <row r="97">
          <cell r="B97" t="str">
            <v>PAR</v>
          </cell>
          <cell r="D97" t="str">
            <v>PARKING</v>
          </cell>
          <cell r="F97" t="str">
            <v>E2</v>
          </cell>
          <cell r="H97">
            <v>486096.30523517111</v>
          </cell>
          <cell r="J97">
            <v>160882.76999999999</v>
          </cell>
          <cell r="L97">
            <v>646979.07523517113</v>
          </cell>
          <cell r="N97">
            <v>11.866105769230769</v>
          </cell>
          <cell r="O97" t="str">
            <v>PAR</v>
          </cell>
          <cell r="P97">
            <v>486.1</v>
          </cell>
          <cell r="R97">
            <v>160.9</v>
          </cell>
          <cell r="T97">
            <v>647</v>
          </cell>
          <cell r="AD97">
            <v>486.1</v>
          </cell>
          <cell r="AF97">
            <v>160.9</v>
          </cell>
          <cell r="AH97">
            <v>647</v>
          </cell>
          <cell r="AJ97">
            <v>11.866105769230769</v>
          </cell>
          <cell r="AL97">
            <v>0</v>
          </cell>
          <cell r="AN97">
            <v>0</v>
          </cell>
          <cell r="AP97">
            <v>0</v>
          </cell>
          <cell r="AR97">
            <v>0</v>
          </cell>
          <cell r="AT97">
            <v>0</v>
          </cell>
          <cell r="AV97">
            <v>0</v>
          </cell>
          <cell r="AX97">
            <v>0</v>
          </cell>
          <cell r="AZ97">
            <v>0</v>
          </cell>
          <cell r="BB97">
            <v>486.1</v>
          </cell>
          <cell r="BD97">
            <v>160.9</v>
          </cell>
          <cell r="BF97">
            <v>647</v>
          </cell>
          <cell r="BH97">
            <v>11.866105769230769</v>
          </cell>
          <cell r="BN97">
            <v>0</v>
          </cell>
          <cell r="BR97">
            <v>486.1</v>
          </cell>
          <cell r="BT97">
            <v>160.9</v>
          </cell>
          <cell r="BV97">
            <v>647</v>
          </cell>
          <cell r="BX97">
            <v>11.866105769230769</v>
          </cell>
          <cell r="CD97">
            <v>0</v>
          </cell>
          <cell r="CG97" t="str">
            <v>PAR</v>
          </cell>
          <cell r="CH97">
            <v>19.271425771578574</v>
          </cell>
          <cell r="CJ97">
            <v>39.247814274602433</v>
          </cell>
          <cell r="CL97">
            <v>58.519240046181011</v>
          </cell>
          <cell r="CN97">
            <v>0.16490690175280032</v>
          </cell>
          <cell r="CO97" t="str">
            <v>PAR</v>
          </cell>
          <cell r="CP97">
            <v>505.37142577157857</v>
          </cell>
          <cell r="CR97">
            <v>200.14781427460244</v>
          </cell>
          <cell r="CT97">
            <v>705.51924004618104</v>
          </cell>
          <cell r="CV97">
            <v>12.03101267098357</v>
          </cell>
        </row>
        <row r="98">
          <cell r="B98" t="str">
            <v>DPO</v>
          </cell>
          <cell r="D98" t="str">
            <v>DOCTOR PRIVATE OFFICE RENT</v>
          </cell>
          <cell r="F98" t="str">
            <v>E3</v>
          </cell>
          <cell r="H98">
            <v>0</v>
          </cell>
          <cell r="J98">
            <v>0</v>
          </cell>
          <cell r="L98">
            <v>0</v>
          </cell>
          <cell r="N98">
            <v>0</v>
          </cell>
          <cell r="O98" t="str">
            <v>DPO</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N98">
            <v>0</v>
          </cell>
          <cell r="BR98">
            <v>0</v>
          </cell>
          <cell r="BT98">
            <v>0</v>
          </cell>
          <cell r="BV98">
            <v>0</v>
          </cell>
          <cell r="BX98">
            <v>0</v>
          </cell>
          <cell r="CB98">
            <v>0</v>
          </cell>
          <cell r="CD98">
            <v>0</v>
          </cell>
          <cell r="CG98" t="str">
            <v>DPO</v>
          </cell>
          <cell r="CH98">
            <v>0</v>
          </cell>
          <cell r="CJ98">
            <v>0</v>
          </cell>
          <cell r="CL98">
            <v>0</v>
          </cell>
          <cell r="CN98">
            <v>0</v>
          </cell>
          <cell r="CO98" t="str">
            <v>DPO</v>
          </cell>
          <cell r="CP98">
            <v>0</v>
          </cell>
          <cell r="CR98">
            <v>0</v>
          </cell>
          <cell r="CT98">
            <v>0</v>
          </cell>
          <cell r="CV98">
            <v>0</v>
          </cell>
        </row>
        <row r="99">
          <cell r="B99" t="str">
            <v>OOR</v>
          </cell>
          <cell r="D99" t="str">
            <v>OFFICE &amp; OTHER RENTALS</v>
          </cell>
          <cell r="F99" t="str">
            <v>E4</v>
          </cell>
          <cell r="H99">
            <v>0</v>
          </cell>
          <cell r="J99">
            <v>774411.71</v>
          </cell>
          <cell r="L99">
            <v>774411.71</v>
          </cell>
          <cell r="N99">
            <v>0</v>
          </cell>
          <cell r="O99" t="str">
            <v>OOR</v>
          </cell>
          <cell r="P99">
            <v>0</v>
          </cell>
          <cell r="R99">
            <v>774.4</v>
          </cell>
          <cell r="T99">
            <v>774.4</v>
          </cell>
          <cell r="AD99">
            <v>0</v>
          </cell>
          <cell r="AF99">
            <v>774.4</v>
          </cell>
          <cell r="AH99">
            <v>774.4</v>
          </cell>
          <cell r="AJ99">
            <v>0</v>
          </cell>
          <cell r="AL99">
            <v>0</v>
          </cell>
          <cell r="AN99">
            <v>0</v>
          </cell>
          <cell r="AP99">
            <v>0</v>
          </cell>
          <cell r="AR99">
            <v>0</v>
          </cell>
          <cell r="AT99">
            <v>0</v>
          </cell>
          <cell r="AV99">
            <v>0</v>
          </cell>
          <cell r="AX99">
            <v>0</v>
          </cell>
          <cell r="AZ99">
            <v>0</v>
          </cell>
          <cell r="BB99">
            <v>0</v>
          </cell>
          <cell r="BD99">
            <v>774.4</v>
          </cell>
          <cell r="BF99">
            <v>774.4</v>
          </cell>
          <cell r="BH99">
            <v>0</v>
          </cell>
          <cell r="BN99">
            <v>0</v>
          </cell>
          <cell r="BR99">
            <v>0</v>
          </cell>
          <cell r="BT99">
            <v>774.4</v>
          </cell>
          <cell r="BV99">
            <v>774.4</v>
          </cell>
          <cell r="BX99">
            <v>0</v>
          </cell>
          <cell r="CB99">
            <v>0</v>
          </cell>
          <cell r="CD99">
            <v>0</v>
          </cell>
          <cell r="CG99" t="str">
            <v>OOR</v>
          </cell>
          <cell r="CH99">
            <v>0</v>
          </cell>
          <cell r="CJ99">
            <v>1186.15104</v>
          </cell>
          <cell r="CL99">
            <v>1186.15104</v>
          </cell>
          <cell r="CN99">
            <v>0</v>
          </cell>
          <cell r="CO99" t="str">
            <v>OOR</v>
          </cell>
          <cell r="CP99">
            <v>0</v>
          </cell>
          <cell r="CR99">
            <v>1960.5510399999998</v>
          </cell>
          <cell r="CT99">
            <v>1960.5510399999998</v>
          </cell>
          <cell r="CV99">
            <v>0</v>
          </cell>
        </row>
        <row r="100">
          <cell r="B100" t="str">
            <v>REO</v>
          </cell>
          <cell r="D100" t="str">
            <v>RETAIL OPERATIONS</v>
          </cell>
          <cell r="F100" t="str">
            <v>E5</v>
          </cell>
          <cell r="H100">
            <v>0</v>
          </cell>
          <cell r="J100">
            <v>0</v>
          </cell>
          <cell r="L100">
            <v>0</v>
          </cell>
          <cell r="N100">
            <v>0</v>
          </cell>
          <cell r="O100" t="str">
            <v>REO</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N100">
            <v>0</v>
          </cell>
          <cell r="BR100">
            <v>0</v>
          </cell>
          <cell r="BT100">
            <v>0</v>
          </cell>
          <cell r="BV100">
            <v>0</v>
          </cell>
          <cell r="BX100">
            <v>0</v>
          </cell>
          <cell r="CB100">
            <v>4.122E-2</v>
          </cell>
          <cell r="CD100">
            <v>4.122E-2</v>
          </cell>
          <cell r="CG100" t="str">
            <v>REO</v>
          </cell>
          <cell r="CH100">
            <v>8.5637679637801902</v>
          </cell>
          <cell r="CJ100">
            <v>77.312426376411381</v>
          </cell>
          <cell r="CL100">
            <v>85.876194340191574</v>
          </cell>
          <cell r="CN100">
            <v>0.12234994295478692</v>
          </cell>
          <cell r="CO100" t="str">
            <v>REO</v>
          </cell>
          <cell r="CP100">
            <v>8.6049879637801894</v>
          </cell>
          <cell r="CR100">
            <v>77.312426376411381</v>
          </cell>
          <cell r="CT100">
            <v>85.91741434019157</v>
          </cell>
          <cell r="CV100">
            <v>0.12234994295478692</v>
          </cell>
        </row>
        <row r="101">
          <cell r="B101" t="str">
            <v>PTE</v>
          </cell>
          <cell r="D101" t="str">
            <v>PATIENT TELEPHONE</v>
          </cell>
          <cell r="F101" t="str">
            <v>E6</v>
          </cell>
          <cell r="H101">
            <v>68259.038287212446</v>
          </cell>
          <cell r="J101">
            <v>-270.57381615598882</v>
          </cell>
          <cell r="L101">
            <v>67988.464471056461</v>
          </cell>
          <cell r="N101">
            <v>1.4653774730376399</v>
          </cell>
          <cell r="O101" t="str">
            <v>PTE</v>
          </cell>
          <cell r="P101">
            <v>68.3</v>
          </cell>
          <cell r="R101">
            <v>-0.3</v>
          </cell>
          <cell r="T101">
            <v>68</v>
          </cell>
          <cell r="AD101">
            <v>68.3</v>
          </cell>
          <cell r="AF101">
            <v>-0.3</v>
          </cell>
          <cell r="AH101">
            <v>68</v>
          </cell>
          <cell r="AJ101">
            <v>1.4653774730376399</v>
          </cell>
          <cell r="AL101">
            <v>0</v>
          </cell>
          <cell r="AN101">
            <v>0</v>
          </cell>
          <cell r="AP101">
            <v>0</v>
          </cell>
          <cell r="AR101">
            <v>0</v>
          </cell>
          <cell r="AT101">
            <v>0</v>
          </cell>
          <cell r="AV101">
            <v>0</v>
          </cell>
          <cell r="AX101">
            <v>0</v>
          </cell>
          <cell r="AZ101">
            <v>0</v>
          </cell>
          <cell r="BB101">
            <v>68.3</v>
          </cell>
          <cell r="BD101">
            <v>-0.3</v>
          </cell>
          <cell r="BF101">
            <v>68</v>
          </cell>
          <cell r="BH101">
            <v>1.4653774730376399</v>
          </cell>
          <cell r="BN101">
            <v>0</v>
          </cell>
          <cell r="BR101">
            <v>68.3</v>
          </cell>
          <cell r="BT101">
            <v>-0.3</v>
          </cell>
          <cell r="BV101">
            <v>68</v>
          </cell>
          <cell r="BX101">
            <v>1.4653774730376399</v>
          </cell>
          <cell r="CB101">
            <v>0.50116000000000005</v>
          </cell>
          <cell r="CD101">
            <v>0.50116000000000005</v>
          </cell>
          <cell r="CG101" t="str">
            <v>PTE</v>
          </cell>
          <cell r="CH101">
            <v>2.2315560482339452</v>
          </cell>
          <cell r="CJ101">
            <v>4.1927944603492264</v>
          </cell>
          <cell r="CL101">
            <v>6.4243505085831716</v>
          </cell>
          <cell r="CN101">
            <v>2.198945612038309E-2</v>
          </cell>
          <cell r="CO101" t="str">
            <v>PTE</v>
          </cell>
          <cell r="CP101">
            <v>71.032716048233937</v>
          </cell>
          <cell r="CR101">
            <v>3.8927944603492266</v>
          </cell>
          <cell r="CT101">
            <v>74.925510508583159</v>
          </cell>
          <cell r="CV101">
            <v>1.4873669291580229</v>
          </cell>
        </row>
        <row r="102">
          <cell r="B102" t="str">
            <v>CAF</v>
          </cell>
          <cell r="D102" t="str">
            <v>CAFETERIA</v>
          </cell>
          <cell r="F102" t="str">
            <v>E7</v>
          </cell>
          <cell r="H102">
            <v>0</v>
          </cell>
          <cell r="J102">
            <v>0</v>
          </cell>
          <cell r="L102">
            <v>0</v>
          </cell>
          <cell r="N102">
            <v>0</v>
          </cell>
          <cell r="O102" t="str">
            <v>CAF</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D102">
            <v>0</v>
          </cell>
          <cell r="CG102" t="str">
            <v>CAF</v>
          </cell>
          <cell r="CH102">
            <v>28.83793870258588</v>
          </cell>
          <cell r="CJ102">
            <v>260.3446312675411</v>
          </cell>
          <cell r="CL102">
            <v>289.18256997012696</v>
          </cell>
          <cell r="CN102">
            <v>0.41200557629746487</v>
          </cell>
          <cell r="CO102" t="str">
            <v>CAF</v>
          </cell>
          <cell r="CP102">
            <v>28.83793870258588</v>
          </cell>
          <cell r="CR102">
            <v>260.3446312675411</v>
          </cell>
          <cell r="CT102">
            <v>289.18256997012696</v>
          </cell>
          <cell r="CV102">
            <v>0.41200557629746487</v>
          </cell>
        </row>
        <row r="103">
          <cell r="B103" t="str">
            <v>DEB</v>
          </cell>
          <cell r="D103" t="str">
            <v>DAY CARE, REC AREAS, ECT.</v>
          </cell>
          <cell r="F103" t="str">
            <v>E8</v>
          </cell>
          <cell r="H103">
            <v>0</v>
          </cell>
          <cell r="J103">
            <v>-21914.23</v>
          </cell>
          <cell r="L103">
            <v>-21914.23</v>
          </cell>
          <cell r="N103">
            <v>0</v>
          </cell>
          <cell r="O103" t="str">
            <v>DEB</v>
          </cell>
          <cell r="P103">
            <v>0</v>
          </cell>
          <cell r="R103">
            <v>-21.9</v>
          </cell>
          <cell r="T103">
            <v>-21.9</v>
          </cell>
          <cell r="AD103">
            <v>0</v>
          </cell>
          <cell r="AF103">
            <v>-21.9</v>
          </cell>
          <cell r="AH103">
            <v>-21.9</v>
          </cell>
          <cell r="AJ103">
            <v>0</v>
          </cell>
          <cell r="AL103">
            <v>0</v>
          </cell>
          <cell r="AN103">
            <v>0</v>
          </cell>
          <cell r="AP103">
            <v>0</v>
          </cell>
          <cell r="AR103">
            <v>0</v>
          </cell>
          <cell r="AT103">
            <v>0</v>
          </cell>
          <cell r="AV103">
            <v>0</v>
          </cell>
          <cell r="AX103">
            <v>0</v>
          </cell>
          <cell r="AZ103">
            <v>0</v>
          </cell>
          <cell r="BB103">
            <v>0</v>
          </cell>
          <cell r="BD103">
            <v>-21.9</v>
          </cell>
          <cell r="BF103">
            <v>-21.9</v>
          </cell>
          <cell r="BH103">
            <v>0</v>
          </cell>
          <cell r="BN103">
            <v>0</v>
          </cell>
          <cell r="BR103">
            <v>0</v>
          </cell>
          <cell r="BT103">
            <v>-21.9</v>
          </cell>
          <cell r="BV103">
            <v>-21.9</v>
          </cell>
          <cell r="BX103">
            <v>0</v>
          </cell>
          <cell r="CD103">
            <v>0</v>
          </cell>
          <cell r="CG103" t="str">
            <v>DEB</v>
          </cell>
          <cell r="CH103">
            <v>18.874637682139213</v>
          </cell>
          <cell r="CJ103">
            <v>176.74932599240253</v>
          </cell>
          <cell r="CL103">
            <v>195.62396367454176</v>
          </cell>
          <cell r="CN103">
            <v>0.27247377462895339</v>
          </cell>
          <cell r="CO103" t="str">
            <v>DEB</v>
          </cell>
          <cell r="CP103">
            <v>18.874637682139213</v>
          </cell>
          <cell r="CR103">
            <v>154.84932599240253</v>
          </cell>
          <cell r="CT103">
            <v>173.72396367454175</v>
          </cell>
          <cell r="CV103">
            <v>0.27247377462895339</v>
          </cell>
        </row>
        <row r="104">
          <cell r="B104" t="str">
            <v>HOU</v>
          </cell>
          <cell r="D104" t="str">
            <v>HOUSING</v>
          </cell>
          <cell r="F104" t="str">
            <v>E9</v>
          </cell>
          <cell r="H104">
            <v>0</v>
          </cell>
          <cell r="J104">
            <v>0</v>
          </cell>
          <cell r="L104">
            <v>0</v>
          </cell>
          <cell r="N104">
            <v>0</v>
          </cell>
          <cell r="O104" t="str">
            <v>HOU</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D104">
            <v>0</v>
          </cell>
          <cell r="CG104" t="str">
            <v>HOU</v>
          </cell>
          <cell r="CH104">
            <v>0</v>
          </cell>
          <cell r="CJ104">
            <v>0</v>
          </cell>
          <cell r="CL104">
            <v>0</v>
          </cell>
          <cell r="CN104">
            <v>0</v>
          </cell>
          <cell r="CO104" t="str">
            <v>HOU</v>
          </cell>
          <cell r="CP104">
            <v>0</v>
          </cell>
          <cell r="CR104">
            <v>0</v>
          </cell>
          <cell r="CT104">
            <v>0</v>
          </cell>
          <cell r="CV104">
            <v>0</v>
          </cell>
        </row>
        <row r="105">
          <cell r="B105" t="str">
            <v>REG</v>
          </cell>
          <cell r="D105" t="str">
            <v>RESEARCH</v>
          </cell>
          <cell r="F105" t="str">
            <v>F1</v>
          </cell>
          <cell r="H105">
            <v>565154.40333505149</v>
          </cell>
          <cell r="J105">
            <v>50186.729999999996</v>
          </cell>
          <cell r="L105">
            <v>615341.13333505148</v>
          </cell>
          <cell r="N105">
            <v>4.6439903846153845</v>
          </cell>
          <cell r="O105" t="str">
            <v>REG</v>
          </cell>
          <cell r="P105">
            <v>565.20000000000005</v>
          </cell>
          <cell r="R105">
            <v>50.2</v>
          </cell>
          <cell r="T105">
            <v>615.40000000000009</v>
          </cell>
          <cell r="AD105">
            <v>565.20000000000005</v>
          </cell>
          <cell r="AF105">
            <v>50.2</v>
          </cell>
          <cell r="AH105">
            <v>615.40000000000009</v>
          </cell>
          <cell r="AJ105">
            <v>4.6439903846153845</v>
          </cell>
          <cell r="AL105">
            <v>0</v>
          </cell>
          <cell r="AN105">
            <v>0</v>
          </cell>
          <cell r="AP105">
            <v>0</v>
          </cell>
          <cell r="AR105">
            <v>0</v>
          </cell>
          <cell r="AT105">
            <v>0</v>
          </cell>
          <cell r="AV105">
            <v>0</v>
          </cell>
          <cell r="AX105">
            <v>0</v>
          </cell>
          <cell r="AZ105">
            <v>0</v>
          </cell>
          <cell r="BB105">
            <v>565.20000000000005</v>
          </cell>
          <cell r="BD105">
            <v>50.2</v>
          </cell>
          <cell r="BF105">
            <v>615.40000000000009</v>
          </cell>
          <cell r="BH105">
            <v>4.6439903846153845</v>
          </cell>
          <cell r="BJ105">
            <v>0</v>
          </cell>
          <cell r="BN105">
            <v>0</v>
          </cell>
          <cell r="BP105">
            <v>0</v>
          </cell>
          <cell r="BR105">
            <v>565.20000000000005</v>
          </cell>
          <cell r="BT105">
            <v>50.2</v>
          </cell>
          <cell r="BV105">
            <v>615.40000000000009</v>
          </cell>
          <cell r="BX105">
            <v>4.6439903846153845</v>
          </cell>
          <cell r="CB105">
            <v>1.6431100000000001</v>
          </cell>
          <cell r="CD105">
            <v>1.6431100000000001</v>
          </cell>
          <cell r="CG105" t="str">
            <v>REG</v>
          </cell>
          <cell r="CH105">
            <v>22.935869798338061</v>
          </cell>
          <cell r="CJ105">
            <v>39.228290726818564</v>
          </cell>
          <cell r="CL105">
            <v>62.164160525156625</v>
          </cell>
          <cell r="CN105">
            <v>0.23256895298668312</v>
          </cell>
          <cell r="CO105" t="str">
            <v>REG</v>
          </cell>
          <cell r="CP105">
            <v>589.77897979833813</v>
          </cell>
          <cell r="CR105">
            <v>89.428290726818574</v>
          </cell>
          <cell r="CT105">
            <v>679.20727052515667</v>
          </cell>
          <cell r="CV105">
            <v>4.8765593376020675</v>
          </cell>
        </row>
        <row r="106">
          <cell r="B106" t="str">
            <v>RNS</v>
          </cell>
          <cell r="D106" t="str">
            <v>NURSING EDUCATION</v>
          </cell>
          <cell r="F106" t="str">
            <v>F2</v>
          </cell>
          <cell r="H106">
            <v>0</v>
          </cell>
          <cell r="J106">
            <v>0</v>
          </cell>
          <cell r="L106">
            <v>0</v>
          </cell>
          <cell r="N106">
            <v>0</v>
          </cell>
          <cell r="O106" t="str">
            <v>RNS</v>
          </cell>
          <cell r="P106">
            <v>0</v>
          </cell>
          <cell r="R106">
            <v>0</v>
          </cell>
          <cell r="T106">
            <v>0</v>
          </cell>
          <cell r="AD106">
            <v>0</v>
          </cell>
          <cell r="AF106">
            <v>0</v>
          </cell>
          <cell r="AH106">
            <v>0</v>
          </cell>
          <cell r="AJ106">
            <v>0</v>
          </cell>
          <cell r="AL106">
            <v>0</v>
          </cell>
          <cell r="AN106">
            <v>0</v>
          </cell>
          <cell r="AP106">
            <v>0</v>
          </cell>
          <cell r="AR106">
            <v>0</v>
          </cell>
          <cell r="AT106">
            <v>0</v>
          </cell>
          <cell r="AV106">
            <v>0</v>
          </cell>
          <cell r="AX106">
            <v>0</v>
          </cell>
          <cell r="AZ106">
            <v>0</v>
          </cell>
          <cell r="BB106">
            <v>0</v>
          </cell>
          <cell r="BD106">
            <v>0</v>
          </cell>
          <cell r="BF106">
            <v>0</v>
          </cell>
          <cell r="BH106">
            <v>0</v>
          </cell>
          <cell r="BN106">
            <v>0</v>
          </cell>
          <cell r="BR106">
            <v>0</v>
          </cell>
          <cell r="BT106">
            <v>0</v>
          </cell>
          <cell r="BV106">
            <v>0</v>
          </cell>
          <cell r="BX106">
            <v>0</v>
          </cell>
          <cell r="CB106">
            <v>0</v>
          </cell>
          <cell r="CD106">
            <v>0</v>
          </cell>
          <cell r="CG106" t="str">
            <v>RNS</v>
          </cell>
          <cell r="CH106">
            <v>0</v>
          </cell>
          <cell r="CJ106">
            <v>0</v>
          </cell>
          <cell r="CL106">
            <v>0</v>
          </cell>
          <cell r="CN106">
            <v>0</v>
          </cell>
          <cell r="CO106" t="str">
            <v>RNS</v>
          </cell>
          <cell r="CP106">
            <v>0</v>
          </cell>
          <cell r="CR106">
            <v>0</v>
          </cell>
          <cell r="CT106">
            <v>0</v>
          </cell>
          <cell r="CV106">
            <v>0</v>
          </cell>
        </row>
        <row r="107">
          <cell r="B107" t="str">
            <v>OHE</v>
          </cell>
          <cell r="D107" t="str">
            <v>OTHER HEALTH PROFESSION EDUC.</v>
          </cell>
          <cell r="F107" t="str">
            <v>F3</v>
          </cell>
          <cell r="H107">
            <v>0</v>
          </cell>
          <cell r="J107">
            <v>0</v>
          </cell>
          <cell r="L107">
            <v>0</v>
          </cell>
          <cell r="N107">
            <v>0</v>
          </cell>
          <cell r="O107" t="str">
            <v>OHE</v>
          </cell>
          <cell r="P107">
            <v>0</v>
          </cell>
          <cell r="R107">
            <v>0</v>
          </cell>
          <cell r="T107">
            <v>0</v>
          </cell>
          <cell r="AD107">
            <v>0</v>
          </cell>
          <cell r="AF107">
            <v>0</v>
          </cell>
          <cell r="AH107">
            <v>0</v>
          </cell>
          <cell r="AJ107">
            <v>0</v>
          </cell>
          <cell r="AL107">
            <v>0</v>
          </cell>
          <cell r="AN107">
            <v>0</v>
          </cell>
          <cell r="AP107">
            <v>0</v>
          </cell>
          <cell r="AR107">
            <v>0</v>
          </cell>
          <cell r="AT107">
            <v>0</v>
          </cell>
          <cell r="AV107">
            <v>0</v>
          </cell>
          <cell r="AX107">
            <v>0</v>
          </cell>
          <cell r="AZ107">
            <v>0</v>
          </cell>
          <cell r="BB107">
            <v>0</v>
          </cell>
          <cell r="BD107">
            <v>0</v>
          </cell>
          <cell r="BF107">
            <v>0</v>
          </cell>
          <cell r="BH107">
            <v>0</v>
          </cell>
          <cell r="BN107">
            <v>0</v>
          </cell>
          <cell r="BR107">
            <v>0</v>
          </cell>
          <cell r="BT107">
            <v>0</v>
          </cell>
          <cell r="BV107">
            <v>0</v>
          </cell>
          <cell r="BX107">
            <v>0</v>
          </cell>
          <cell r="CB107">
            <v>0</v>
          </cell>
          <cell r="CD107">
            <v>0</v>
          </cell>
          <cell r="CG107" t="str">
            <v>OHE</v>
          </cell>
          <cell r="CH107">
            <v>0</v>
          </cell>
          <cell r="CJ107">
            <v>0</v>
          </cell>
          <cell r="CL107">
            <v>0</v>
          </cell>
          <cell r="CN107">
            <v>0</v>
          </cell>
          <cell r="CO107" t="str">
            <v>OHE</v>
          </cell>
          <cell r="CP107">
            <v>0</v>
          </cell>
          <cell r="CR107">
            <v>0</v>
          </cell>
          <cell r="CT107">
            <v>0</v>
          </cell>
          <cell r="CV107">
            <v>0</v>
          </cell>
        </row>
        <row r="108">
          <cell r="B108" t="str">
            <v>CHE</v>
          </cell>
          <cell r="D108" t="str">
            <v>COMMUNITY HEALTH EDUCATION</v>
          </cell>
          <cell r="F108" t="str">
            <v>F4</v>
          </cell>
          <cell r="H108">
            <v>941364.93419682421</v>
          </cell>
          <cell r="J108">
            <v>463924.52999999997</v>
          </cell>
          <cell r="L108">
            <v>1405289.4641968242</v>
          </cell>
          <cell r="N108">
            <v>10.088120192307693</v>
          </cell>
          <cell r="O108" t="str">
            <v>CHE</v>
          </cell>
          <cell r="P108">
            <v>941.4</v>
          </cell>
          <cell r="R108">
            <v>463.9</v>
          </cell>
          <cell r="T108">
            <v>1405.3</v>
          </cell>
          <cell r="AD108">
            <v>941.4</v>
          </cell>
          <cell r="AF108">
            <v>463.9</v>
          </cell>
          <cell r="AH108">
            <v>1405.3</v>
          </cell>
          <cell r="AJ108">
            <v>10.088120192307693</v>
          </cell>
          <cell r="AL108">
            <v>0</v>
          </cell>
          <cell r="AN108">
            <v>0</v>
          </cell>
          <cell r="AP108">
            <v>0</v>
          </cell>
          <cell r="AR108">
            <v>0</v>
          </cell>
          <cell r="AT108">
            <v>0</v>
          </cell>
          <cell r="AV108">
            <v>0</v>
          </cell>
          <cell r="AX108">
            <v>0</v>
          </cell>
          <cell r="AZ108">
            <v>0</v>
          </cell>
          <cell r="BB108">
            <v>941.4</v>
          </cell>
          <cell r="BD108">
            <v>463.9</v>
          </cell>
          <cell r="BF108">
            <v>1405.3</v>
          </cell>
          <cell r="BH108">
            <v>10.088120192307693</v>
          </cell>
          <cell r="BN108">
            <v>0</v>
          </cell>
          <cell r="BR108">
            <v>941.4</v>
          </cell>
          <cell r="BT108">
            <v>463.9</v>
          </cell>
          <cell r="BV108">
            <v>1405.3</v>
          </cell>
          <cell r="BX108">
            <v>10.088120192307693</v>
          </cell>
          <cell r="CB108">
            <v>3.6087400000000001</v>
          </cell>
          <cell r="CD108">
            <v>3.6087400000000001</v>
          </cell>
          <cell r="CG108" t="str">
            <v>CHE</v>
          </cell>
          <cell r="CH108">
            <v>57.345523873291206</v>
          </cell>
          <cell r="CJ108">
            <v>96.514096895960208</v>
          </cell>
          <cell r="CL108">
            <v>153.85962076925142</v>
          </cell>
          <cell r="CN108">
            <v>0.62217593702762719</v>
          </cell>
          <cell r="CO108" t="str">
            <v>CHE</v>
          </cell>
          <cell r="CP108">
            <v>1002.3542638732912</v>
          </cell>
          <cell r="CR108">
            <v>560.41409689596014</v>
          </cell>
          <cell r="CT108">
            <v>1562.7683607692513</v>
          </cell>
          <cell r="CV108">
            <v>10.710296129335321</v>
          </cell>
        </row>
        <row r="109">
          <cell r="B109" t="str">
            <v>FB1</v>
          </cell>
          <cell r="D109" t="str">
            <v>FRINGE BENEFITS</v>
          </cell>
          <cell r="F109" t="str">
            <v>FB1</v>
          </cell>
          <cell r="H109" t="str">
            <v>XXXXXXXXX</v>
          </cell>
          <cell r="J109" t="str">
            <v>XXXXXXXXX</v>
          </cell>
          <cell r="L109">
            <v>0</v>
          </cell>
          <cell r="N109" t="str">
            <v>XXXXXXXXX</v>
          </cell>
          <cell r="O109" t="str">
            <v>FB1</v>
          </cell>
          <cell r="P109">
            <v>0</v>
          </cell>
          <cell r="R109">
            <v>0</v>
          </cell>
          <cell r="T109">
            <v>0</v>
          </cell>
          <cell r="AD109">
            <v>0</v>
          </cell>
          <cell r="AF109">
            <v>0</v>
          </cell>
          <cell r="AH109">
            <v>0</v>
          </cell>
          <cell r="AJ109">
            <v>0</v>
          </cell>
          <cell r="AT109">
            <v>0</v>
          </cell>
          <cell r="AV109">
            <v>0</v>
          </cell>
          <cell r="AX109">
            <v>0</v>
          </cell>
          <cell r="AZ109">
            <v>0</v>
          </cell>
          <cell r="BB109">
            <v>0</v>
          </cell>
          <cell r="BD109">
            <v>0</v>
          </cell>
          <cell r="BF109">
            <v>0</v>
          </cell>
          <cell r="BH109">
            <v>0</v>
          </cell>
          <cell r="BN109">
            <v>0</v>
          </cell>
          <cell r="BR109">
            <v>0</v>
          </cell>
          <cell r="BT109">
            <v>0</v>
          </cell>
          <cell r="BV109">
            <v>0</v>
          </cell>
          <cell r="BX109">
            <v>0</v>
          </cell>
          <cell r="CD109">
            <v>0</v>
          </cell>
          <cell r="CG109" t="str">
            <v>FB1</v>
          </cell>
          <cell r="CL109">
            <v>0</v>
          </cell>
          <cell r="CO109" t="str">
            <v>FB1</v>
          </cell>
          <cell r="CP109">
            <v>0</v>
          </cell>
          <cell r="CR109">
            <v>0</v>
          </cell>
          <cell r="CT109">
            <v>0</v>
          </cell>
          <cell r="CV109">
            <v>0</v>
          </cell>
        </row>
        <row r="110">
          <cell r="B110" t="str">
            <v>MSV</v>
          </cell>
          <cell r="D110" t="str">
            <v>MEDICAL SERVICES</v>
          </cell>
          <cell r="F110" t="str">
            <v>MS1</v>
          </cell>
          <cell r="H110" t="str">
            <v>XXXXXXXXX</v>
          </cell>
          <cell r="J110" t="str">
            <v>XXXXXXXXX</v>
          </cell>
          <cell r="L110">
            <v>0</v>
          </cell>
          <cell r="N110" t="str">
            <v>XXXXXXXXX</v>
          </cell>
          <cell r="O110" t="str">
            <v>MSV</v>
          </cell>
          <cell r="P110">
            <v>0</v>
          </cell>
          <cell r="R110">
            <v>0</v>
          </cell>
          <cell r="T110">
            <v>0</v>
          </cell>
          <cell r="AD110">
            <v>0</v>
          </cell>
          <cell r="AF110">
            <v>0</v>
          </cell>
          <cell r="AH110">
            <v>0</v>
          </cell>
          <cell r="AJ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MSV</v>
          </cell>
          <cell r="CL110">
            <v>0</v>
          </cell>
          <cell r="CO110" t="str">
            <v>MSV</v>
          </cell>
          <cell r="CP110">
            <v>0</v>
          </cell>
          <cell r="CR110">
            <v>0</v>
          </cell>
          <cell r="CT110">
            <v>0</v>
          </cell>
          <cell r="CV110">
            <v>0</v>
          </cell>
        </row>
        <row r="111">
          <cell r="B111" t="str">
            <v>P1</v>
          </cell>
          <cell r="D111" t="str">
            <v>HOSPITAL BASED PHYSICIANS</v>
          </cell>
          <cell r="F111" t="str">
            <v>P01</v>
          </cell>
          <cell r="H111">
            <v>5359432</v>
          </cell>
          <cell r="J111" t="str">
            <v>XXXXXXXXX</v>
          </cell>
          <cell r="L111">
            <v>5359432</v>
          </cell>
          <cell r="N111">
            <v>22.271359199323697</v>
          </cell>
          <cell r="O111" t="str">
            <v>P1</v>
          </cell>
          <cell r="P111">
            <v>5359.4</v>
          </cell>
          <cell r="R111">
            <v>0</v>
          </cell>
          <cell r="T111">
            <v>5359.4</v>
          </cell>
          <cell r="AD111">
            <v>5359.4</v>
          </cell>
          <cell r="AF111">
            <v>0</v>
          </cell>
          <cell r="AH111">
            <v>5359.4</v>
          </cell>
          <cell r="AJ111">
            <v>22.271359199323697</v>
          </cell>
          <cell r="AT111">
            <v>0</v>
          </cell>
          <cell r="AV111">
            <v>0</v>
          </cell>
          <cell r="AX111">
            <v>0</v>
          </cell>
          <cell r="AZ111">
            <v>0</v>
          </cell>
          <cell r="BB111">
            <v>5359.4</v>
          </cell>
          <cell r="BD111">
            <v>0</v>
          </cell>
          <cell r="BF111">
            <v>5359.4</v>
          </cell>
          <cell r="BH111">
            <v>22.271359199323697</v>
          </cell>
          <cell r="BJ111">
            <v>-5359.4315237484625</v>
          </cell>
          <cell r="BN111">
            <v>-5359.4315237484625</v>
          </cell>
          <cell r="BP111">
            <v>-22.271359199323697</v>
          </cell>
          <cell r="BR111">
            <v>-3.1523748462859658E-2</v>
          </cell>
          <cell r="BT111">
            <v>0</v>
          </cell>
          <cell r="BV111">
            <v>-3.1523748462859658E-2</v>
          </cell>
          <cell r="BX111">
            <v>0</v>
          </cell>
          <cell r="CD111">
            <v>0</v>
          </cell>
          <cell r="CG111" t="str">
            <v>P1</v>
          </cell>
          <cell r="CL111">
            <v>0</v>
          </cell>
          <cell r="CO111" t="str">
            <v>P1</v>
          </cell>
          <cell r="CP111">
            <v>-3.1523748462859658E-2</v>
          </cell>
          <cell r="CR111">
            <v>0</v>
          </cell>
          <cell r="CT111">
            <v>-3.1523748462859658E-2</v>
          </cell>
          <cell r="CV111">
            <v>0</v>
          </cell>
        </row>
        <row r="112">
          <cell r="B112" t="str">
            <v>P2</v>
          </cell>
          <cell r="D112" t="str">
            <v>PHYSICIAN PART B SERVICES</v>
          </cell>
          <cell r="F112" t="str">
            <v>P02</v>
          </cell>
          <cell r="H112" t="str">
            <v>XXXXXXXXX</v>
          </cell>
          <cell r="J112" t="str">
            <v>XXXXXXXXX</v>
          </cell>
          <cell r="L112">
            <v>0</v>
          </cell>
          <cell r="N112" t="str">
            <v>XXXXXXXXX</v>
          </cell>
          <cell r="O112" t="str">
            <v>P2</v>
          </cell>
          <cell r="P112">
            <v>0</v>
          </cell>
          <cell r="R112">
            <v>0</v>
          </cell>
          <cell r="T112">
            <v>0</v>
          </cell>
          <cell r="X112">
            <v>0</v>
          </cell>
          <cell r="Z112">
            <v>0</v>
          </cell>
          <cell r="AD112">
            <v>0</v>
          </cell>
          <cell r="AF112">
            <v>0</v>
          </cell>
          <cell r="AH112">
            <v>0</v>
          </cell>
          <cell r="AJ112">
            <v>0</v>
          </cell>
          <cell r="AT112">
            <v>0</v>
          </cell>
          <cell r="AV112">
            <v>0</v>
          </cell>
          <cell r="AX112">
            <v>0</v>
          </cell>
          <cell r="AZ112">
            <v>0</v>
          </cell>
          <cell r="BB112">
            <v>0</v>
          </cell>
          <cell r="BD112">
            <v>0</v>
          </cell>
          <cell r="BF112">
            <v>0</v>
          </cell>
          <cell r="BH112">
            <v>0</v>
          </cell>
          <cell r="BJ112">
            <v>0</v>
          </cell>
          <cell r="BN112">
            <v>0</v>
          </cell>
          <cell r="BP112">
            <v>0</v>
          </cell>
          <cell r="BR112">
            <v>0</v>
          </cell>
          <cell r="BT112">
            <v>0</v>
          </cell>
          <cell r="BV112">
            <v>0</v>
          </cell>
          <cell r="BX112">
            <v>0</v>
          </cell>
          <cell r="CB112">
            <v>0</v>
          </cell>
          <cell r="CD112">
            <v>0</v>
          </cell>
          <cell r="CG112" t="str">
            <v>P2</v>
          </cell>
          <cell r="CL112">
            <v>0</v>
          </cell>
          <cell r="CO112" t="str">
            <v>P2</v>
          </cell>
          <cell r="CP112">
            <v>0</v>
          </cell>
          <cell r="CR112">
            <v>0</v>
          </cell>
          <cell r="CT112">
            <v>0</v>
          </cell>
          <cell r="CV112">
            <v>0</v>
          </cell>
        </row>
        <row r="113">
          <cell r="B113" t="str">
            <v>P3</v>
          </cell>
          <cell r="D113" t="str">
            <v>PHYSICIAN SUPPORT SERVICES</v>
          </cell>
          <cell r="F113" t="str">
            <v>P03</v>
          </cell>
          <cell r="H113">
            <v>862591</v>
          </cell>
          <cell r="J113" t="str">
            <v>XXXXXXXXX</v>
          </cell>
          <cell r="L113">
            <v>862591</v>
          </cell>
          <cell r="N113">
            <v>4.7074519230769241</v>
          </cell>
          <cell r="O113" t="str">
            <v>P3</v>
          </cell>
          <cell r="P113">
            <v>862.6</v>
          </cell>
          <cell r="R113">
            <v>0</v>
          </cell>
          <cell r="T113">
            <v>862.6</v>
          </cell>
          <cell r="AD113">
            <v>862.6</v>
          </cell>
          <cell r="AF113">
            <v>0</v>
          </cell>
          <cell r="AH113">
            <v>862.6</v>
          </cell>
          <cell r="AJ113">
            <v>4.7074519230769241</v>
          </cell>
          <cell r="AT113">
            <v>0</v>
          </cell>
          <cell r="AV113">
            <v>0</v>
          </cell>
          <cell r="AX113">
            <v>0</v>
          </cell>
          <cell r="AZ113">
            <v>0</v>
          </cell>
          <cell r="BB113">
            <v>862.6</v>
          </cell>
          <cell r="BD113">
            <v>0</v>
          </cell>
          <cell r="BF113">
            <v>862.6</v>
          </cell>
          <cell r="BH113">
            <v>4.7074519230769241</v>
          </cell>
          <cell r="BN113">
            <v>0</v>
          </cell>
          <cell r="BR113">
            <v>862.6</v>
          </cell>
          <cell r="BT113">
            <v>0</v>
          </cell>
          <cell r="BV113">
            <v>862.6</v>
          </cell>
          <cell r="BX113">
            <v>4.7074519230769241</v>
          </cell>
          <cell r="CB113">
            <v>1.5861299999999998</v>
          </cell>
          <cell r="CD113">
            <v>1.5861299999999998</v>
          </cell>
          <cell r="CG113" t="str">
            <v>P3</v>
          </cell>
          <cell r="CL113">
            <v>0</v>
          </cell>
          <cell r="CO113" t="str">
            <v>P3</v>
          </cell>
          <cell r="CP113">
            <v>864.18613000000005</v>
          </cell>
          <cell r="CR113">
            <v>0</v>
          </cell>
          <cell r="CT113">
            <v>864.18613000000005</v>
          </cell>
          <cell r="CV113">
            <v>4.7074519230769241</v>
          </cell>
        </row>
        <row r="114">
          <cell r="B114" t="str">
            <v>P4</v>
          </cell>
          <cell r="D114" t="str">
            <v>RESIDENT, INTERN SERVICES</v>
          </cell>
          <cell r="F114" t="str">
            <v>P04</v>
          </cell>
          <cell r="H114">
            <v>0</v>
          </cell>
          <cell r="J114">
            <v>0</v>
          </cell>
          <cell r="L114">
            <v>0</v>
          </cell>
          <cell r="N114">
            <v>0</v>
          </cell>
          <cell r="O114" t="str">
            <v>P4</v>
          </cell>
          <cell r="P114">
            <v>0</v>
          </cell>
          <cell r="R114">
            <v>0</v>
          </cell>
          <cell r="T114">
            <v>0</v>
          </cell>
          <cell r="AD114">
            <v>0</v>
          </cell>
          <cell r="AF114">
            <v>0</v>
          </cell>
          <cell r="AH114">
            <v>0</v>
          </cell>
          <cell r="AJ114">
            <v>0</v>
          </cell>
          <cell r="AT114">
            <v>0</v>
          </cell>
          <cell r="AV114">
            <v>0</v>
          </cell>
          <cell r="AX114">
            <v>0</v>
          </cell>
          <cell r="AZ114">
            <v>0</v>
          </cell>
          <cell r="BB114">
            <v>0</v>
          </cell>
          <cell r="BD114">
            <v>0</v>
          </cell>
          <cell r="BF114">
            <v>0</v>
          </cell>
          <cell r="BH114">
            <v>0</v>
          </cell>
          <cell r="BJ114">
            <v>0</v>
          </cell>
          <cell r="BN114">
            <v>0</v>
          </cell>
          <cell r="BP114">
            <v>0</v>
          </cell>
          <cell r="BR114">
            <v>0</v>
          </cell>
          <cell r="BT114">
            <v>0</v>
          </cell>
          <cell r="BV114">
            <v>0</v>
          </cell>
          <cell r="BX114">
            <v>0</v>
          </cell>
          <cell r="CB114">
            <v>0</v>
          </cell>
          <cell r="CD114">
            <v>0</v>
          </cell>
          <cell r="CG114" t="str">
            <v>P4</v>
          </cell>
          <cell r="CL114">
            <v>0</v>
          </cell>
          <cell r="CO114" t="str">
            <v>P4</v>
          </cell>
          <cell r="CP114">
            <v>0</v>
          </cell>
          <cell r="CR114">
            <v>0</v>
          </cell>
          <cell r="CT114">
            <v>0</v>
          </cell>
          <cell r="CV114">
            <v>0</v>
          </cell>
        </row>
        <row r="115">
          <cell r="B115" t="str">
            <v>P5</v>
          </cell>
          <cell r="D115" t="str">
            <v>RESIDENT, INTERN INELIGIBLE</v>
          </cell>
          <cell r="F115" t="str">
            <v>P05</v>
          </cell>
          <cell r="H115">
            <v>0</v>
          </cell>
          <cell r="J115">
            <v>0</v>
          </cell>
          <cell r="L115">
            <v>0</v>
          </cell>
          <cell r="N115">
            <v>0</v>
          </cell>
          <cell r="O115" t="str">
            <v>P5</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J115">
            <v>0</v>
          </cell>
          <cell r="BN115">
            <v>0</v>
          </cell>
          <cell r="BP115">
            <v>0</v>
          </cell>
          <cell r="BR115">
            <v>0</v>
          </cell>
          <cell r="BT115">
            <v>0</v>
          </cell>
          <cell r="BV115">
            <v>0</v>
          </cell>
          <cell r="BX115">
            <v>0</v>
          </cell>
          <cell r="CB115">
            <v>0</v>
          </cell>
          <cell r="CD115">
            <v>0</v>
          </cell>
          <cell r="CG115" t="str">
            <v>P5</v>
          </cell>
          <cell r="CL115">
            <v>0</v>
          </cell>
          <cell r="CO115" t="str">
            <v>P4</v>
          </cell>
          <cell r="CP115">
            <v>0</v>
          </cell>
          <cell r="CR115">
            <v>0</v>
          </cell>
          <cell r="CT115">
            <v>0</v>
          </cell>
          <cell r="CV115">
            <v>0</v>
          </cell>
        </row>
        <row r="116">
          <cell r="B116" t="str">
            <v>MAL</v>
          </cell>
          <cell r="D116" t="str">
            <v>MALPRACTICE</v>
          </cell>
          <cell r="F116" t="str">
            <v>UAMAL</v>
          </cell>
          <cell r="H116">
            <v>0</v>
          </cell>
          <cell r="J116">
            <v>5057377.09</v>
          </cell>
          <cell r="L116">
            <v>5057377.09</v>
          </cell>
          <cell r="N116">
            <v>0</v>
          </cell>
          <cell r="O116" t="str">
            <v>MAL</v>
          </cell>
          <cell r="P116">
            <v>0</v>
          </cell>
          <cell r="R116">
            <v>5057.3999999999996</v>
          </cell>
          <cell r="T116">
            <v>5057.3999999999996</v>
          </cell>
          <cell r="AD116">
            <v>0</v>
          </cell>
          <cell r="AF116">
            <v>5057.3999999999996</v>
          </cell>
          <cell r="AH116">
            <v>5057.3999999999996</v>
          </cell>
          <cell r="AJ116">
            <v>0</v>
          </cell>
          <cell r="AT116">
            <v>0</v>
          </cell>
          <cell r="AV116">
            <v>0</v>
          </cell>
          <cell r="AX116">
            <v>0</v>
          </cell>
          <cell r="AZ116">
            <v>0</v>
          </cell>
          <cell r="BB116">
            <v>0</v>
          </cell>
          <cell r="BD116">
            <v>5057.3999999999996</v>
          </cell>
          <cell r="BF116">
            <v>5057.3999999999996</v>
          </cell>
          <cell r="BH116">
            <v>0</v>
          </cell>
          <cell r="BN116">
            <v>0</v>
          </cell>
          <cell r="BR116">
            <v>0</v>
          </cell>
          <cell r="BT116">
            <v>5057.3999999999996</v>
          </cell>
          <cell r="BV116">
            <v>5057.3999999999996</v>
          </cell>
          <cell r="BX116">
            <v>0</v>
          </cell>
          <cell r="CD116">
            <v>0</v>
          </cell>
          <cell r="CG116" t="str">
            <v>MAL</v>
          </cell>
          <cell r="CH116">
            <v>0</v>
          </cell>
          <cell r="CJ116">
            <v>0</v>
          </cell>
          <cell r="CL116">
            <v>0</v>
          </cell>
          <cell r="CN116">
            <v>0</v>
          </cell>
          <cell r="CO116" t="str">
            <v>MAL</v>
          </cell>
          <cell r="CP116">
            <v>0</v>
          </cell>
          <cell r="CR116">
            <v>5057.3999999999996</v>
          </cell>
          <cell r="CT116">
            <v>5057.3999999999996</v>
          </cell>
          <cell r="CV116">
            <v>0</v>
          </cell>
        </row>
        <row r="117">
          <cell r="B117" t="str">
            <v>OIN</v>
          </cell>
          <cell r="D117" t="str">
            <v>OTHER INSURANCE</v>
          </cell>
          <cell r="F117" t="str">
            <v>UAOIN</v>
          </cell>
          <cell r="H117">
            <v>0</v>
          </cell>
          <cell r="J117">
            <v>-774575.62</v>
          </cell>
          <cell r="L117">
            <v>-774575.62</v>
          </cell>
          <cell r="N117">
            <v>0</v>
          </cell>
          <cell r="O117" t="str">
            <v>OIN</v>
          </cell>
          <cell r="P117">
            <v>0</v>
          </cell>
          <cell r="R117">
            <v>-774.6</v>
          </cell>
          <cell r="T117">
            <v>-774.6</v>
          </cell>
          <cell r="AD117">
            <v>0</v>
          </cell>
          <cell r="AF117">
            <v>-774.6</v>
          </cell>
          <cell r="AH117">
            <v>-774.6</v>
          </cell>
          <cell r="AJ117">
            <v>0</v>
          </cell>
          <cell r="AT117">
            <v>0</v>
          </cell>
          <cell r="AV117">
            <v>0</v>
          </cell>
          <cell r="AX117">
            <v>0</v>
          </cell>
          <cell r="AZ117">
            <v>0</v>
          </cell>
          <cell r="BB117">
            <v>0</v>
          </cell>
          <cell r="BD117">
            <v>-774.6</v>
          </cell>
          <cell r="BF117">
            <v>-774.6</v>
          </cell>
          <cell r="BH117">
            <v>0</v>
          </cell>
          <cell r="BN117">
            <v>0</v>
          </cell>
          <cell r="BR117">
            <v>0</v>
          </cell>
          <cell r="BT117">
            <v>-774.6</v>
          </cell>
          <cell r="BV117">
            <v>-774.6</v>
          </cell>
          <cell r="BX117">
            <v>0</v>
          </cell>
          <cell r="CD117">
            <v>0</v>
          </cell>
          <cell r="CG117" t="str">
            <v>OIN</v>
          </cell>
          <cell r="CH117">
            <v>0</v>
          </cell>
          <cell r="CJ117">
            <v>0</v>
          </cell>
          <cell r="CL117">
            <v>0</v>
          </cell>
          <cell r="CN117">
            <v>0</v>
          </cell>
          <cell r="CO117" t="str">
            <v>OIN</v>
          </cell>
          <cell r="CP117">
            <v>0</v>
          </cell>
          <cell r="CR117">
            <v>-774.6</v>
          </cell>
          <cell r="CT117">
            <v>-774.6</v>
          </cell>
          <cell r="CV117">
            <v>0</v>
          </cell>
        </row>
        <row r="118">
          <cell r="B118" t="str">
            <v>MCR</v>
          </cell>
          <cell r="D118" t="str">
            <v>MEDICAL CARE REVIEW</v>
          </cell>
          <cell r="F118" t="str">
            <v>UAMCR</v>
          </cell>
          <cell r="H118">
            <v>790885.32518091425</v>
          </cell>
          <cell r="J118">
            <v>666427.30764347233</v>
          </cell>
          <cell r="L118">
            <v>1457312.6328243865</v>
          </cell>
          <cell r="N118">
            <v>6.8294471153846148</v>
          </cell>
          <cell r="O118" t="str">
            <v>MCR</v>
          </cell>
          <cell r="P118">
            <v>790.9</v>
          </cell>
          <cell r="R118">
            <v>666.4</v>
          </cell>
          <cell r="T118">
            <v>1457.3</v>
          </cell>
          <cell r="AD118">
            <v>790.9</v>
          </cell>
          <cell r="AF118">
            <v>666.4</v>
          </cell>
          <cell r="AH118">
            <v>1457.3</v>
          </cell>
          <cell r="AJ118">
            <v>6.8294471153846148</v>
          </cell>
          <cell r="AT118">
            <v>0</v>
          </cell>
          <cell r="AV118">
            <v>0</v>
          </cell>
          <cell r="AX118">
            <v>0</v>
          </cell>
          <cell r="AZ118">
            <v>0</v>
          </cell>
          <cell r="BB118">
            <v>790.9</v>
          </cell>
          <cell r="BD118">
            <v>666.4</v>
          </cell>
          <cell r="BF118">
            <v>1457.3</v>
          </cell>
          <cell r="BH118">
            <v>6.8294471153846148</v>
          </cell>
          <cell r="BJ118">
            <v>747.69771409713201</v>
          </cell>
          <cell r="BN118">
            <v>747.69771409713201</v>
          </cell>
          <cell r="BP118">
            <v>0</v>
          </cell>
          <cell r="BR118">
            <v>1538.597714097132</v>
          </cell>
          <cell r="BT118">
            <v>666.4</v>
          </cell>
          <cell r="BV118">
            <v>2204.9977140971318</v>
          </cell>
          <cell r="BX118">
            <v>6.8294471153846148</v>
          </cell>
          <cell r="CD118">
            <v>0</v>
          </cell>
          <cell r="CG118" t="str">
            <v>MCR</v>
          </cell>
          <cell r="CH118">
            <v>0</v>
          </cell>
          <cell r="CJ118">
            <v>0</v>
          </cell>
          <cell r="CL118">
            <v>0</v>
          </cell>
          <cell r="CN118">
            <v>0</v>
          </cell>
          <cell r="CO118" t="str">
            <v>MCR</v>
          </cell>
          <cell r="CP118">
            <v>1538.597714097132</v>
          </cell>
          <cell r="CR118">
            <v>666.4</v>
          </cell>
          <cell r="CT118">
            <v>2204.9977140971318</v>
          </cell>
          <cell r="CV118">
            <v>6.8294471153846148</v>
          </cell>
        </row>
        <row r="119">
          <cell r="B119" t="str">
            <v>DEP</v>
          </cell>
          <cell r="D119" t="str">
            <v>DEPRECIATION</v>
          </cell>
          <cell r="F119" t="str">
            <v>UADEP</v>
          </cell>
          <cell r="H119">
            <v>0</v>
          </cell>
          <cell r="J119">
            <v>16047228.189999999</v>
          </cell>
          <cell r="L119">
            <v>16047228.189999999</v>
          </cell>
          <cell r="N119">
            <v>0</v>
          </cell>
          <cell r="O119" t="str">
            <v>DEP</v>
          </cell>
          <cell r="P119">
            <v>0</v>
          </cell>
          <cell r="R119">
            <v>16047.2</v>
          </cell>
          <cell r="T119">
            <v>16047.2</v>
          </cell>
          <cell r="AD119">
            <v>0</v>
          </cell>
          <cell r="AF119">
            <v>16047.2</v>
          </cell>
          <cell r="AH119">
            <v>16047.2</v>
          </cell>
          <cell r="AJ119">
            <v>0</v>
          </cell>
          <cell r="AT119">
            <v>0</v>
          </cell>
          <cell r="AV119">
            <v>0</v>
          </cell>
          <cell r="AX119">
            <v>0</v>
          </cell>
          <cell r="AZ119">
            <v>0</v>
          </cell>
          <cell r="BB119">
            <v>0</v>
          </cell>
          <cell r="BD119">
            <v>16047.2</v>
          </cell>
          <cell r="BF119">
            <v>16047.2</v>
          </cell>
          <cell r="BH119">
            <v>0</v>
          </cell>
          <cell r="BN119">
            <v>0</v>
          </cell>
          <cell r="BR119">
            <v>0</v>
          </cell>
          <cell r="BT119">
            <v>16047.2</v>
          </cell>
          <cell r="BV119">
            <v>16047.2</v>
          </cell>
          <cell r="BX119">
            <v>0</v>
          </cell>
          <cell r="CD119">
            <v>0</v>
          </cell>
          <cell r="CG119" t="str">
            <v>DEP</v>
          </cell>
          <cell r="CH119">
            <v>0</v>
          </cell>
          <cell r="CJ119">
            <v>-530.98171627943907</v>
          </cell>
          <cell r="CL119">
            <v>-530.98171627943907</v>
          </cell>
          <cell r="CN119">
            <v>0</v>
          </cell>
          <cell r="CO119" t="str">
            <v>DEP</v>
          </cell>
          <cell r="CP119">
            <v>0</v>
          </cell>
          <cell r="CR119">
            <v>15516.218283720562</v>
          </cell>
          <cell r="CT119">
            <v>15516.218283720562</v>
          </cell>
          <cell r="CV119">
            <v>0</v>
          </cell>
        </row>
        <row r="120">
          <cell r="B120" t="str">
            <v>LEA</v>
          </cell>
          <cell r="D120" t="str">
            <v>LEASES &amp; RENTALS</v>
          </cell>
          <cell r="F120" t="str">
            <v>UALEASE</v>
          </cell>
          <cell r="H120">
            <v>0</v>
          </cell>
          <cell r="J120">
            <v>2472824.7399999998</v>
          </cell>
          <cell r="L120">
            <v>2472824.7399999998</v>
          </cell>
          <cell r="N120">
            <v>0</v>
          </cell>
          <cell r="O120" t="str">
            <v>LEA</v>
          </cell>
          <cell r="P120">
            <v>0</v>
          </cell>
          <cell r="R120">
            <v>2472.8000000000002</v>
          </cell>
          <cell r="T120">
            <v>2472.8000000000002</v>
          </cell>
          <cell r="AD120">
            <v>0</v>
          </cell>
          <cell r="AF120">
            <v>2472.8000000000002</v>
          </cell>
          <cell r="AH120">
            <v>2472.8000000000002</v>
          </cell>
          <cell r="AJ120">
            <v>0</v>
          </cell>
          <cell r="AT120">
            <v>0</v>
          </cell>
          <cell r="AV120">
            <v>0</v>
          </cell>
          <cell r="AX120">
            <v>0</v>
          </cell>
          <cell r="AZ120">
            <v>0</v>
          </cell>
          <cell r="BB120">
            <v>0</v>
          </cell>
          <cell r="BD120">
            <v>2472.8000000000002</v>
          </cell>
          <cell r="BF120">
            <v>2472.8000000000002</v>
          </cell>
          <cell r="BH120">
            <v>0</v>
          </cell>
          <cell r="BN120">
            <v>0</v>
          </cell>
          <cell r="BR120">
            <v>0</v>
          </cell>
          <cell r="BT120">
            <v>2472.8000000000002</v>
          </cell>
          <cell r="BV120">
            <v>2472.8000000000002</v>
          </cell>
          <cell r="BX120">
            <v>0</v>
          </cell>
          <cell r="CD120">
            <v>0</v>
          </cell>
          <cell r="CG120" t="str">
            <v>LEA</v>
          </cell>
          <cell r="CH120">
            <v>0</v>
          </cell>
          <cell r="CJ120">
            <v>-950.61315999999999</v>
          </cell>
          <cell r="CL120">
            <v>-950.61315999999999</v>
          </cell>
          <cell r="CN120">
            <v>0</v>
          </cell>
          <cell r="CO120" t="str">
            <v>LEA</v>
          </cell>
          <cell r="CP120">
            <v>0</v>
          </cell>
          <cell r="CR120">
            <v>1522.1868400000003</v>
          </cell>
          <cell r="CT120">
            <v>1522.1868400000003</v>
          </cell>
          <cell r="CV120">
            <v>0</v>
          </cell>
        </row>
        <row r="121">
          <cell r="B121" t="str">
            <v>LIC</v>
          </cell>
          <cell r="D121" t="str">
            <v>LICENSE &amp; TAXES</v>
          </cell>
          <cell r="F121" t="str">
            <v>UALIC</v>
          </cell>
          <cell r="H121">
            <v>0</v>
          </cell>
          <cell r="J121">
            <v>522995.77999999997</v>
          </cell>
          <cell r="L121">
            <v>522995.77999999997</v>
          </cell>
          <cell r="M121" t="str">
            <v>Allocate</v>
          </cell>
          <cell r="N121">
            <v>0</v>
          </cell>
          <cell r="O121" t="str">
            <v>LIC</v>
          </cell>
          <cell r="P121">
            <v>0</v>
          </cell>
          <cell r="R121">
            <v>523</v>
          </cell>
          <cell r="T121">
            <v>523</v>
          </cell>
          <cell r="AD121">
            <v>0</v>
          </cell>
          <cell r="AF121">
            <v>523</v>
          </cell>
          <cell r="AH121">
            <v>523</v>
          </cell>
          <cell r="AJ121">
            <v>0</v>
          </cell>
          <cell r="AT121">
            <v>0</v>
          </cell>
          <cell r="AV121">
            <v>0</v>
          </cell>
          <cell r="AX121">
            <v>0</v>
          </cell>
          <cell r="AZ121">
            <v>0</v>
          </cell>
          <cell r="BB121">
            <v>0</v>
          </cell>
          <cell r="BD121">
            <v>523</v>
          </cell>
          <cell r="BF121">
            <v>523</v>
          </cell>
          <cell r="BH121">
            <v>0</v>
          </cell>
          <cell r="BN121">
            <v>0</v>
          </cell>
          <cell r="BR121">
            <v>0</v>
          </cell>
          <cell r="BT121">
            <v>523</v>
          </cell>
          <cell r="BV121">
            <v>523</v>
          </cell>
          <cell r="BX121">
            <v>0</v>
          </cell>
          <cell r="CD121">
            <v>0</v>
          </cell>
          <cell r="CG121" t="str">
            <v>LIC</v>
          </cell>
          <cell r="CH121">
            <v>0</v>
          </cell>
          <cell r="CJ121">
            <v>0</v>
          </cell>
          <cell r="CL121">
            <v>0</v>
          </cell>
          <cell r="CN121">
            <v>0</v>
          </cell>
          <cell r="CO121" t="str">
            <v>LIC</v>
          </cell>
          <cell r="CP121">
            <v>0</v>
          </cell>
          <cell r="CR121">
            <v>523</v>
          </cell>
          <cell r="CT121">
            <v>523</v>
          </cell>
          <cell r="CV121">
            <v>0</v>
          </cell>
        </row>
        <row r="122">
          <cell r="B122" t="str">
            <v>IST</v>
          </cell>
          <cell r="D122" t="str">
            <v>INTEREST SHORT TERM</v>
          </cell>
          <cell r="F122" t="str">
            <v>UAIST</v>
          </cell>
          <cell r="H122">
            <v>0</v>
          </cell>
          <cell r="J122">
            <v>0</v>
          </cell>
          <cell r="L122">
            <v>0</v>
          </cell>
          <cell r="M122" t="str">
            <v>Loss as</v>
          </cell>
          <cell r="N122">
            <v>0</v>
          </cell>
          <cell r="O122" t="str">
            <v>IST</v>
          </cell>
          <cell r="P122">
            <v>0</v>
          </cell>
          <cell r="R122">
            <v>0</v>
          </cell>
          <cell r="T122">
            <v>0</v>
          </cell>
          <cell r="AD122">
            <v>0</v>
          </cell>
          <cell r="AF122">
            <v>0</v>
          </cell>
          <cell r="AH122">
            <v>0</v>
          </cell>
          <cell r="AJ122">
            <v>0</v>
          </cell>
          <cell r="AT122">
            <v>0</v>
          </cell>
          <cell r="AV122">
            <v>0</v>
          </cell>
          <cell r="AX122">
            <v>0</v>
          </cell>
          <cell r="AZ122">
            <v>0</v>
          </cell>
          <cell r="BB122">
            <v>0</v>
          </cell>
          <cell r="BD122">
            <v>0</v>
          </cell>
          <cell r="BF122">
            <v>0</v>
          </cell>
          <cell r="BH122">
            <v>0</v>
          </cell>
          <cell r="BN122">
            <v>0</v>
          </cell>
          <cell r="BR122">
            <v>0</v>
          </cell>
          <cell r="BT122">
            <v>0</v>
          </cell>
          <cell r="BV122">
            <v>0</v>
          </cell>
          <cell r="BX122">
            <v>0</v>
          </cell>
          <cell r="CD122">
            <v>0</v>
          </cell>
          <cell r="CG122" t="str">
            <v>IST</v>
          </cell>
          <cell r="CH122">
            <v>0</v>
          </cell>
          <cell r="CJ122">
            <v>0</v>
          </cell>
          <cell r="CL122">
            <v>0</v>
          </cell>
          <cell r="CN122">
            <v>0</v>
          </cell>
          <cell r="CO122" t="str">
            <v>IST</v>
          </cell>
          <cell r="CP122">
            <v>0</v>
          </cell>
          <cell r="CR122">
            <v>0</v>
          </cell>
          <cell r="CT122">
            <v>0</v>
          </cell>
          <cell r="CV122">
            <v>0</v>
          </cell>
        </row>
        <row r="123">
          <cell r="B123" t="str">
            <v>ILT</v>
          </cell>
          <cell r="D123" t="str">
            <v>INTEREST LONG TERM</v>
          </cell>
          <cell r="F123" t="str">
            <v>UAILT</v>
          </cell>
          <cell r="H123">
            <v>0</v>
          </cell>
          <cell r="J123">
            <v>6846966.79</v>
          </cell>
          <cell r="L123">
            <v>6846966.79</v>
          </cell>
          <cell r="M123" t="str">
            <v>Fringe?</v>
          </cell>
          <cell r="N123">
            <v>0</v>
          </cell>
          <cell r="O123" t="str">
            <v>ILT</v>
          </cell>
          <cell r="P123">
            <v>0</v>
          </cell>
          <cell r="R123">
            <v>6847</v>
          </cell>
          <cell r="T123">
            <v>6847</v>
          </cell>
          <cell r="AD123">
            <v>0</v>
          </cell>
          <cell r="AF123">
            <v>6847</v>
          </cell>
          <cell r="AH123">
            <v>6847</v>
          </cell>
          <cell r="AJ123">
            <v>0</v>
          </cell>
          <cell r="AT123">
            <v>0</v>
          </cell>
          <cell r="AV123">
            <v>0</v>
          </cell>
          <cell r="AX123">
            <v>0</v>
          </cell>
          <cell r="AZ123">
            <v>0</v>
          </cell>
          <cell r="BB123">
            <v>0</v>
          </cell>
          <cell r="BD123">
            <v>6847</v>
          </cell>
          <cell r="BF123">
            <v>6847</v>
          </cell>
          <cell r="BH123">
            <v>0</v>
          </cell>
          <cell r="BN123">
            <v>0</v>
          </cell>
          <cell r="BR123">
            <v>0</v>
          </cell>
          <cell r="BT123">
            <v>6847</v>
          </cell>
          <cell r="BV123">
            <v>6847</v>
          </cell>
          <cell r="BX123">
            <v>0</v>
          </cell>
          <cell r="CD123">
            <v>0</v>
          </cell>
          <cell r="CG123" t="str">
            <v>ILT</v>
          </cell>
          <cell r="CH123">
            <v>0</v>
          </cell>
          <cell r="CJ123">
            <v>-451.33508</v>
          </cell>
          <cell r="CL123">
            <v>-451.33508</v>
          </cell>
          <cell r="CN123">
            <v>0</v>
          </cell>
          <cell r="CO123" t="str">
            <v>ILT</v>
          </cell>
          <cell r="CP123">
            <v>0</v>
          </cell>
          <cell r="CR123">
            <v>6395.6649200000002</v>
          </cell>
          <cell r="CT123">
            <v>6395.6649200000002</v>
          </cell>
          <cell r="CV123">
            <v>0</v>
          </cell>
        </row>
        <row r="124">
          <cell r="B124" t="str">
            <v>FSC1</v>
          </cell>
          <cell r="D124" t="str">
            <v>FREE STANDING CLINIC SERVICES</v>
          </cell>
          <cell r="F124" t="str">
            <v>UR1</v>
          </cell>
          <cell r="H124">
            <v>0</v>
          </cell>
          <cell r="J124">
            <v>0</v>
          </cell>
          <cell r="L124">
            <v>0</v>
          </cell>
          <cell r="M124">
            <v>1</v>
          </cell>
          <cell r="N124">
            <v>0</v>
          </cell>
          <cell r="O124" t="str">
            <v>FSC1</v>
          </cell>
          <cell r="P124">
            <v>0</v>
          </cell>
          <cell r="R124">
            <v>0</v>
          </cell>
          <cell r="T124">
            <v>0</v>
          </cell>
          <cell r="AD124">
            <v>0</v>
          </cell>
          <cell r="AF124">
            <v>0</v>
          </cell>
          <cell r="AH124">
            <v>0</v>
          </cell>
          <cell r="AJ124">
            <v>0</v>
          </cell>
          <cell r="AL124">
            <v>0</v>
          </cell>
          <cell r="AN124">
            <v>0</v>
          </cell>
          <cell r="AP124">
            <v>0</v>
          </cell>
          <cell r="AR124">
            <v>0</v>
          </cell>
          <cell r="AT124">
            <v>0</v>
          </cell>
          <cell r="AV124">
            <v>0</v>
          </cell>
          <cell r="AX124">
            <v>0</v>
          </cell>
          <cell r="AZ124">
            <v>0</v>
          </cell>
          <cell r="BB124">
            <v>0</v>
          </cell>
          <cell r="BD124">
            <v>0</v>
          </cell>
          <cell r="BF124">
            <v>0</v>
          </cell>
          <cell r="BH124">
            <v>0</v>
          </cell>
          <cell r="BN124">
            <v>0</v>
          </cell>
          <cell r="BR124">
            <v>0</v>
          </cell>
          <cell r="BT124">
            <v>0</v>
          </cell>
          <cell r="BV124">
            <v>0</v>
          </cell>
          <cell r="BX124">
            <v>0</v>
          </cell>
          <cell r="CB124">
            <v>0</v>
          </cell>
          <cell r="CD124">
            <v>0</v>
          </cell>
          <cell r="CG124" t="str">
            <v>FSC1</v>
          </cell>
          <cell r="CH124">
            <v>0</v>
          </cell>
          <cell r="CJ124">
            <v>0</v>
          </cell>
          <cell r="CL124">
            <v>0</v>
          </cell>
          <cell r="CN124">
            <v>0</v>
          </cell>
          <cell r="CO124" t="str">
            <v>FSC</v>
          </cell>
          <cell r="CP124">
            <v>0</v>
          </cell>
          <cell r="CR124">
            <v>0</v>
          </cell>
          <cell r="CT124">
            <v>0</v>
          </cell>
          <cell r="CV124">
            <v>0</v>
          </cell>
        </row>
        <row r="125">
          <cell r="B125" t="str">
            <v>HHC</v>
          </cell>
          <cell r="D125" t="str">
            <v>HOME HEALTH CARE</v>
          </cell>
          <cell r="F125" t="str">
            <v>UR2</v>
          </cell>
          <cell r="H125">
            <v>0</v>
          </cell>
          <cell r="J125">
            <v>0</v>
          </cell>
          <cell r="L125">
            <v>0</v>
          </cell>
          <cell r="M125">
            <v>1</v>
          </cell>
          <cell r="N125">
            <v>0</v>
          </cell>
          <cell r="O125" t="str">
            <v>HHC</v>
          </cell>
          <cell r="P125">
            <v>0</v>
          </cell>
          <cell r="R125">
            <v>0</v>
          </cell>
          <cell r="T125">
            <v>0</v>
          </cell>
          <cell r="AD125">
            <v>0</v>
          </cell>
          <cell r="AF125">
            <v>0</v>
          </cell>
          <cell r="AH125">
            <v>0</v>
          </cell>
          <cell r="AJ125">
            <v>0</v>
          </cell>
          <cell r="AL125">
            <v>0</v>
          </cell>
          <cell r="AN125">
            <v>0</v>
          </cell>
          <cell r="AP125">
            <v>0</v>
          </cell>
          <cell r="AR125">
            <v>0</v>
          </cell>
          <cell r="AT125">
            <v>0</v>
          </cell>
          <cell r="AV125">
            <v>0</v>
          </cell>
          <cell r="AX125">
            <v>0</v>
          </cell>
          <cell r="AZ125">
            <v>0</v>
          </cell>
          <cell r="BB125">
            <v>0</v>
          </cell>
          <cell r="BD125">
            <v>0</v>
          </cell>
          <cell r="BF125">
            <v>0</v>
          </cell>
          <cell r="BH125">
            <v>0</v>
          </cell>
          <cell r="BN125">
            <v>0</v>
          </cell>
          <cell r="BR125">
            <v>0</v>
          </cell>
          <cell r="BT125">
            <v>0</v>
          </cell>
          <cell r="BV125">
            <v>0</v>
          </cell>
          <cell r="BX125">
            <v>0</v>
          </cell>
          <cell r="CB125">
            <v>0</v>
          </cell>
          <cell r="CD125">
            <v>0</v>
          </cell>
          <cell r="CG125" t="str">
            <v>HHC</v>
          </cell>
          <cell r="CH125">
            <v>0</v>
          </cell>
          <cell r="CJ125">
            <v>0</v>
          </cell>
          <cell r="CL125">
            <v>0</v>
          </cell>
          <cell r="CN125">
            <v>0</v>
          </cell>
          <cell r="CO125" t="str">
            <v>HHC</v>
          </cell>
          <cell r="CP125">
            <v>0</v>
          </cell>
          <cell r="CR125">
            <v>0</v>
          </cell>
          <cell r="CT125">
            <v>0</v>
          </cell>
          <cell r="CV125">
            <v>0</v>
          </cell>
        </row>
        <row r="126">
          <cell r="B126" t="str">
            <v>ORD</v>
          </cell>
          <cell r="D126" t="str">
            <v>OUTPATIENT RENAL DIALYSIS</v>
          </cell>
          <cell r="F126" t="str">
            <v>UR3</v>
          </cell>
          <cell r="H126">
            <v>0</v>
          </cell>
          <cell r="J126">
            <v>0</v>
          </cell>
          <cell r="L126">
            <v>0</v>
          </cell>
          <cell r="M126">
            <v>1</v>
          </cell>
          <cell r="N126">
            <v>0</v>
          </cell>
          <cell r="O126" t="str">
            <v>ORD</v>
          </cell>
          <cell r="P126">
            <v>0</v>
          </cell>
          <cell r="R126">
            <v>0</v>
          </cell>
          <cell r="T126">
            <v>0</v>
          </cell>
          <cell r="AD126">
            <v>0</v>
          </cell>
          <cell r="AF126">
            <v>0</v>
          </cell>
          <cell r="AH126">
            <v>0</v>
          </cell>
          <cell r="AJ126">
            <v>0</v>
          </cell>
          <cell r="AL126">
            <v>0</v>
          </cell>
          <cell r="AN126">
            <v>0</v>
          </cell>
          <cell r="AP126">
            <v>0</v>
          </cell>
          <cell r="AR126">
            <v>0</v>
          </cell>
          <cell r="AT126">
            <v>0</v>
          </cell>
          <cell r="AV126">
            <v>0</v>
          </cell>
          <cell r="AX126">
            <v>0</v>
          </cell>
          <cell r="AZ126">
            <v>0</v>
          </cell>
          <cell r="BB126">
            <v>0</v>
          </cell>
          <cell r="BD126">
            <v>0</v>
          </cell>
          <cell r="BF126">
            <v>0</v>
          </cell>
          <cell r="BH126">
            <v>0</v>
          </cell>
          <cell r="BN126">
            <v>0</v>
          </cell>
          <cell r="BR126">
            <v>0</v>
          </cell>
          <cell r="BT126">
            <v>0</v>
          </cell>
          <cell r="BV126">
            <v>0</v>
          </cell>
          <cell r="BX126">
            <v>0</v>
          </cell>
          <cell r="CB126">
            <v>0</v>
          </cell>
          <cell r="CD126">
            <v>0</v>
          </cell>
          <cell r="CG126" t="str">
            <v>ORD</v>
          </cell>
          <cell r="CH126">
            <v>0</v>
          </cell>
          <cell r="CJ126">
            <v>0</v>
          </cell>
          <cell r="CL126">
            <v>0</v>
          </cell>
          <cell r="CN126">
            <v>0</v>
          </cell>
          <cell r="CO126" t="str">
            <v>ORD</v>
          </cell>
          <cell r="CP126">
            <v>0</v>
          </cell>
          <cell r="CR126">
            <v>0</v>
          </cell>
          <cell r="CT126">
            <v>0</v>
          </cell>
          <cell r="CV126">
            <v>0</v>
          </cell>
        </row>
        <row r="127">
          <cell r="B127" t="str">
            <v>ECF1</v>
          </cell>
          <cell r="D127" t="str">
            <v>SKILLED NURSING CARE</v>
          </cell>
          <cell r="F127" t="str">
            <v>UR4</v>
          </cell>
          <cell r="H127">
            <v>0</v>
          </cell>
          <cell r="J127">
            <v>0</v>
          </cell>
          <cell r="L127">
            <v>0</v>
          </cell>
          <cell r="M127">
            <v>1</v>
          </cell>
          <cell r="N127">
            <v>0</v>
          </cell>
          <cell r="O127" t="str">
            <v>ECF1</v>
          </cell>
          <cell r="P127">
            <v>0</v>
          </cell>
          <cell r="R127">
            <v>0</v>
          </cell>
          <cell r="T127">
            <v>0</v>
          </cell>
          <cell r="AD127">
            <v>0</v>
          </cell>
          <cell r="AF127">
            <v>0</v>
          </cell>
          <cell r="AH127">
            <v>0</v>
          </cell>
          <cell r="AJ127">
            <v>0</v>
          </cell>
          <cell r="AL127">
            <v>0</v>
          </cell>
          <cell r="AN127">
            <v>0</v>
          </cell>
          <cell r="AP127">
            <v>0</v>
          </cell>
          <cell r="AR127">
            <v>0</v>
          </cell>
          <cell r="AT127">
            <v>0</v>
          </cell>
          <cell r="AV127">
            <v>0</v>
          </cell>
          <cell r="AX127">
            <v>0</v>
          </cell>
          <cell r="AZ127">
            <v>0</v>
          </cell>
          <cell r="BB127">
            <v>0</v>
          </cell>
          <cell r="BD127">
            <v>0</v>
          </cell>
          <cell r="BF127">
            <v>0</v>
          </cell>
          <cell r="BH127">
            <v>0</v>
          </cell>
          <cell r="BN127">
            <v>0</v>
          </cell>
          <cell r="BR127">
            <v>0</v>
          </cell>
          <cell r="BT127">
            <v>0</v>
          </cell>
          <cell r="BV127">
            <v>0</v>
          </cell>
          <cell r="BX127">
            <v>0</v>
          </cell>
          <cell r="CB127">
            <v>0</v>
          </cell>
          <cell r="CD127">
            <v>0</v>
          </cell>
          <cell r="CG127" t="str">
            <v>ECF1</v>
          </cell>
          <cell r="CH127">
            <v>0</v>
          </cell>
          <cell r="CJ127">
            <v>0</v>
          </cell>
          <cell r="CL127">
            <v>0</v>
          </cell>
          <cell r="CN127">
            <v>0</v>
          </cell>
          <cell r="CO127" t="str">
            <v>ECF</v>
          </cell>
          <cell r="CP127">
            <v>0</v>
          </cell>
          <cell r="CR127">
            <v>0</v>
          </cell>
          <cell r="CT127">
            <v>0</v>
          </cell>
          <cell r="CV127">
            <v>0</v>
          </cell>
        </row>
        <row r="128">
          <cell r="B128" t="str">
            <v>ULB</v>
          </cell>
          <cell r="D128" t="str">
            <v>LAB NON-PATIENT</v>
          </cell>
          <cell r="F128" t="str">
            <v>UR5</v>
          </cell>
          <cell r="H128">
            <v>1831216.7467120574</v>
          </cell>
          <cell r="J128">
            <v>1222160.8968007369</v>
          </cell>
          <cell r="L128">
            <v>3053377.6435127943</v>
          </cell>
          <cell r="M128">
            <v>1</v>
          </cell>
          <cell r="N128">
            <v>26.711519786631506</v>
          </cell>
          <cell r="O128" t="str">
            <v>ULB</v>
          </cell>
          <cell r="P128">
            <v>1831.2</v>
          </cell>
          <cell r="R128">
            <v>1222.2</v>
          </cell>
          <cell r="T128">
            <v>3053.4</v>
          </cell>
          <cell r="AD128">
            <v>1831.2</v>
          </cell>
          <cell r="AF128">
            <v>1222.2</v>
          </cell>
          <cell r="AH128">
            <v>3053.4</v>
          </cell>
          <cell r="AJ128">
            <v>26.711519786631506</v>
          </cell>
          <cell r="AL128">
            <v>0</v>
          </cell>
          <cell r="AN128">
            <v>0</v>
          </cell>
          <cell r="AP128">
            <v>0</v>
          </cell>
          <cell r="AR128">
            <v>0</v>
          </cell>
          <cell r="AT128">
            <v>0</v>
          </cell>
          <cell r="AV128">
            <v>0</v>
          </cell>
          <cell r="AX128">
            <v>0</v>
          </cell>
          <cell r="AZ128">
            <v>0</v>
          </cell>
          <cell r="BB128">
            <v>1831.2</v>
          </cell>
          <cell r="BD128">
            <v>1222.2</v>
          </cell>
          <cell r="BF128">
            <v>3053.4</v>
          </cell>
          <cell r="BH128">
            <v>26.711519786631506</v>
          </cell>
          <cell r="BN128">
            <v>0</v>
          </cell>
          <cell r="BR128">
            <v>1831.2</v>
          </cell>
          <cell r="BT128">
            <v>1222.2</v>
          </cell>
          <cell r="BV128">
            <v>3053.4</v>
          </cell>
          <cell r="BX128">
            <v>26.711519786631506</v>
          </cell>
          <cell r="CB128">
            <v>9.4741199999999992</v>
          </cell>
          <cell r="CD128">
            <v>9.4741199999999992</v>
          </cell>
          <cell r="CG128" t="str">
            <v>ULB</v>
          </cell>
          <cell r="CH128">
            <v>127.59747522615247</v>
          </cell>
          <cell r="CJ128">
            <v>304.04719324633828</v>
          </cell>
          <cell r="CL128">
            <v>431.64466847249076</v>
          </cell>
          <cell r="CN128">
            <v>1.4064835934924826</v>
          </cell>
          <cell r="CO128" t="str">
            <v>ULB</v>
          </cell>
          <cell r="CP128">
            <v>1968.2715952261526</v>
          </cell>
          <cell r="CR128">
            <v>1526.2471932463384</v>
          </cell>
          <cell r="CT128">
            <v>3494.518788472491</v>
          </cell>
          <cell r="CV128">
            <v>28.118003380123987</v>
          </cell>
        </row>
        <row r="129">
          <cell r="B129" t="str">
            <v>UPB</v>
          </cell>
          <cell r="D129" t="str">
            <v>PHYSICIANS PART B SERVICES</v>
          </cell>
          <cell r="F129" t="str">
            <v>UR6</v>
          </cell>
          <cell r="H129">
            <v>9919464.8282712158</v>
          </cell>
          <cell r="J129">
            <v>7375505.9999999991</v>
          </cell>
          <cell r="L129">
            <v>17294970.828271214</v>
          </cell>
          <cell r="M129">
            <v>1</v>
          </cell>
          <cell r="N129">
            <v>33.615231201623502</v>
          </cell>
          <cell r="O129" t="str">
            <v>UPB</v>
          </cell>
          <cell r="P129">
            <v>9919.5</v>
          </cell>
          <cell r="R129">
            <v>7375.5</v>
          </cell>
          <cell r="T129">
            <v>17295</v>
          </cell>
          <cell r="X129">
            <v>0</v>
          </cell>
          <cell r="Z129">
            <v>0</v>
          </cell>
          <cell r="AD129">
            <v>9919.5</v>
          </cell>
          <cell r="AF129">
            <v>7375.5</v>
          </cell>
          <cell r="AH129">
            <v>17295</v>
          </cell>
          <cell r="AJ129">
            <v>33.615231201623502</v>
          </cell>
          <cell r="AL129">
            <v>0</v>
          </cell>
          <cell r="AN129">
            <v>0</v>
          </cell>
          <cell r="AP129">
            <v>0</v>
          </cell>
          <cell r="AR129">
            <v>0</v>
          </cell>
          <cell r="AT129">
            <v>0</v>
          </cell>
          <cell r="AV129">
            <v>0</v>
          </cell>
          <cell r="AX129">
            <v>0</v>
          </cell>
          <cell r="AZ129">
            <v>0</v>
          </cell>
          <cell r="BB129">
            <v>9919.5</v>
          </cell>
          <cell r="BD129">
            <v>7375.5</v>
          </cell>
          <cell r="BF129">
            <v>17295</v>
          </cell>
          <cell r="BH129">
            <v>33.615231201623502</v>
          </cell>
          <cell r="BN129">
            <v>0</v>
          </cell>
          <cell r="BR129">
            <v>9919.5</v>
          </cell>
          <cell r="BT129">
            <v>7375.5</v>
          </cell>
          <cell r="BV129">
            <v>17295</v>
          </cell>
          <cell r="BX129">
            <v>33.615231201623502</v>
          </cell>
          <cell r="CB129">
            <v>12.915139999999999</v>
          </cell>
          <cell r="CD129">
            <v>12.915139999999999</v>
          </cell>
          <cell r="CG129" t="str">
            <v>UPB</v>
          </cell>
          <cell r="CH129">
            <v>528.25780421869615</v>
          </cell>
          <cell r="CJ129">
            <v>1251.3219722892391</v>
          </cell>
          <cell r="CL129">
            <v>1779.5797765079351</v>
          </cell>
          <cell r="CN129">
            <v>4.7152994450136632</v>
          </cell>
          <cell r="CO129" t="str">
            <v>UPB</v>
          </cell>
          <cell r="CP129">
            <v>10460.672944218695</v>
          </cell>
          <cell r="CR129">
            <v>8626.8219722892391</v>
          </cell>
          <cell r="CT129">
            <v>19087.494916507934</v>
          </cell>
          <cell r="CV129">
            <v>38.330530646637165</v>
          </cell>
        </row>
        <row r="130">
          <cell r="B130" t="str">
            <v>CNA</v>
          </cell>
          <cell r="D130" t="str">
            <v>CERTIFIED NURSE ANESTHETIST</v>
          </cell>
          <cell r="F130" t="str">
            <v>UR7</v>
          </cell>
          <cell r="H130">
            <v>0</v>
          </cell>
          <cell r="J130">
            <v>0</v>
          </cell>
          <cell r="L130">
            <v>0</v>
          </cell>
          <cell r="M130">
            <v>1</v>
          </cell>
          <cell r="N130">
            <v>0</v>
          </cell>
          <cell r="O130" t="str">
            <v>CNA</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CNA</v>
          </cell>
          <cell r="CH130">
            <v>0</v>
          </cell>
          <cell r="CJ130">
            <v>0</v>
          </cell>
          <cell r="CL130">
            <v>0</v>
          </cell>
          <cell r="CN130">
            <v>0</v>
          </cell>
          <cell r="CO130" t="str">
            <v>UPB</v>
          </cell>
          <cell r="CP130">
            <v>0</v>
          </cell>
          <cell r="CR130">
            <v>0</v>
          </cell>
          <cell r="CT130">
            <v>0</v>
          </cell>
          <cell r="CV130">
            <v>0</v>
          </cell>
        </row>
        <row r="131">
          <cell r="B131" t="str">
            <v>PSS</v>
          </cell>
          <cell r="D131" t="str">
            <v>PHYSICIAN SUPPORT SERVICES</v>
          </cell>
          <cell r="F131" t="str">
            <v>UR8</v>
          </cell>
          <cell r="H131">
            <v>102793.8978333008</v>
          </cell>
          <cell r="J131">
            <v>0</v>
          </cell>
          <cell r="L131">
            <v>102793.8978333008</v>
          </cell>
          <cell r="M131">
            <v>1</v>
          </cell>
          <cell r="N131">
            <v>0.86612499999999992</v>
          </cell>
          <cell r="O131" t="str">
            <v>PSS</v>
          </cell>
          <cell r="P131">
            <v>102.8</v>
          </cell>
          <cell r="R131">
            <v>0</v>
          </cell>
          <cell r="T131">
            <v>102.8</v>
          </cell>
          <cell r="AD131">
            <v>102.8</v>
          </cell>
          <cell r="AF131">
            <v>0</v>
          </cell>
          <cell r="AH131">
            <v>102.8</v>
          </cell>
          <cell r="AJ131">
            <v>0.86612499999999992</v>
          </cell>
          <cell r="AL131">
            <v>0</v>
          </cell>
          <cell r="AN131">
            <v>0</v>
          </cell>
          <cell r="AP131">
            <v>0</v>
          </cell>
          <cell r="AR131">
            <v>0</v>
          </cell>
          <cell r="AT131">
            <v>0</v>
          </cell>
          <cell r="AV131">
            <v>0</v>
          </cell>
          <cell r="AX131">
            <v>0</v>
          </cell>
          <cell r="AZ131">
            <v>0</v>
          </cell>
          <cell r="BB131">
            <v>102.8</v>
          </cell>
          <cell r="BD131">
            <v>0</v>
          </cell>
          <cell r="BF131">
            <v>102.8</v>
          </cell>
          <cell r="BH131">
            <v>0.86612499999999992</v>
          </cell>
          <cell r="BN131">
            <v>0</v>
          </cell>
          <cell r="BR131">
            <v>102.8</v>
          </cell>
          <cell r="BT131">
            <v>0</v>
          </cell>
          <cell r="BV131">
            <v>102.8</v>
          </cell>
          <cell r="BX131">
            <v>0.86612499999999992</v>
          </cell>
          <cell r="CB131">
            <v>0.29182999999999998</v>
          </cell>
          <cell r="CD131">
            <v>0.29182999999999998</v>
          </cell>
          <cell r="CG131" t="str">
            <v>PSS</v>
          </cell>
          <cell r="CH131">
            <v>0</v>
          </cell>
          <cell r="CJ131">
            <v>0</v>
          </cell>
          <cell r="CL131">
            <v>0</v>
          </cell>
          <cell r="CN131">
            <v>0</v>
          </cell>
          <cell r="CO131" t="str">
            <v>UPB</v>
          </cell>
          <cell r="CP131">
            <v>103.09183</v>
          </cell>
          <cell r="CR131">
            <v>0</v>
          </cell>
          <cell r="CT131">
            <v>103.09183</v>
          </cell>
          <cell r="CV131">
            <v>0.86612499999999992</v>
          </cell>
        </row>
        <row r="132">
          <cell r="B132" t="str">
            <v>TBA2</v>
          </cell>
          <cell r="D132" t="str">
            <v>Lactation Center Program</v>
          </cell>
          <cell r="F132" t="str">
            <v>UR9</v>
          </cell>
          <cell r="H132">
            <v>158163.01300325175</v>
          </cell>
          <cell r="J132">
            <v>304.64999999999998</v>
          </cell>
          <cell r="L132">
            <v>158467.66300325174</v>
          </cell>
          <cell r="M132">
            <v>1</v>
          </cell>
          <cell r="N132">
            <v>1.5104567307692307</v>
          </cell>
          <cell r="O132" t="str">
            <v>TBA2</v>
          </cell>
          <cell r="P132">
            <v>158.19999999999999</v>
          </cell>
          <cell r="R132">
            <v>0.3</v>
          </cell>
          <cell r="T132">
            <v>158.5</v>
          </cell>
          <cell r="AD132">
            <v>158.19999999999999</v>
          </cell>
          <cell r="AF132">
            <v>0.3</v>
          </cell>
          <cell r="AH132">
            <v>158.5</v>
          </cell>
          <cell r="AJ132">
            <v>1.5104567307692307</v>
          </cell>
          <cell r="AL132">
            <v>0</v>
          </cell>
          <cell r="AN132">
            <v>0</v>
          </cell>
          <cell r="AP132">
            <v>0</v>
          </cell>
          <cell r="AR132">
            <v>0</v>
          </cell>
          <cell r="AT132">
            <v>0</v>
          </cell>
          <cell r="AV132">
            <v>0</v>
          </cell>
          <cell r="AX132">
            <v>0</v>
          </cell>
          <cell r="AZ132">
            <v>0</v>
          </cell>
          <cell r="BB132">
            <v>158.19999999999999</v>
          </cell>
          <cell r="BD132">
            <v>0.3</v>
          </cell>
          <cell r="BF132">
            <v>158.5</v>
          </cell>
          <cell r="BH132">
            <v>1.5104567307692307</v>
          </cell>
          <cell r="BN132">
            <v>0</v>
          </cell>
          <cell r="BR132">
            <v>158.19999999999999</v>
          </cell>
          <cell r="BT132">
            <v>0.3</v>
          </cell>
          <cell r="BV132">
            <v>158.5</v>
          </cell>
          <cell r="BX132">
            <v>1.5104567307692307</v>
          </cell>
          <cell r="CB132">
            <v>0.51910000000000001</v>
          </cell>
          <cell r="CD132">
            <v>0.51910000000000001</v>
          </cell>
          <cell r="CG132" t="str">
            <v>TBA2</v>
          </cell>
          <cell r="CH132">
            <v>4.1619272066854691</v>
          </cell>
          <cell r="CJ132">
            <v>19.401773259757061</v>
          </cell>
          <cell r="CL132">
            <v>23.56370046644253</v>
          </cell>
          <cell r="CN132">
            <v>3.0168527430938234E-2</v>
          </cell>
          <cell r="CO132" t="str">
            <v>UPB</v>
          </cell>
          <cell r="CP132">
            <v>162.88102720668547</v>
          </cell>
          <cell r="CR132">
            <v>19.701773259757061</v>
          </cell>
          <cell r="CT132">
            <v>182.58280046644254</v>
          </cell>
          <cell r="CV132">
            <v>1.5406252582001689</v>
          </cell>
        </row>
        <row r="133">
          <cell r="B133" t="str">
            <v>TBA3</v>
          </cell>
          <cell r="D133" t="str">
            <v>St Joseph Medical Center Foundation</v>
          </cell>
          <cell r="F133" t="str">
            <v>UR10</v>
          </cell>
          <cell r="H133">
            <v>175000</v>
          </cell>
          <cell r="J133">
            <v>447000</v>
          </cell>
          <cell r="L133">
            <v>622000</v>
          </cell>
          <cell r="M133">
            <v>1</v>
          </cell>
          <cell r="N133">
            <v>0</v>
          </cell>
          <cell r="O133" t="str">
            <v>TBA3</v>
          </cell>
          <cell r="P133">
            <v>175</v>
          </cell>
          <cell r="R133">
            <v>447</v>
          </cell>
          <cell r="T133">
            <v>622</v>
          </cell>
          <cell r="AD133">
            <v>175</v>
          </cell>
          <cell r="AF133">
            <v>447</v>
          </cell>
          <cell r="AH133">
            <v>622</v>
          </cell>
          <cell r="AJ133">
            <v>0</v>
          </cell>
          <cell r="AL133">
            <v>0</v>
          </cell>
          <cell r="AN133">
            <v>0</v>
          </cell>
          <cell r="AP133">
            <v>0</v>
          </cell>
          <cell r="AR133">
            <v>0</v>
          </cell>
          <cell r="AT133">
            <v>0</v>
          </cell>
          <cell r="AV133">
            <v>0</v>
          </cell>
          <cell r="AX133">
            <v>0</v>
          </cell>
          <cell r="AZ133">
            <v>0</v>
          </cell>
          <cell r="BB133">
            <v>175</v>
          </cell>
          <cell r="BD133">
            <v>447</v>
          </cell>
          <cell r="BF133">
            <v>622</v>
          </cell>
          <cell r="BH133">
            <v>0</v>
          </cell>
          <cell r="BN133">
            <v>0</v>
          </cell>
          <cell r="BR133">
            <v>175</v>
          </cell>
          <cell r="BT133">
            <v>447</v>
          </cell>
          <cell r="BV133">
            <v>622</v>
          </cell>
          <cell r="BX133">
            <v>0</v>
          </cell>
          <cell r="CB133">
            <v>0</v>
          </cell>
          <cell r="CD133">
            <v>0</v>
          </cell>
          <cell r="CG133" t="str">
            <v>TBA3</v>
          </cell>
          <cell r="CH133">
            <v>0</v>
          </cell>
          <cell r="CJ133">
            <v>0</v>
          </cell>
          <cell r="CL133">
            <v>0</v>
          </cell>
          <cell r="CN133">
            <v>0</v>
          </cell>
          <cell r="CO133" t="str">
            <v>UPB</v>
          </cell>
          <cell r="CP133">
            <v>175</v>
          </cell>
          <cell r="CR133">
            <v>447</v>
          </cell>
          <cell r="CT133">
            <v>622</v>
          </cell>
          <cell r="CV133">
            <v>0</v>
          </cell>
        </row>
      </sheetData>
      <sheetData sheetId="4">
        <row r="15">
          <cell r="B15" t="str">
            <v>DTY</v>
          </cell>
          <cell r="D15" t="str">
            <v>DIETARY</v>
          </cell>
          <cell r="F15" t="str">
            <v>C1</v>
          </cell>
          <cell r="H15">
            <v>0</v>
          </cell>
          <cell r="J15">
            <v>2201209.1002700003</v>
          </cell>
          <cell r="L15">
            <v>2201209.1002700003</v>
          </cell>
          <cell r="N15">
            <v>0</v>
          </cell>
          <cell r="O15" t="str">
            <v>DTY</v>
          </cell>
          <cell r="P15">
            <v>0</v>
          </cell>
          <cell r="R15">
            <v>2201.1999999999998</v>
          </cell>
          <cell r="T15">
            <v>2201.1999999999998</v>
          </cell>
          <cell r="X15">
            <v>0</v>
          </cell>
          <cell r="Z15">
            <v>0</v>
          </cell>
          <cell r="AD15">
            <v>0</v>
          </cell>
          <cell r="AF15">
            <v>2201.1999999999998</v>
          </cell>
          <cell r="AH15">
            <v>2201.1999999999998</v>
          </cell>
          <cell r="AJ15">
            <v>0</v>
          </cell>
          <cell r="AL15">
            <v>0</v>
          </cell>
          <cell r="AN15">
            <v>0</v>
          </cell>
          <cell r="AP15">
            <v>0</v>
          </cell>
          <cell r="AR15">
            <v>0</v>
          </cell>
          <cell r="AT15">
            <v>0</v>
          </cell>
          <cell r="AV15">
            <v>0</v>
          </cell>
          <cell r="AX15">
            <v>0</v>
          </cell>
          <cell r="AZ15">
            <v>0</v>
          </cell>
          <cell r="BB15">
            <v>0</v>
          </cell>
          <cell r="BD15">
            <v>2201.1999999999998</v>
          </cell>
          <cell r="BF15">
            <v>2201.1999999999998</v>
          </cell>
          <cell r="BH15">
            <v>0</v>
          </cell>
          <cell r="BN15">
            <v>0</v>
          </cell>
          <cell r="BR15">
            <v>0</v>
          </cell>
          <cell r="BT15">
            <v>2201.1999999999998</v>
          </cell>
          <cell r="BV15">
            <v>2201.1999999999998</v>
          </cell>
          <cell r="BX15">
            <v>0</v>
          </cell>
          <cell r="CB15">
            <v>0</v>
          </cell>
          <cell r="CD15">
            <v>0</v>
          </cell>
          <cell r="CG15" t="str">
            <v>DTY</v>
          </cell>
          <cell r="CH15">
            <v>0</v>
          </cell>
          <cell r="CJ15">
            <v>0</v>
          </cell>
          <cell r="CL15">
            <v>0</v>
          </cell>
          <cell r="CN15">
            <v>0</v>
          </cell>
          <cell r="CO15" t="str">
            <v>DTY</v>
          </cell>
          <cell r="CP15">
            <v>0</v>
          </cell>
          <cell r="CR15">
            <v>2201.1999999999998</v>
          </cell>
          <cell r="CT15">
            <v>2201.1999999999998</v>
          </cell>
          <cell r="CV15">
            <v>0</v>
          </cell>
        </row>
        <row r="16">
          <cell r="B16" t="str">
            <v>LL</v>
          </cell>
          <cell r="D16" t="str">
            <v>LAUNDRY &amp; LINEN</v>
          </cell>
          <cell r="F16" t="str">
            <v>C2</v>
          </cell>
          <cell r="H16">
            <v>73234.019626823399</v>
          </cell>
          <cell r="J16">
            <v>1153014.7600000005</v>
          </cell>
          <cell r="L16">
            <v>1226248.779626824</v>
          </cell>
          <cell r="N16">
            <v>2.218389423076923</v>
          </cell>
          <cell r="O16" t="str">
            <v>LL</v>
          </cell>
          <cell r="P16">
            <v>73.2</v>
          </cell>
          <cell r="R16">
            <v>1153</v>
          </cell>
          <cell r="T16">
            <v>1226.2</v>
          </cell>
          <cell r="X16">
            <v>0</v>
          </cell>
          <cell r="Z16">
            <v>0</v>
          </cell>
          <cell r="AD16">
            <v>73.2</v>
          </cell>
          <cell r="AF16">
            <v>1153</v>
          </cell>
          <cell r="AH16">
            <v>1226.2</v>
          </cell>
          <cell r="AJ16">
            <v>2.218389423076923</v>
          </cell>
          <cell r="AL16">
            <v>0</v>
          </cell>
          <cell r="AN16">
            <v>0</v>
          </cell>
          <cell r="AP16">
            <v>0</v>
          </cell>
          <cell r="AR16">
            <v>0</v>
          </cell>
          <cell r="AT16">
            <v>1.2889683394837617</v>
          </cell>
          <cell r="AV16">
            <v>23.538348933331292</v>
          </cell>
          <cell r="AX16">
            <v>24.827317272815055</v>
          </cell>
          <cell r="AZ16">
            <v>9.7112679076289416E-3</v>
          </cell>
          <cell r="BB16">
            <v>74.488968339483762</v>
          </cell>
          <cell r="BD16">
            <v>1176.5383489333312</v>
          </cell>
          <cell r="BF16">
            <v>1251.027317272815</v>
          </cell>
          <cell r="BH16">
            <v>2.2281006909845518</v>
          </cell>
          <cell r="BN16">
            <v>0</v>
          </cell>
          <cell r="BR16">
            <v>74.488968339483762</v>
          </cell>
          <cell r="BT16">
            <v>1176.5383489333312</v>
          </cell>
          <cell r="BV16">
            <v>1251.027317272815</v>
          </cell>
          <cell r="BX16">
            <v>2.2281006909845518</v>
          </cell>
          <cell r="CB16">
            <v>2.37643</v>
          </cell>
          <cell r="CD16">
            <v>2.37643</v>
          </cell>
          <cell r="CG16" t="str">
            <v>LL</v>
          </cell>
          <cell r="CH16">
            <v>-0.54807970093413816</v>
          </cell>
          <cell r="CJ16">
            <v>-8.6291041793640062</v>
          </cell>
          <cell r="CL16">
            <v>-9.1771838802981449</v>
          </cell>
          <cell r="CN16">
            <v>-1.6602314303530666E-2</v>
          </cell>
          <cell r="CO16" t="str">
            <v>LL</v>
          </cell>
          <cell r="CP16">
            <v>76.317318638549622</v>
          </cell>
          <cell r="CR16">
            <v>1167.9092447539672</v>
          </cell>
          <cell r="CT16">
            <v>1244.2265633925167</v>
          </cell>
          <cell r="CV16">
            <v>2.2114983766810212</v>
          </cell>
        </row>
        <row r="17">
          <cell r="B17" t="str">
            <v>SSS</v>
          </cell>
          <cell r="D17" t="str">
            <v>SOCIAL SERVICES</v>
          </cell>
          <cell r="F17" t="str">
            <v>C3</v>
          </cell>
          <cell r="H17">
            <v>179926.41762214981</v>
          </cell>
          <cell r="J17">
            <v>0</v>
          </cell>
          <cell r="L17">
            <v>179926.41762214981</v>
          </cell>
          <cell r="N17">
            <v>3.5681490384615384</v>
          </cell>
          <cell r="O17" t="str">
            <v>SSS</v>
          </cell>
          <cell r="P17">
            <v>179.9</v>
          </cell>
          <cell r="R17">
            <v>0</v>
          </cell>
          <cell r="T17">
            <v>179.9</v>
          </cell>
          <cell r="X17">
            <v>0</v>
          </cell>
          <cell r="Z17">
            <v>0</v>
          </cell>
          <cell r="AD17">
            <v>179.9</v>
          </cell>
          <cell r="AF17">
            <v>0</v>
          </cell>
          <cell r="AH17">
            <v>179.9</v>
          </cell>
          <cell r="AJ17">
            <v>3.5681490384615384</v>
          </cell>
          <cell r="AL17">
            <v>0</v>
          </cell>
          <cell r="AN17">
            <v>0</v>
          </cell>
          <cell r="AP17">
            <v>0</v>
          </cell>
          <cell r="AR17">
            <v>0</v>
          </cell>
          <cell r="AT17">
            <v>2.0732298366069477</v>
          </cell>
          <cell r="AV17">
            <v>37.860051188373305</v>
          </cell>
          <cell r="AX17">
            <v>39.933281024980253</v>
          </cell>
          <cell r="AZ17">
            <v>1.5620003812850431E-2</v>
          </cell>
          <cell r="BB17">
            <v>181.97322983660695</v>
          </cell>
          <cell r="BD17">
            <v>37.860051188373305</v>
          </cell>
          <cell r="BF17">
            <v>219.83328102498024</v>
          </cell>
          <cell r="BH17">
            <v>3.5837690422743886</v>
          </cell>
          <cell r="BN17">
            <v>0</v>
          </cell>
          <cell r="BR17">
            <v>181.97322983660695</v>
          </cell>
          <cell r="BT17">
            <v>37.860051188373305</v>
          </cell>
          <cell r="BV17">
            <v>219.83328102498024</v>
          </cell>
          <cell r="BX17">
            <v>3.5837690422743886</v>
          </cell>
          <cell r="CB17">
            <v>3.8510399999999998</v>
          </cell>
          <cell r="CD17">
            <v>3.8510399999999998</v>
          </cell>
          <cell r="CG17" t="str">
            <v>SSS</v>
          </cell>
          <cell r="CH17">
            <v>0</v>
          </cell>
          <cell r="CJ17">
            <v>0</v>
          </cell>
          <cell r="CL17">
            <v>0</v>
          </cell>
          <cell r="CN17">
            <v>0</v>
          </cell>
          <cell r="CO17" t="str">
            <v>SSS</v>
          </cell>
          <cell r="CP17">
            <v>185.82426983660696</v>
          </cell>
          <cell r="CR17">
            <v>37.860051188373305</v>
          </cell>
          <cell r="CT17">
            <v>223.68432102498025</v>
          </cell>
          <cell r="CV17">
            <v>3.5837690422743886</v>
          </cell>
        </row>
        <row r="18">
          <cell r="B18" t="str">
            <v>PUR</v>
          </cell>
          <cell r="D18" t="str">
            <v>PURCHASING &amp; STORES</v>
          </cell>
          <cell r="F18" t="str">
            <v>C4</v>
          </cell>
          <cell r="H18">
            <v>1121878.110068538</v>
          </cell>
          <cell r="J18">
            <v>1063265.0899999999</v>
          </cell>
          <cell r="L18">
            <v>2185143.2000685381</v>
          </cell>
          <cell r="N18">
            <v>19.05528846153846</v>
          </cell>
          <cell r="O18" t="str">
            <v>PUR</v>
          </cell>
          <cell r="P18">
            <v>1121.9000000000001</v>
          </cell>
          <cell r="R18">
            <v>1063.3</v>
          </cell>
          <cell r="T18">
            <v>2185.1999999999998</v>
          </cell>
          <cell r="X18">
            <v>0</v>
          </cell>
          <cell r="Z18">
            <v>0</v>
          </cell>
          <cell r="AD18">
            <v>1121.9000000000001</v>
          </cell>
          <cell r="AF18">
            <v>1063.3</v>
          </cell>
          <cell r="AH18">
            <v>2185.1999999999998</v>
          </cell>
          <cell r="AJ18">
            <v>19.05528846153846</v>
          </cell>
          <cell r="AL18">
            <v>0</v>
          </cell>
          <cell r="AN18">
            <v>0</v>
          </cell>
          <cell r="AP18">
            <v>0</v>
          </cell>
          <cell r="AR18">
            <v>0</v>
          </cell>
          <cell r="AT18">
            <v>11.071844857872653</v>
          </cell>
          <cell r="AV18">
            <v>202.18723735657707</v>
          </cell>
          <cell r="AX18">
            <v>213.25908221444973</v>
          </cell>
          <cell r="AZ18">
            <v>8.3416829066234627E-2</v>
          </cell>
          <cell r="BB18">
            <v>1132.9718448578728</v>
          </cell>
          <cell r="BD18">
            <v>1265.487237356577</v>
          </cell>
          <cell r="BF18">
            <v>2398.4590822144501</v>
          </cell>
          <cell r="BH18">
            <v>19.138705290604694</v>
          </cell>
          <cell r="BN18">
            <v>0</v>
          </cell>
          <cell r="BR18">
            <v>1132.9718448578728</v>
          </cell>
          <cell r="BT18">
            <v>1265.487237356577</v>
          </cell>
          <cell r="BV18">
            <v>2398.4590822144501</v>
          </cell>
          <cell r="BX18">
            <v>19.138705290604694</v>
          </cell>
          <cell r="CB18">
            <v>20.314630000000001</v>
          </cell>
          <cell r="CD18">
            <v>20.314630000000001</v>
          </cell>
          <cell r="CG18" t="str">
            <v>PUR</v>
          </cell>
          <cell r="CH18">
            <v>-13.774433101873228</v>
          </cell>
          <cell r="CJ18">
            <v>-13.054781727461879</v>
          </cell>
          <cell r="CL18">
            <v>-26.829214829335108</v>
          </cell>
          <cell r="CN18">
            <v>-0.23396106385775117</v>
          </cell>
          <cell r="CO18" t="str">
            <v>PUR</v>
          </cell>
          <cell r="CP18">
            <v>1139.5120417559997</v>
          </cell>
          <cell r="CR18">
            <v>1252.4324556291151</v>
          </cell>
          <cell r="CT18">
            <v>2391.944497385115</v>
          </cell>
          <cell r="CV18">
            <v>18.904744226746942</v>
          </cell>
        </row>
        <row r="19">
          <cell r="B19" t="str">
            <v>POP</v>
          </cell>
          <cell r="D19" t="str">
            <v>PLANT OPERATIONS</v>
          </cell>
          <cell r="F19" t="str">
            <v>C5</v>
          </cell>
          <cell r="H19">
            <v>3440727.5912054847</v>
          </cell>
          <cell r="J19">
            <v>8984783.0500000007</v>
          </cell>
          <cell r="L19">
            <v>12425510.641205486</v>
          </cell>
          <cell r="N19">
            <v>47.375480769230769</v>
          </cell>
          <cell r="O19" t="str">
            <v>POP</v>
          </cell>
          <cell r="P19">
            <v>3440.7</v>
          </cell>
          <cell r="R19">
            <v>8984.7999999999993</v>
          </cell>
          <cell r="T19">
            <v>12425.5</v>
          </cell>
          <cell r="X19">
            <v>0</v>
          </cell>
          <cell r="Z19">
            <v>0</v>
          </cell>
          <cell r="AD19">
            <v>3440.7</v>
          </cell>
          <cell r="AF19">
            <v>8984.7999999999993</v>
          </cell>
          <cell r="AH19">
            <v>12425.5</v>
          </cell>
          <cell r="AJ19">
            <v>47.375480769230769</v>
          </cell>
          <cell r="AL19">
            <v>0</v>
          </cell>
          <cell r="AN19">
            <v>0</v>
          </cell>
          <cell r="AP19">
            <v>0</v>
          </cell>
          <cell r="AR19">
            <v>0</v>
          </cell>
          <cell r="AT19">
            <v>27.526950022445543</v>
          </cell>
          <cell r="AV19">
            <v>502.68027138525196</v>
          </cell>
          <cell r="AX19">
            <v>530.20722140769749</v>
          </cell>
          <cell r="AZ19">
            <v>0.20739189486604834</v>
          </cell>
          <cell r="BB19">
            <v>3468.2269500224452</v>
          </cell>
          <cell r="BD19">
            <v>9487.4802713852514</v>
          </cell>
          <cell r="BF19">
            <v>12955.707221407696</v>
          </cell>
          <cell r="BH19">
            <v>47.582872664096818</v>
          </cell>
          <cell r="BN19">
            <v>0</v>
          </cell>
          <cell r="BR19">
            <v>3468.2269500224452</v>
          </cell>
          <cell r="BT19">
            <v>9487.4802713852514</v>
          </cell>
          <cell r="BV19">
            <v>12955.707221407696</v>
          </cell>
          <cell r="BX19">
            <v>47.582872664096818</v>
          </cell>
          <cell r="CB19">
            <v>49.958419999999997</v>
          </cell>
          <cell r="CD19">
            <v>49.958419999999997</v>
          </cell>
          <cell r="CG19" t="str">
            <v>POP</v>
          </cell>
          <cell r="CH19">
            <v>-79.286317638495262</v>
          </cell>
          <cell r="CJ19">
            <v>-207.04061682653693</v>
          </cell>
          <cell r="CL19">
            <v>-286.3269344650322</v>
          </cell>
          <cell r="CN19">
            <v>-1.0916956710396337</v>
          </cell>
          <cell r="CO19" t="str">
            <v>POP</v>
          </cell>
          <cell r="CP19">
            <v>3438.8990523839498</v>
          </cell>
          <cell r="CR19">
            <v>9280.4396545587151</v>
          </cell>
          <cell r="CT19">
            <v>12719.338706942664</v>
          </cell>
          <cell r="CV19">
            <v>46.491176993057188</v>
          </cell>
        </row>
        <row r="20">
          <cell r="B20" t="str">
            <v>HKP</v>
          </cell>
          <cell r="D20" t="str">
            <v>HOUSEKEEPING</v>
          </cell>
          <cell r="F20" t="str">
            <v>C6</v>
          </cell>
          <cell r="H20">
            <v>0</v>
          </cell>
          <cell r="J20">
            <v>4578317.57</v>
          </cell>
          <cell r="L20">
            <v>4578317.57</v>
          </cell>
          <cell r="N20">
            <v>0</v>
          </cell>
          <cell r="O20" t="str">
            <v>HKP</v>
          </cell>
          <cell r="P20">
            <v>0</v>
          </cell>
          <cell r="R20">
            <v>4578.3</v>
          </cell>
          <cell r="T20">
            <v>4578.3</v>
          </cell>
          <cell r="X20">
            <v>0</v>
          </cell>
          <cell r="Z20">
            <v>0</v>
          </cell>
          <cell r="AD20">
            <v>0</v>
          </cell>
          <cell r="AF20">
            <v>4578.3</v>
          </cell>
          <cell r="AH20">
            <v>4578.3</v>
          </cell>
          <cell r="AJ20">
            <v>0</v>
          </cell>
          <cell r="AL20">
            <v>0</v>
          </cell>
          <cell r="AN20">
            <v>0</v>
          </cell>
          <cell r="AP20">
            <v>0</v>
          </cell>
          <cell r="AR20">
            <v>0</v>
          </cell>
          <cell r="AT20">
            <v>0</v>
          </cell>
          <cell r="AV20">
            <v>0</v>
          </cell>
          <cell r="AX20">
            <v>0</v>
          </cell>
          <cell r="AZ20">
            <v>0</v>
          </cell>
          <cell r="BB20">
            <v>0</v>
          </cell>
          <cell r="BD20">
            <v>4578.3</v>
          </cell>
          <cell r="BF20">
            <v>4578.3</v>
          </cell>
          <cell r="BH20">
            <v>0</v>
          </cell>
          <cell r="BN20">
            <v>0</v>
          </cell>
          <cell r="BR20">
            <v>0</v>
          </cell>
          <cell r="BT20">
            <v>4578.3</v>
          </cell>
          <cell r="BV20">
            <v>4578.3</v>
          </cell>
          <cell r="BX20">
            <v>0</v>
          </cell>
          <cell r="CB20">
            <v>0</v>
          </cell>
          <cell r="CD20">
            <v>0</v>
          </cell>
          <cell r="CG20" t="str">
            <v>HKP</v>
          </cell>
          <cell r="CH20">
            <v>0</v>
          </cell>
          <cell r="CJ20">
            <v>-105.50034301836278</v>
          </cell>
          <cell r="CL20">
            <v>-105.50034301836278</v>
          </cell>
          <cell r="CN20">
            <v>0</v>
          </cell>
          <cell r="CO20" t="str">
            <v>HKP</v>
          </cell>
          <cell r="CP20">
            <v>0</v>
          </cell>
          <cell r="CR20">
            <v>4472.7996569816378</v>
          </cell>
          <cell r="CT20">
            <v>4472.7996569816378</v>
          </cell>
          <cell r="CV20">
            <v>0</v>
          </cell>
        </row>
        <row r="21">
          <cell r="B21" t="str">
            <v>CSS</v>
          </cell>
          <cell r="D21" t="str">
            <v>CENTRAL SVCS &amp; SUPPLY</v>
          </cell>
          <cell r="F21" t="str">
            <v>C7</v>
          </cell>
          <cell r="H21">
            <v>1339959.7625784292</v>
          </cell>
          <cell r="J21">
            <v>646039.49796472176</v>
          </cell>
          <cell r="L21">
            <v>1985999.2605431508</v>
          </cell>
          <cell r="N21">
            <v>19.986145052728745</v>
          </cell>
          <cell r="O21" t="str">
            <v>CSS</v>
          </cell>
          <cell r="P21">
            <v>1340</v>
          </cell>
          <cell r="R21">
            <v>646</v>
          </cell>
          <cell r="T21">
            <v>1986</v>
          </cell>
          <cell r="X21">
            <v>0</v>
          </cell>
          <cell r="Z21">
            <v>0</v>
          </cell>
          <cell r="AD21">
            <v>1340</v>
          </cell>
          <cell r="AF21">
            <v>646</v>
          </cell>
          <cell r="AH21">
            <v>1986</v>
          </cell>
          <cell r="AJ21">
            <v>19.986145052728745</v>
          </cell>
          <cell r="AL21">
            <v>0</v>
          </cell>
          <cell r="AN21">
            <v>0</v>
          </cell>
          <cell r="AP21">
            <v>0</v>
          </cell>
          <cell r="AR21">
            <v>0</v>
          </cell>
          <cell r="AT21">
            <v>11.612707820057111</v>
          </cell>
          <cell r="AV21">
            <v>212.06414491049867</v>
          </cell>
          <cell r="AX21">
            <v>223.67685273055577</v>
          </cell>
          <cell r="AZ21">
            <v>8.7491766336758023E-2</v>
          </cell>
          <cell r="BB21">
            <v>1351.612707820057</v>
          </cell>
          <cell r="BD21">
            <v>858.06414491049873</v>
          </cell>
          <cell r="BF21">
            <v>2209.6768527305558</v>
          </cell>
          <cell r="BH21">
            <v>20.073636819065502</v>
          </cell>
          <cell r="BN21">
            <v>0</v>
          </cell>
          <cell r="BR21">
            <v>1351.612707820057</v>
          </cell>
          <cell r="BT21">
            <v>858.06414491049873</v>
          </cell>
          <cell r="BV21">
            <v>2209.6768527305558</v>
          </cell>
          <cell r="BX21">
            <v>20.073636819065502</v>
          </cell>
          <cell r="CB21">
            <v>21.307009999999998</v>
          </cell>
          <cell r="CD21">
            <v>21.307009999999998</v>
          </cell>
          <cell r="CG21" t="str">
            <v>CSS</v>
          </cell>
          <cell r="CH21">
            <v>-16.452042288008379</v>
          </cell>
          <cell r="CJ21">
            <v>-7.9320808259100248</v>
          </cell>
          <cell r="CL21">
            <v>-24.384123113918402</v>
          </cell>
          <cell r="CN21">
            <v>-0.24539013242385854</v>
          </cell>
          <cell r="CO21" t="str">
            <v>CSS</v>
          </cell>
          <cell r="CP21">
            <v>1356.4676755320486</v>
          </cell>
          <cell r="CR21">
            <v>850.13206408458871</v>
          </cell>
          <cell r="CT21">
            <v>2206.5997396166372</v>
          </cell>
          <cell r="CV21">
            <v>19.828246686641645</v>
          </cell>
        </row>
        <row r="22">
          <cell r="B22" t="str">
            <v>PHM</v>
          </cell>
          <cell r="D22" t="str">
            <v>PHARMACY</v>
          </cell>
          <cell r="F22" t="str">
            <v>C8</v>
          </cell>
          <cell r="H22">
            <v>4225667.1858268818</v>
          </cell>
          <cell r="J22">
            <v>758591.35000000219</v>
          </cell>
          <cell r="L22">
            <v>4984258.5358268842</v>
          </cell>
          <cell r="N22">
            <v>35.348677884615384</v>
          </cell>
          <cell r="O22" t="str">
            <v>PHM</v>
          </cell>
          <cell r="P22">
            <v>4225.7</v>
          </cell>
          <cell r="R22">
            <v>758.6</v>
          </cell>
          <cell r="T22">
            <v>4984.3</v>
          </cell>
          <cell r="X22">
            <v>0</v>
          </cell>
          <cell r="Z22">
            <v>0</v>
          </cell>
          <cell r="AD22">
            <v>4225.7</v>
          </cell>
          <cell r="AF22">
            <v>758.6</v>
          </cell>
          <cell r="AH22">
            <v>4984.3</v>
          </cell>
          <cell r="AJ22">
            <v>35.348677884615384</v>
          </cell>
          <cell r="AL22">
            <v>0</v>
          </cell>
          <cell r="AN22">
            <v>0</v>
          </cell>
          <cell r="AP22">
            <v>0</v>
          </cell>
          <cell r="AR22">
            <v>0</v>
          </cell>
          <cell r="AT22">
            <v>20.538921688818</v>
          </cell>
          <cell r="AV22">
            <v>375.06918565539723</v>
          </cell>
          <cell r="AX22">
            <v>395.60810734421523</v>
          </cell>
          <cell r="AZ22">
            <v>0.15474311117199868</v>
          </cell>
          <cell r="BB22">
            <v>4246.2389216888178</v>
          </cell>
          <cell r="BD22">
            <v>1133.6691856553973</v>
          </cell>
          <cell r="BF22">
            <v>5379.9081073442148</v>
          </cell>
          <cell r="BH22">
            <v>35.50342099578738</v>
          </cell>
          <cell r="BN22">
            <v>0</v>
          </cell>
          <cell r="BR22">
            <v>4246.2389216888178</v>
          </cell>
          <cell r="BT22">
            <v>1133.6691856553973</v>
          </cell>
          <cell r="BV22">
            <v>5379.9081073442148</v>
          </cell>
          <cell r="BX22">
            <v>35.50342099578738</v>
          </cell>
          <cell r="CB22">
            <v>38.151220000000002</v>
          </cell>
          <cell r="CD22">
            <v>38.151220000000002</v>
          </cell>
          <cell r="CG22" t="str">
            <v>PHM</v>
          </cell>
          <cell r="CH22">
            <v>0</v>
          </cell>
          <cell r="CJ22">
            <v>0</v>
          </cell>
          <cell r="CL22">
            <v>0</v>
          </cell>
          <cell r="CN22">
            <v>0</v>
          </cell>
          <cell r="CO22" t="str">
            <v>PHM</v>
          </cell>
          <cell r="CP22">
            <v>4284.3901416888175</v>
          </cell>
          <cell r="CR22">
            <v>1133.6691856553973</v>
          </cell>
          <cell r="CT22">
            <v>5418.0593273442146</v>
          </cell>
          <cell r="CV22">
            <v>35.50342099578738</v>
          </cell>
        </row>
        <row r="23">
          <cell r="B23" t="str">
            <v>FIS</v>
          </cell>
          <cell r="D23" t="str">
            <v>GENERAL ACCOUNTING</v>
          </cell>
          <cell r="F23" t="str">
            <v>C9</v>
          </cell>
          <cell r="H23">
            <v>0</v>
          </cell>
          <cell r="J23">
            <v>3252093.3400000003</v>
          </cell>
          <cell r="L23">
            <v>3252093.3400000003</v>
          </cell>
          <cell r="N23">
            <v>0</v>
          </cell>
          <cell r="O23" t="str">
            <v>FIS</v>
          </cell>
          <cell r="P23">
            <v>0</v>
          </cell>
          <cell r="R23">
            <v>3252.1</v>
          </cell>
          <cell r="T23">
            <v>3252.1</v>
          </cell>
          <cell r="X23">
            <v>0</v>
          </cell>
          <cell r="Z23">
            <v>0</v>
          </cell>
          <cell r="AD23">
            <v>0</v>
          </cell>
          <cell r="AF23">
            <v>3252.1</v>
          </cell>
          <cell r="AH23">
            <v>3252.1</v>
          </cell>
          <cell r="AJ23">
            <v>0</v>
          </cell>
          <cell r="AL23">
            <v>0</v>
          </cell>
          <cell r="AN23">
            <v>0</v>
          </cell>
          <cell r="AP23">
            <v>0</v>
          </cell>
          <cell r="AR23">
            <v>0</v>
          </cell>
          <cell r="AT23">
            <v>0</v>
          </cell>
          <cell r="AV23">
            <v>0</v>
          </cell>
          <cell r="AX23">
            <v>0</v>
          </cell>
          <cell r="AZ23">
            <v>0</v>
          </cell>
          <cell r="BB23">
            <v>0</v>
          </cell>
          <cell r="BD23">
            <v>3252.1</v>
          </cell>
          <cell r="BF23">
            <v>3252.1</v>
          </cell>
          <cell r="BH23">
            <v>0</v>
          </cell>
          <cell r="BN23">
            <v>0</v>
          </cell>
          <cell r="BR23">
            <v>0</v>
          </cell>
          <cell r="BT23">
            <v>3252.1</v>
          </cell>
          <cell r="BV23">
            <v>3252.1</v>
          </cell>
          <cell r="BX23">
            <v>0</v>
          </cell>
          <cell r="CB23">
            <v>0</v>
          </cell>
          <cell r="CD23">
            <v>0</v>
          </cell>
          <cell r="CG23" t="str">
            <v>FIS</v>
          </cell>
          <cell r="CH23">
            <v>0</v>
          </cell>
          <cell r="CJ23">
            <v>-191.34004914919112</v>
          </cell>
          <cell r="CL23">
            <v>-191.34004914919112</v>
          </cell>
          <cell r="CN23">
            <v>0</v>
          </cell>
          <cell r="CO23" t="str">
            <v>FIS</v>
          </cell>
          <cell r="CP23">
            <v>0</v>
          </cell>
          <cell r="CR23">
            <v>3060.7599508508088</v>
          </cell>
          <cell r="CT23">
            <v>3060.7599508508088</v>
          </cell>
          <cell r="CV23">
            <v>0</v>
          </cell>
        </row>
        <row r="24">
          <cell r="B24" t="str">
            <v>PAC</v>
          </cell>
          <cell r="D24" t="str">
            <v>PATIENT ACCOUNTS</v>
          </cell>
          <cell r="F24" t="str">
            <v>C10</v>
          </cell>
          <cell r="H24">
            <v>1873929.687477737</v>
          </cell>
          <cell r="J24">
            <v>-25796.236345096921</v>
          </cell>
          <cell r="L24">
            <v>1848133.45113264</v>
          </cell>
          <cell r="N24">
            <v>40.132343482644323</v>
          </cell>
          <cell r="O24" t="str">
            <v>PAC</v>
          </cell>
          <cell r="P24">
            <v>1873.9</v>
          </cell>
          <cell r="R24">
            <v>-25.8</v>
          </cell>
          <cell r="T24">
            <v>1848.1000000000001</v>
          </cell>
          <cell r="X24">
            <v>0</v>
          </cell>
          <cell r="Z24">
            <v>0</v>
          </cell>
          <cell r="AD24">
            <v>1873.9</v>
          </cell>
          <cell r="AF24">
            <v>-25.8</v>
          </cell>
          <cell r="AH24">
            <v>1848.1000000000001</v>
          </cell>
          <cell r="AJ24">
            <v>40.132343482644323</v>
          </cell>
          <cell r="AL24">
            <v>0</v>
          </cell>
          <cell r="AN24">
            <v>0</v>
          </cell>
          <cell r="AP24">
            <v>0</v>
          </cell>
          <cell r="AR24">
            <v>0</v>
          </cell>
          <cell r="AT24">
            <v>23.318412718839532</v>
          </cell>
          <cell r="AV24">
            <v>425.82654541173866</v>
          </cell>
          <cell r="AX24">
            <v>449.14495813057817</v>
          </cell>
          <cell r="AZ24">
            <v>0.1756841856829531</v>
          </cell>
          <cell r="BB24">
            <v>1897.2184127188395</v>
          </cell>
          <cell r="BD24">
            <v>400.02654541173865</v>
          </cell>
          <cell r="BF24">
            <v>2297.2449581305782</v>
          </cell>
          <cell r="BH24">
            <v>40.308027668327277</v>
          </cell>
          <cell r="BN24">
            <v>0</v>
          </cell>
          <cell r="BR24">
            <v>1897.2184127188395</v>
          </cell>
          <cell r="BT24">
            <v>400.02654541173865</v>
          </cell>
          <cell r="BV24">
            <v>2297.2449581305782</v>
          </cell>
          <cell r="BX24">
            <v>40.308027668327277</v>
          </cell>
          <cell r="CB24">
            <v>42.65793</v>
          </cell>
          <cell r="CD24">
            <v>42.65793</v>
          </cell>
          <cell r="CG24" t="str">
            <v>PAC</v>
          </cell>
          <cell r="CH24">
            <v>-28.514407700141689</v>
          </cell>
          <cell r="CJ24">
            <v>0.39252507988352436</v>
          </cell>
          <cell r="CL24">
            <v>-28.121882620258166</v>
          </cell>
          <cell r="CN24">
            <v>-0.61066859214259595</v>
          </cell>
          <cell r="CO24" t="str">
            <v>PAC</v>
          </cell>
          <cell r="CP24">
            <v>1911.361935018698</v>
          </cell>
          <cell r="CR24">
            <v>400.41907049162216</v>
          </cell>
          <cell r="CT24">
            <v>2311.78100551032</v>
          </cell>
          <cell r="CV24">
            <v>39.697359076184682</v>
          </cell>
        </row>
        <row r="25">
          <cell r="B25" t="str">
            <v>MGT</v>
          </cell>
          <cell r="D25" t="str">
            <v>HOSPITAL ADMIN</v>
          </cell>
          <cell r="F25" t="str">
            <v>C11</v>
          </cell>
          <cell r="H25">
            <v>7687191.0423852671</v>
          </cell>
          <cell r="J25">
            <v>14578219.949062644</v>
          </cell>
          <cell r="L25">
            <v>22265410.991447911</v>
          </cell>
          <cell r="N25">
            <v>38.190497001621715</v>
          </cell>
          <cell r="O25" t="str">
            <v>MGT</v>
          </cell>
          <cell r="P25">
            <v>7687.2</v>
          </cell>
          <cell r="R25">
            <v>14578.2</v>
          </cell>
          <cell r="T25">
            <v>22265.4</v>
          </cell>
          <cell r="X25">
            <v>0</v>
          </cell>
          <cell r="Z25">
            <v>0</v>
          </cell>
          <cell r="AD25">
            <v>7687.2</v>
          </cell>
          <cell r="AF25">
            <v>14578.2</v>
          </cell>
          <cell r="AH25">
            <v>22265.4</v>
          </cell>
          <cell r="AJ25">
            <v>38.190497001621715</v>
          </cell>
          <cell r="AL25">
            <v>0</v>
          </cell>
          <cell r="AN25">
            <v>0</v>
          </cell>
          <cell r="AP25">
            <v>0</v>
          </cell>
          <cell r="AR25">
            <v>0</v>
          </cell>
          <cell r="AT25">
            <v>22.190126310628823</v>
          </cell>
          <cell r="AV25">
            <v>405.22247131645452</v>
          </cell>
          <cell r="AX25">
            <v>427.41259762708336</v>
          </cell>
          <cell r="AZ25">
            <v>0.16718351793881053</v>
          </cell>
          <cell r="BB25">
            <v>7709.3901263106291</v>
          </cell>
          <cell r="BD25">
            <v>14983.422471316455</v>
          </cell>
          <cell r="BF25">
            <v>22692.812597627082</v>
          </cell>
          <cell r="BH25">
            <v>38.357680519560525</v>
          </cell>
          <cell r="BN25">
            <v>0</v>
          </cell>
          <cell r="BR25">
            <v>7709.3901263106291</v>
          </cell>
          <cell r="BT25">
            <v>14983.422471316455</v>
          </cell>
          <cell r="BV25">
            <v>22692.812597627082</v>
          </cell>
          <cell r="BX25">
            <v>38.357680519560525</v>
          </cell>
          <cell r="CB25">
            <v>38.803789999999999</v>
          </cell>
          <cell r="CD25">
            <v>38.803789999999999</v>
          </cell>
          <cell r="CG25" t="str">
            <v>MGT</v>
          </cell>
          <cell r="CH25">
            <v>-452.28330127487004</v>
          </cell>
          <cell r="CJ25">
            <v>-857.72363518980819</v>
          </cell>
          <cell r="CL25">
            <v>-1310.0069364646783</v>
          </cell>
          <cell r="CN25">
            <v>-2.2469747357627607</v>
          </cell>
          <cell r="CO25" t="str">
            <v>MGT</v>
          </cell>
          <cell r="CP25">
            <v>7295.9106150357593</v>
          </cell>
          <cell r="CR25">
            <v>14125.698836126647</v>
          </cell>
          <cell r="CT25">
            <v>21421.609451162407</v>
          </cell>
          <cell r="CV25">
            <v>36.110705783797762</v>
          </cell>
        </row>
        <row r="26">
          <cell r="B26" t="str">
            <v>MRD</v>
          </cell>
          <cell r="D26" t="str">
            <v>MEDICAL RECORDS</v>
          </cell>
          <cell r="F26" t="str">
            <v>C12</v>
          </cell>
          <cell r="H26">
            <v>2090921.0316197299</v>
          </cell>
          <cell r="J26">
            <v>1685253.22</v>
          </cell>
          <cell r="L26">
            <v>3776174.2516197301</v>
          </cell>
          <cell r="N26">
            <v>29.526322115384616</v>
          </cell>
          <cell r="O26" t="str">
            <v>MRD</v>
          </cell>
          <cell r="P26">
            <v>2090.9</v>
          </cell>
          <cell r="R26">
            <v>1685.3</v>
          </cell>
          <cell r="T26">
            <v>3776.2</v>
          </cell>
          <cell r="X26">
            <v>0</v>
          </cell>
          <cell r="Z26">
            <v>0</v>
          </cell>
          <cell r="AD26">
            <v>2090.9</v>
          </cell>
          <cell r="AF26">
            <v>1685.3</v>
          </cell>
          <cell r="AH26">
            <v>3776.2</v>
          </cell>
          <cell r="AJ26">
            <v>29.526322115384616</v>
          </cell>
          <cell r="AL26">
            <v>0</v>
          </cell>
          <cell r="AN26">
            <v>0</v>
          </cell>
          <cell r="AP26">
            <v>0</v>
          </cell>
          <cell r="AR26">
            <v>0</v>
          </cell>
          <cell r="AT26">
            <v>17.155912299357503</v>
          </cell>
          <cell r="AV26">
            <v>313.29074392443152</v>
          </cell>
          <cell r="AX26">
            <v>330.44665622378903</v>
          </cell>
          <cell r="AZ26">
            <v>0.12925504485670578</v>
          </cell>
          <cell r="BB26">
            <v>2108.0559122993577</v>
          </cell>
          <cell r="BD26">
            <v>1998.5907439244315</v>
          </cell>
          <cell r="BF26">
            <v>4106.6466562237893</v>
          </cell>
          <cell r="BH26">
            <v>29.655577160241322</v>
          </cell>
          <cell r="BN26">
            <v>0</v>
          </cell>
          <cell r="BR26">
            <v>2108.0559122993577</v>
          </cell>
          <cell r="BT26">
            <v>1998.5907439244315</v>
          </cell>
          <cell r="BV26">
            <v>4106.6466562237893</v>
          </cell>
          <cell r="BX26">
            <v>29.655577160241322</v>
          </cell>
          <cell r="CB26">
            <v>31.867249999999999</v>
          </cell>
          <cell r="CD26">
            <v>31.867249999999999</v>
          </cell>
          <cell r="CG26" t="str">
            <v>MRD</v>
          </cell>
          <cell r="CH26">
            <v>0</v>
          </cell>
          <cell r="CJ26">
            <v>0</v>
          </cell>
          <cell r="CL26">
            <v>0</v>
          </cell>
          <cell r="CN26">
            <v>0</v>
          </cell>
          <cell r="CO26" t="str">
            <v>MRD</v>
          </cell>
          <cell r="CP26">
            <v>2139.9231622993575</v>
          </cell>
          <cell r="CR26">
            <v>1998.5907439244315</v>
          </cell>
          <cell r="CT26">
            <v>4138.5139062237886</v>
          </cell>
          <cell r="CV26">
            <v>29.655577160241322</v>
          </cell>
        </row>
        <row r="27">
          <cell r="B27" t="str">
            <v>MSA</v>
          </cell>
          <cell r="D27" t="str">
            <v>MEDICAL STAFF ADMIN</v>
          </cell>
          <cell r="F27" t="str">
            <v>C13</v>
          </cell>
          <cell r="H27">
            <v>937182.89147029386</v>
          </cell>
          <cell r="J27">
            <v>404498.8</v>
          </cell>
          <cell r="L27">
            <v>1341681.6914702938</v>
          </cell>
          <cell r="N27">
            <v>9.3454326923076927</v>
          </cell>
          <cell r="O27" t="str">
            <v>MSA</v>
          </cell>
          <cell r="P27">
            <v>937.2</v>
          </cell>
          <cell r="R27">
            <v>404.5</v>
          </cell>
          <cell r="T27">
            <v>1341.7</v>
          </cell>
          <cell r="X27">
            <v>0</v>
          </cell>
          <cell r="Z27">
            <v>0</v>
          </cell>
          <cell r="AD27">
            <v>937.2</v>
          </cell>
          <cell r="AF27">
            <v>404.5</v>
          </cell>
          <cell r="AH27">
            <v>1341.7</v>
          </cell>
          <cell r="AJ27">
            <v>9.3454326923076927</v>
          </cell>
          <cell r="AL27">
            <v>0</v>
          </cell>
          <cell r="AN27">
            <v>0</v>
          </cell>
          <cell r="AP27">
            <v>0</v>
          </cell>
          <cell r="AR27">
            <v>0</v>
          </cell>
          <cell r="AT27">
            <v>5.4300506186390214</v>
          </cell>
          <cell r="AV27">
            <v>99.16025263922856</v>
          </cell>
          <cell r="AX27">
            <v>104.59030325786757</v>
          </cell>
          <cell r="AZ27">
            <v>4.0910761493730338E-2</v>
          </cell>
          <cell r="BB27">
            <v>942.63005061863907</v>
          </cell>
          <cell r="BD27">
            <v>503.66025263922859</v>
          </cell>
          <cell r="BF27">
            <v>1446.2903032578677</v>
          </cell>
          <cell r="BH27">
            <v>9.3863434538014232</v>
          </cell>
          <cell r="BJ27">
            <v>0</v>
          </cell>
          <cell r="BN27">
            <v>0</v>
          </cell>
          <cell r="BP27">
            <v>2.0566958907798036</v>
          </cell>
          <cell r="BR27">
            <v>942.63005061863907</v>
          </cell>
          <cell r="BT27">
            <v>503.66025263922859</v>
          </cell>
          <cell r="BV27">
            <v>1446.2903032578677</v>
          </cell>
          <cell r="BX27">
            <v>11.443039344581226</v>
          </cell>
          <cell r="CB27">
            <v>11.73522</v>
          </cell>
          <cell r="CD27">
            <v>11.73522</v>
          </cell>
          <cell r="CG27" t="str">
            <v>MSA</v>
          </cell>
          <cell r="CH27">
            <v>-52.375288644118413</v>
          </cell>
          <cell r="CJ27">
            <v>-22.605770548118308</v>
          </cell>
          <cell r="CL27">
            <v>-74.981059192236728</v>
          </cell>
          <cell r="CN27">
            <v>-0.52227771037934156</v>
          </cell>
          <cell r="CO27" t="str">
            <v>MSA</v>
          </cell>
          <cell r="CP27">
            <v>901.98998197452067</v>
          </cell>
          <cell r="CR27">
            <v>481.05448209111029</v>
          </cell>
          <cell r="CT27">
            <v>1383.044464065631</v>
          </cell>
          <cell r="CV27">
            <v>10.920761634201885</v>
          </cell>
        </row>
        <row r="28">
          <cell r="B28" t="str">
            <v>NAD</v>
          </cell>
          <cell r="D28" t="str">
            <v>NURSING ADMIN</v>
          </cell>
          <cell r="F28" t="str">
            <v>C14</v>
          </cell>
          <cell r="H28">
            <v>3340731.4468085533</v>
          </cell>
          <cell r="J28">
            <v>214552.55</v>
          </cell>
          <cell r="L28">
            <v>3555283.9968085531</v>
          </cell>
          <cell r="N28">
            <v>27.013341346153847</v>
          </cell>
          <cell r="O28" t="str">
            <v>NAD</v>
          </cell>
          <cell r="P28">
            <v>3340.7</v>
          </cell>
          <cell r="R28">
            <v>214.6</v>
          </cell>
          <cell r="T28">
            <v>3555.2999999999997</v>
          </cell>
          <cell r="X28">
            <v>0</v>
          </cell>
          <cell r="Z28">
            <v>0</v>
          </cell>
          <cell r="AD28">
            <v>3340.7</v>
          </cell>
          <cell r="AF28">
            <v>214.6</v>
          </cell>
          <cell r="AH28">
            <v>3555.2999999999997</v>
          </cell>
          <cell r="AJ28">
            <v>27.013341346153847</v>
          </cell>
          <cell r="AL28">
            <v>0</v>
          </cell>
          <cell r="AN28">
            <v>0</v>
          </cell>
          <cell r="AP28">
            <v>0</v>
          </cell>
          <cell r="AR28">
            <v>0</v>
          </cell>
          <cell r="AT28">
            <v>15.695775221721565</v>
          </cell>
          <cell r="AV28">
            <v>286.62661652029811</v>
          </cell>
          <cell r="AX28">
            <v>302.3223917420197</v>
          </cell>
          <cell r="AZ28">
            <v>0.11825416771455342</v>
          </cell>
          <cell r="BB28">
            <v>3356.3957752217216</v>
          </cell>
          <cell r="BD28">
            <v>501.22661652029808</v>
          </cell>
          <cell r="BF28">
            <v>3857.6223917420198</v>
          </cell>
          <cell r="BH28">
            <v>27.131595513868401</v>
          </cell>
          <cell r="BN28">
            <v>0</v>
          </cell>
          <cell r="BR28">
            <v>3356.3957752217216</v>
          </cell>
          <cell r="BT28">
            <v>501.22661652029808</v>
          </cell>
          <cell r="BV28">
            <v>3857.6223917420198</v>
          </cell>
          <cell r="BX28">
            <v>27.131595513868401</v>
          </cell>
          <cell r="CB28">
            <v>29.15503</v>
          </cell>
          <cell r="CD28">
            <v>29.15503</v>
          </cell>
          <cell r="CG28" t="str">
            <v>NAD</v>
          </cell>
          <cell r="CH28">
            <v>0</v>
          </cell>
          <cell r="CJ28">
            <v>0</v>
          </cell>
          <cell r="CL28">
            <v>0</v>
          </cell>
          <cell r="CN28">
            <v>0</v>
          </cell>
          <cell r="CO28" t="str">
            <v>NAD</v>
          </cell>
          <cell r="CP28">
            <v>3385.5508052217215</v>
          </cell>
          <cell r="CR28">
            <v>501.22661652029808</v>
          </cell>
          <cell r="CT28">
            <v>3886.7774217420197</v>
          </cell>
          <cell r="CV28">
            <v>27.131595513868401</v>
          </cell>
        </row>
        <row r="29">
          <cell r="B29" t="str">
            <v>OAO</v>
          </cell>
          <cell r="D29" t="str">
            <v>ORGAN ACQUISITION OVERHEAD</v>
          </cell>
          <cell r="F29" t="str">
            <v>C15</v>
          </cell>
          <cell r="H29">
            <v>0</v>
          </cell>
          <cell r="J29">
            <v>0</v>
          </cell>
          <cell r="L29">
            <v>0</v>
          </cell>
          <cell r="N29">
            <v>0</v>
          </cell>
          <cell r="O29" t="str">
            <v>OAO</v>
          </cell>
          <cell r="P29">
            <v>0</v>
          </cell>
          <cell r="R29">
            <v>0</v>
          </cell>
          <cell r="T29">
            <v>0</v>
          </cell>
          <cell r="AD29">
            <v>0</v>
          </cell>
          <cell r="AF29">
            <v>0</v>
          </cell>
          <cell r="AH29">
            <v>0</v>
          </cell>
          <cell r="AJ29">
            <v>0</v>
          </cell>
          <cell r="AL29">
            <v>0</v>
          </cell>
          <cell r="AN29">
            <v>0</v>
          </cell>
          <cell r="AP29">
            <v>0</v>
          </cell>
          <cell r="AR29">
            <v>0</v>
          </cell>
          <cell r="AT29">
            <v>0</v>
          </cell>
          <cell r="AV29">
            <v>0</v>
          </cell>
          <cell r="AX29">
            <v>0</v>
          </cell>
          <cell r="AZ29">
            <v>0</v>
          </cell>
          <cell r="BB29">
            <v>0</v>
          </cell>
          <cell r="BD29">
            <v>0</v>
          </cell>
          <cell r="BF29">
            <v>0</v>
          </cell>
          <cell r="BH29">
            <v>0</v>
          </cell>
          <cell r="BN29">
            <v>0</v>
          </cell>
          <cell r="BR29">
            <v>0</v>
          </cell>
          <cell r="BT29">
            <v>0</v>
          </cell>
          <cell r="BV29">
            <v>0</v>
          </cell>
          <cell r="BX29">
            <v>0</v>
          </cell>
          <cell r="CB29">
            <v>0</v>
          </cell>
          <cell r="CD29">
            <v>0</v>
          </cell>
          <cell r="CG29" t="str">
            <v>OAO</v>
          </cell>
          <cell r="CH29">
            <v>0</v>
          </cell>
          <cell r="CJ29">
            <v>0</v>
          </cell>
          <cell r="CL29">
            <v>0</v>
          </cell>
          <cell r="CN29">
            <v>0</v>
          </cell>
          <cell r="CO29" t="str">
            <v>NAD</v>
          </cell>
          <cell r="CP29">
            <v>0</v>
          </cell>
          <cell r="CR29">
            <v>0</v>
          </cell>
          <cell r="CT29">
            <v>0</v>
          </cell>
          <cell r="CV29">
            <v>0</v>
          </cell>
        </row>
        <row r="30">
          <cell r="B30" t="str">
            <v>MSG</v>
          </cell>
          <cell r="D30" t="str">
            <v>MED/SURG ACUTE</v>
          </cell>
          <cell r="F30" t="str">
            <v>D1</v>
          </cell>
          <cell r="H30">
            <v>20936016.855671067</v>
          </cell>
          <cell r="J30">
            <v>1882035.2623268326</v>
          </cell>
          <cell r="L30">
            <v>22818052.1179979</v>
          </cell>
          <cell r="N30">
            <v>248.44441415368107</v>
          </cell>
          <cell r="O30" t="str">
            <v>MSG</v>
          </cell>
          <cell r="P30">
            <v>20936</v>
          </cell>
          <cell r="R30">
            <v>1882</v>
          </cell>
          <cell r="T30">
            <v>22818</v>
          </cell>
          <cell r="AD30">
            <v>20936</v>
          </cell>
          <cell r="AF30">
            <v>1882</v>
          </cell>
          <cell r="AH30">
            <v>22818</v>
          </cell>
          <cell r="AJ30">
            <v>248.44441415368107</v>
          </cell>
          <cell r="AL30">
            <v>0</v>
          </cell>
          <cell r="AN30">
            <v>0</v>
          </cell>
          <cell r="AP30">
            <v>0</v>
          </cell>
          <cell r="AR30">
            <v>0</v>
          </cell>
          <cell r="AT30">
            <v>144.35562153082893</v>
          </cell>
          <cell r="AV30">
            <v>2636.1337869954482</v>
          </cell>
          <cell r="AX30">
            <v>2780.4894085262772</v>
          </cell>
          <cell r="AZ30">
            <v>1.0875954604281646</v>
          </cell>
          <cell r="BB30">
            <v>21080.355621530827</v>
          </cell>
          <cell r="BD30">
            <v>4518.1337869954477</v>
          </cell>
          <cell r="BF30">
            <v>25598.489408526275</v>
          </cell>
          <cell r="BH30">
            <v>249.53200961410923</v>
          </cell>
          <cell r="BJ30">
            <v>661.90953662463039</v>
          </cell>
          <cell r="BN30">
            <v>661.90953662463039</v>
          </cell>
          <cell r="BP30">
            <v>3.1741070825058477</v>
          </cell>
          <cell r="BR30">
            <v>21742.265158155456</v>
          </cell>
          <cell r="BT30">
            <v>4518.1337869954477</v>
          </cell>
          <cell r="BV30">
            <v>26260.398945150904</v>
          </cell>
          <cell r="BX30">
            <v>252.70611669661508</v>
          </cell>
          <cell r="CB30">
            <v>271.55259000000001</v>
          </cell>
          <cell r="CD30">
            <v>271.55259000000001</v>
          </cell>
          <cell r="CG30" t="str">
            <v>MSG</v>
          </cell>
          <cell r="CO30" t="str">
            <v>MSG</v>
          </cell>
          <cell r="CP30">
            <v>22013.817748155456</v>
          </cell>
          <cell r="CR30">
            <v>4518.1337869954477</v>
          </cell>
          <cell r="CT30">
            <v>26531.951535150904</v>
          </cell>
          <cell r="CV30">
            <v>252.70611669661508</v>
          </cell>
          <cell r="DJ30">
            <v>21348.497383924201</v>
          </cell>
          <cell r="DL30">
            <v>665.32036423125533</v>
          </cell>
        </row>
        <row r="31">
          <cell r="B31" t="str">
            <v>PED</v>
          </cell>
          <cell r="D31" t="str">
            <v>PEDIATRIC ACUTE</v>
          </cell>
          <cell r="F31" t="str">
            <v>D2</v>
          </cell>
          <cell r="H31">
            <v>0</v>
          </cell>
          <cell r="J31">
            <v>0</v>
          </cell>
          <cell r="L31">
            <v>0</v>
          </cell>
          <cell r="N31">
            <v>0</v>
          </cell>
          <cell r="O31" t="str">
            <v>PED</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PED</v>
          </cell>
          <cell r="CO31" t="str">
            <v>PED</v>
          </cell>
          <cell r="CP31">
            <v>0</v>
          </cell>
          <cell r="CR31">
            <v>0</v>
          </cell>
          <cell r="CT31">
            <v>0</v>
          </cell>
          <cell r="CV31">
            <v>0</v>
          </cell>
          <cell r="DJ31">
            <v>0</v>
          </cell>
          <cell r="DL31">
            <v>0</v>
          </cell>
        </row>
        <row r="32">
          <cell r="B32" t="str">
            <v>PSY</v>
          </cell>
          <cell r="D32" t="str">
            <v>PSYCHIATRIC ACUTE</v>
          </cell>
          <cell r="F32" t="str">
            <v>D3</v>
          </cell>
          <cell r="H32">
            <v>2232765.5063615073</v>
          </cell>
          <cell r="J32">
            <v>29576.18011402063</v>
          </cell>
          <cell r="L32">
            <v>2262341.6864755279</v>
          </cell>
          <cell r="N32">
            <v>24.889885797380387</v>
          </cell>
          <cell r="O32" t="str">
            <v>PSY</v>
          </cell>
          <cell r="P32">
            <v>2232.8000000000002</v>
          </cell>
          <cell r="R32">
            <v>29.6</v>
          </cell>
          <cell r="T32">
            <v>2262.4</v>
          </cell>
          <cell r="AD32">
            <v>2232.8000000000002</v>
          </cell>
          <cell r="AF32">
            <v>29.6</v>
          </cell>
          <cell r="AH32">
            <v>2262.4</v>
          </cell>
          <cell r="AJ32">
            <v>24.889885797380387</v>
          </cell>
          <cell r="AL32">
            <v>0</v>
          </cell>
          <cell r="AN32">
            <v>0</v>
          </cell>
          <cell r="AP32">
            <v>0</v>
          </cell>
          <cell r="AR32">
            <v>0</v>
          </cell>
          <cell r="AT32">
            <v>14.46196706153219</v>
          </cell>
          <cell r="AV32">
            <v>264.095568936181</v>
          </cell>
          <cell r="AX32">
            <v>278.55753599771316</v>
          </cell>
          <cell r="AZ32">
            <v>0.10895848431939992</v>
          </cell>
          <cell r="BB32">
            <v>2247.2619670615322</v>
          </cell>
          <cell r="BD32">
            <v>293.69556893618102</v>
          </cell>
          <cell r="BF32">
            <v>2540.9575359977134</v>
          </cell>
          <cell r="BH32">
            <v>24.998844281699785</v>
          </cell>
          <cell r="BJ32">
            <v>224.810732864198</v>
          </cell>
          <cell r="BN32">
            <v>224.810732864198</v>
          </cell>
          <cell r="BP32">
            <v>1.2629816453044833</v>
          </cell>
          <cell r="BR32">
            <v>2472.0726999257304</v>
          </cell>
          <cell r="BT32">
            <v>293.69556893618102</v>
          </cell>
          <cell r="BV32">
            <v>2765.7682688619116</v>
          </cell>
          <cell r="BX32">
            <v>26.261825927004267</v>
          </cell>
          <cell r="CB32">
            <v>28.220400000000001</v>
          </cell>
          <cell r="CD32">
            <v>28.220400000000001</v>
          </cell>
          <cell r="CG32" t="str">
            <v>PSY</v>
          </cell>
          <cell r="CO32" t="str">
            <v>PSY</v>
          </cell>
          <cell r="CP32">
            <v>2500.2930999257305</v>
          </cell>
          <cell r="CR32">
            <v>293.69556893618102</v>
          </cell>
          <cell r="CT32">
            <v>2793.9886688619117</v>
          </cell>
          <cell r="CV32">
            <v>26.261825927004267</v>
          </cell>
          <cell r="DJ32">
            <v>2274.1251938275682</v>
          </cell>
          <cell r="DL32">
            <v>226.16790609816195</v>
          </cell>
        </row>
        <row r="33">
          <cell r="B33" t="str">
            <v>OBS</v>
          </cell>
          <cell r="D33" t="str">
            <v>OBSTETRICS ACUTE</v>
          </cell>
          <cell r="F33" t="str">
            <v>D4</v>
          </cell>
          <cell r="H33">
            <v>1635076.4033039631</v>
          </cell>
          <cell r="J33">
            <v>23759.277004127798</v>
          </cell>
          <cell r="L33">
            <v>1658835.680308091</v>
          </cell>
          <cell r="N33">
            <v>17.442272041114173</v>
          </cell>
          <cell r="O33" t="str">
            <v>OBS</v>
          </cell>
          <cell r="P33">
            <v>1635.1</v>
          </cell>
          <cell r="R33">
            <v>23.8</v>
          </cell>
          <cell r="T33">
            <v>1658.8999999999999</v>
          </cell>
          <cell r="AD33">
            <v>1635.1</v>
          </cell>
          <cell r="AF33">
            <v>23.8</v>
          </cell>
          <cell r="AH33">
            <v>1658.8999999999999</v>
          </cell>
          <cell r="AJ33">
            <v>17.442272041114173</v>
          </cell>
          <cell r="AL33">
            <v>0</v>
          </cell>
          <cell r="AN33">
            <v>0</v>
          </cell>
          <cell r="AP33">
            <v>0</v>
          </cell>
          <cell r="AR33">
            <v>0</v>
          </cell>
          <cell r="AT33">
            <v>10.134621178672736</v>
          </cell>
          <cell r="AV33">
            <v>185.07223358664459</v>
          </cell>
          <cell r="AX33">
            <v>195.20685476531733</v>
          </cell>
          <cell r="AZ33">
            <v>7.6355654668631243E-2</v>
          </cell>
          <cell r="BB33">
            <v>1645.2346211786726</v>
          </cell>
          <cell r="BD33">
            <v>208.8722335866446</v>
          </cell>
          <cell r="BF33">
            <v>1854.1068547653172</v>
          </cell>
          <cell r="BH33">
            <v>17.518627695782804</v>
          </cell>
          <cell r="BJ33">
            <v>128.53136352794854</v>
          </cell>
          <cell r="BN33">
            <v>128.53136352794854</v>
          </cell>
          <cell r="BP33">
            <v>0.54152670540530246</v>
          </cell>
          <cell r="BR33">
            <v>1773.7659847066211</v>
          </cell>
          <cell r="BT33">
            <v>208.8722335866446</v>
          </cell>
          <cell r="BV33">
            <v>1982.6382182932657</v>
          </cell>
          <cell r="BX33">
            <v>18.060154401188107</v>
          </cell>
          <cell r="CB33">
            <v>19.407060000000001</v>
          </cell>
          <cell r="CD33">
            <v>19.407060000000001</v>
          </cell>
          <cell r="CG33" t="str">
            <v>OBS</v>
          </cell>
          <cell r="CO33" t="str">
            <v>OBS</v>
          </cell>
          <cell r="CP33">
            <v>1793.1730447066211</v>
          </cell>
          <cell r="CR33">
            <v>208.8722335866446</v>
          </cell>
          <cell r="CT33">
            <v>2002.0452782932657</v>
          </cell>
          <cell r="CV33">
            <v>18.060154401188107</v>
          </cell>
          <cell r="DJ33">
            <v>1664.0597680327521</v>
          </cell>
          <cell r="DL33">
            <v>129.11327667386891</v>
          </cell>
        </row>
        <row r="34">
          <cell r="B34" t="str">
            <v>DEF</v>
          </cell>
          <cell r="D34" t="str">
            <v>DEFINITIVE OBSERVATION</v>
          </cell>
          <cell r="F34" t="str">
            <v>D5</v>
          </cell>
          <cell r="H34">
            <v>0</v>
          </cell>
          <cell r="J34">
            <v>0</v>
          </cell>
          <cell r="L34">
            <v>0</v>
          </cell>
          <cell r="N34">
            <v>0</v>
          </cell>
          <cell r="O34" t="str">
            <v>DEF</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DEF</v>
          </cell>
          <cell r="CO34" t="str">
            <v>DEF</v>
          </cell>
          <cell r="CP34">
            <v>0</v>
          </cell>
          <cell r="CR34">
            <v>0</v>
          </cell>
          <cell r="CT34">
            <v>0</v>
          </cell>
          <cell r="CV34">
            <v>0</v>
          </cell>
          <cell r="DJ34">
            <v>0</v>
          </cell>
          <cell r="DL34">
            <v>0</v>
          </cell>
        </row>
        <row r="35">
          <cell r="B35" t="str">
            <v>MIS</v>
          </cell>
          <cell r="D35" t="str">
            <v>MED/SURG INTENSIVE CARE</v>
          </cell>
          <cell r="F35" t="str">
            <v>D6</v>
          </cell>
          <cell r="H35">
            <v>6604755.8806300201</v>
          </cell>
          <cell r="J35">
            <v>374941.986379351</v>
          </cell>
          <cell r="L35">
            <v>6979697.8670093715</v>
          </cell>
          <cell r="N35">
            <v>61.857510388275443</v>
          </cell>
          <cell r="O35" t="str">
            <v>MIS</v>
          </cell>
          <cell r="P35">
            <v>6604.8</v>
          </cell>
          <cell r="R35">
            <v>374.9</v>
          </cell>
          <cell r="T35">
            <v>6979.7</v>
          </cell>
          <cell r="AD35">
            <v>6604.8</v>
          </cell>
          <cell r="AF35">
            <v>374.9</v>
          </cell>
          <cell r="AH35">
            <v>6979.7</v>
          </cell>
          <cell r="AJ35">
            <v>61.857510388275443</v>
          </cell>
          <cell r="AL35">
            <v>0</v>
          </cell>
          <cell r="AN35">
            <v>0</v>
          </cell>
          <cell r="AP35">
            <v>0</v>
          </cell>
          <cell r="AR35">
            <v>0</v>
          </cell>
          <cell r="AT35">
            <v>35.94155815041055</v>
          </cell>
          <cell r="AV35">
            <v>656.34268200164638</v>
          </cell>
          <cell r="AX35">
            <v>692.2842401520569</v>
          </cell>
          <cell r="AZ35">
            <v>0.27078873043231838</v>
          </cell>
          <cell r="BB35">
            <v>6640.741558150411</v>
          </cell>
          <cell r="BD35">
            <v>1031.2426820016462</v>
          </cell>
          <cell r="BF35">
            <v>7671.9842401520573</v>
          </cell>
          <cell r="BH35">
            <v>62.128299118707758</v>
          </cell>
          <cell r="BJ35">
            <v>0</v>
          </cell>
          <cell r="BN35">
            <v>0</v>
          </cell>
          <cell r="BP35">
            <v>0</v>
          </cell>
          <cell r="BR35">
            <v>6640.741558150411</v>
          </cell>
          <cell r="BT35">
            <v>1031.2426820016462</v>
          </cell>
          <cell r="BV35">
            <v>7671.9842401520573</v>
          </cell>
          <cell r="BX35">
            <v>62.128299118707758</v>
          </cell>
          <cell r="CB35">
            <v>66.761740000000003</v>
          </cell>
          <cell r="CD35">
            <v>66.761740000000003</v>
          </cell>
          <cell r="CG35" t="str">
            <v>MIS</v>
          </cell>
          <cell r="CO35" t="str">
            <v>MIS</v>
          </cell>
          <cell r="CP35">
            <v>6707.503298150411</v>
          </cell>
          <cell r="CR35">
            <v>1031.2426820016462</v>
          </cell>
          <cell r="CT35">
            <v>7738.7459801520572</v>
          </cell>
          <cell r="CV35">
            <v>62.128299118707758</v>
          </cell>
          <cell r="DJ35">
            <v>6707.503298150411</v>
          </cell>
          <cell r="DL35">
            <v>0</v>
          </cell>
        </row>
        <row r="36">
          <cell r="B36" t="str">
            <v>CCU</v>
          </cell>
          <cell r="D36" t="str">
            <v>CORONARY CARE</v>
          </cell>
          <cell r="F36" t="str">
            <v>D7</v>
          </cell>
          <cell r="H36">
            <v>0</v>
          </cell>
          <cell r="J36">
            <v>0</v>
          </cell>
          <cell r="L36">
            <v>0</v>
          </cell>
          <cell r="N36">
            <v>0</v>
          </cell>
          <cell r="O36" t="str">
            <v>CCU</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CCU</v>
          </cell>
          <cell r="CO36" t="str">
            <v>CCU</v>
          </cell>
          <cell r="CP36">
            <v>0</v>
          </cell>
          <cell r="CR36">
            <v>0</v>
          </cell>
          <cell r="CT36">
            <v>0</v>
          </cell>
          <cell r="CV36">
            <v>0</v>
          </cell>
          <cell r="DJ36">
            <v>0</v>
          </cell>
          <cell r="DL36">
            <v>0</v>
          </cell>
        </row>
        <row r="37">
          <cell r="B37" t="str">
            <v>PIC</v>
          </cell>
          <cell r="D37" t="str">
            <v>PEDIATRIC INTENSIVE CARE</v>
          </cell>
          <cell r="F37" t="str">
            <v>D8</v>
          </cell>
          <cell r="H37">
            <v>0</v>
          </cell>
          <cell r="J37">
            <v>0</v>
          </cell>
          <cell r="L37">
            <v>0</v>
          </cell>
          <cell r="N37">
            <v>0</v>
          </cell>
          <cell r="O37" t="str">
            <v>PIC</v>
          </cell>
          <cell r="P37">
            <v>0</v>
          </cell>
          <cell r="R37">
            <v>0</v>
          </cell>
          <cell r="T37">
            <v>0</v>
          </cell>
          <cell r="AD37">
            <v>0</v>
          </cell>
          <cell r="AF37">
            <v>0</v>
          </cell>
          <cell r="AH37">
            <v>0</v>
          </cell>
          <cell r="AJ37">
            <v>0</v>
          </cell>
          <cell r="AL37">
            <v>0</v>
          </cell>
          <cell r="AN37">
            <v>0</v>
          </cell>
          <cell r="AP37">
            <v>0</v>
          </cell>
          <cell r="AR37">
            <v>0</v>
          </cell>
          <cell r="AT37">
            <v>0</v>
          </cell>
          <cell r="AV37">
            <v>0</v>
          </cell>
          <cell r="AX37">
            <v>0</v>
          </cell>
          <cell r="AZ37">
            <v>0</v>
          </cell>
          <cell r="BB37">
            <v>0</v>
          </cell>
          <cell r="BD37">
            <v>0</v>
          </cell>
          <cell r="BF37">
            <v>0</v>
          </cell>
          <cell r="BH37">
            <v>0</v>
          </cell>
          <cell r="BJ37">
            <v>0</v>
          </cell>
          <cell r="BN37">
            <v>0</v>
          </cell>
          <cell r="BP37">
            <v>0</v>
          </cell>
          <cell r="BR37">
            <v>0</v>
          </cell>
          <cell r="BT37">
            <v>0</v>
          </cell>
          <cell r="BV37">
            <v>0</v>
          </cell>
          <cell r="BX37">
            <v>0</v>
          </cell>
          <cell r="CB37">
            <v>0</v>
          </cell>
          <cell r="CD37">
            <v>0</v>
          </cell>
          <cell r="CG37" t="str">
            <v>PIC</v>
          </cell>
          <cell r="CO37" t="str">
            <v>PIC</v>
          </cell>
          <cell r="CP37">
            <v>0</v>
          </cell>
          <cell r="CR37">
            <v>0</v>
          </cell>
          <cell r="CT37">
            <v>0</v>
          </cell>
          <cell r="CV37">
            <v>0</v>
          </cell>
          <cell r="DJ37">
            <v>0</v>
          </cell>
          <cell r="DL37">
            <v>0</v>
          </cell>
        </row>
        <row r="38">
          <cell r="B38" t="str">
            <v>NEO</v>
          </cell>
          <cell r="D38" t="str">
            <v>NEONATAL INTENSIVE CARE</v>
          </cell>
          <cell r="F38" t="str">
            <v>D9</v>
          </cell>
          <cell r="H38">
            <v>3236550.14135399</v>
          </cell>
          <cell r="J38">
            <v>42146.126445004498</v>
          </cell>
          <cell r="L38">
            <v>3278696.2677989947</v>
          </cell>
          <cell r="N38">
            <v>30.997197011030998</v>
          </cell>
          <cell r="O38" t="str">
            <v>NEO</v>
          </cell>
          <cell r="P38">
            <v>3236.6</v>
          </cell>
          <cell r="R38">
            <v>42.1</v>
          </cell>
          <cell r="T38">
            <v>3278.7</v>
          </cell>
          <cell r="AD38">
            <v>3236.6</v>
          </cell>
          <cell r="AF38">
            <v>42.1</v>
          </cell>
          <cell r="AH38">
            <v>3278.7</v>
          </cell>
          <cell r="AJ38">
            <v>30.997197011030998</v>
          </cell>
          <cell r="AL38">
            <v>0</v>
          </cell>
          <cell r="AN38">
            <v>0</v>
          </cell>
          <cell r="AP38">
            <v>0</v>
          </cell>
          <cell r="AR38">
            <v>0</v>
          </cell>
          <cell r="AT38">
            <v>18.010546365003211</v>
          </cell>
          <cell r="AV38">
            <v>328.89754684678809</v>
          </cell>
          <cell r="AX38">
            <v>346.90809321179131</v>
          </cell>
          <cell r="AZ38">
            <v>0.13569397754437412</v>
          </cell>
          <cell r="BB38">
            <v>3254.6105463650033</v>
          </cell>
          <cell r="BD38">
            <v>370.99754684678811</v>
          </cell>
          <cell r="BF38">
            <v>3625.6080932117916</v>
          </cell>
          <cell r="BH38">
            <v>31.132890988575372</v>
          </cell>
          <cell r="BJ38">
            <v>44.982413067030862</v>
          </cell>
          <cell r="BN38">
            <v>44.982413067030862</v>
          </cell>
          <cell r="BP38">
            <v>0.18951933038563665</v>
          </cell>
          <cell r="BR38">
            <v>3299.5929594320341</v>
          </cell>
          <cell r="BT38">
            <v>370.99754684678811</v>
          </cell>
          <cell r="BV38">
            <v>3670.5905062788224</v>
          </cell>
          <cell r="BX38">
            <v>31.322410318961008</v>
          </cell>
          <cell r="CB38">
            <v>33.658389999999997</v>
          </cell>
          <cell r="CD38">
            <v>33.658389999999997</v>
          </cell>
          <cell r="CG38" t="str">
            <v>NEO</v>
          </cell>
          <cell r="CO38" t="str">
            <v>NEO</v>
          </cell>
          <cell r="CP38">
            <v>3333.2513494320342</v>
          </cell>
          <cell r="CR38">
            <v>370.99754684678811</v>
          </cell>
          <cell r="CT38">
            <v>3704.2488962788225</v>
          </cell>
          <cell r="CV38">
            <v>31.322410318961008</v>
          </cell>
          <cell r="DJ38">
            <v>3288.0652829593523</v>
          </cell>
          <cell r="DL38">
            <v>45.186066472681993</v>
          </cell>
        </row>
        <row r="39">
          <cell r="B39" t="str">
            <v>BUR</v>
          </cell>
          <cell r="D39" t="str">
            <v>BURN CARE</v>
          </cell>
          <cell r="F39" t="str">
            <v>D10</v>
          </cell>
          <cell r="H39">
            <v>0</v>
          </cell>
          <cell r="J39">
            <v>0</v>
          </cell>
          <cell r="L39">
            <v>0</v>
          </cell>
          <cell r="N39">
            <v>0</v>
          </cell>
          <cell r="O39" t="str">
            <v>BUR</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P39">
            <v>0</v>
          </cell>
          <cell r="BR39">
            <v>0</v>
          </cell>
          <cell r="BT39">
            <v>0</v>
          </cell>
          <cell r="BV39">
            <v>0</v>
          </cell>
          <cell r="BX39">
            <v>0</v>
          </cell>
          <cell r="CB39">
            <v>0</v>
          </cell>
          <cell r="CD39">
            <v>0</v>
          </cell>
          <cell r="CG39" t="str">
            <v>BUR</v>
          </cell>
          <cell r="CO39" t="str">
            <v>BUR</v>
          </cell>
          <cell r="CP39">
            <v>0</v>
          </cell>
          <cell r="CR39">
            <v>0</v>
          </cell>
          <cell r="CT39">
            <v>0</v>
          </cell>
          <cell r="CV39">
            <v>0</v>
          </cell>
          <cell r="DJ39">
            <v>0</v>
          </cell>
          <cell r="DL39">
            <v>0</v>
          </cell>
        </row>
        <row r="40">
          <cell r="B40" t="str">
            <v>PSI</v>
          </cell>
          <cell r="D40" t="str">
            <v>PSYCHIATRIC - ICU</v>
          </cell>
          <cell r="F40" t="str">
            <v>D11</v>
          </cell>
          <cell r="H40">
            <v>0</v>
          </cell>
          <cell r="J40">
            <v>0</v>
          </cell>
          <cell r="L40">
            <v>0</v>
          </cell>
          <cell r="N40">
            <v>0</v>
          </cell>
          <cell r="O40" t="str">
            <v>PSI</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PSI</v>
          </cell>
          <cell r="CO40" t="str">
            <v>PSI</v>
          </cell>
          <cell r="CP40">
            <v>0</v>
          </cell>
          <cell r="CR40">
            <v>0</v>
          </cell>
          <cell r="CT40">
            <v>0</v>
          </cell>
          <cell r="CV40">
            <v>0</v>
          </cell>
          <cell r="DJ40">
            <v>0</v>
          </cell>
          <cell r="DL40">
            <v>0</v>
          </cell>
        </row>
        <row r="41">
          <cell r="B41" t="str">
            <v>TRM</v>
          </cell>
          <cell r="D41" t="str">
            <v>SHOCK TRAUMA</v>
          </cell>
          <cell r="F41" t="str">
            <v>D12</v>
          </cell>
          <cell r="H41">
            <v>0</v>
          </cell>
          <cell r="J41">
            <v>0</v>
          </cell>
          <cell r="L41">
            <v>0</v>
          </cell>
          <cell r="N41">
            <v>0</v>
          </cell>
          <cell r="O41" t="str">
            <v>TRM</v>
          </cell>
          <cell r="P41">
            <v>0</v>
          </cell>
          <cell r="R41">
            <v>0</v>
          </cell>
          <cell r="T41">
            <v>0</v>
          </cell>
          <cell r="AD41">
            <v>0</v>
          </cell>
          <cell r="AF41">
            <v>0</v>
          </cell>
          <cell r="AH41">
            <v>0</v>
          </cell>
          <cell r="AJ41">
            <v>0</v>
          </cell>
          <cell r="AL41">
            <v>0</v>
          </cell>
          <cell r="AN41">
            <v>0</v>
          </cell>
          <cell r="AP41">
            <v>0</v>
          </cell>
          <cell r="AR41">
            <v>0</v>
          </cell>
          <cell r="AT41">
            <v>0</v>
          </cell>
          <cell r="AV41">
            <v>0</v>
          </cell>
          <cell r="AX41">
            <v>0</v>
          </cell>
          <cell r="AZ41">
            <v>0</v>
          </cell>
          <cell r="BB41">
            <v>0</v>
          </cell>
          <cell r="BD41">
            <v>0</v>
          </cell>
          <cell r="BF41">
            <v>0</v>
          </cell>
          <cell r="BH41">
            <v>0</v>
          </cell>
          <cell r="BJ41">
            <v>0</v>
          </cell>
          <cell r="BN41">
            <v>0</v>
          </cell>
          <cell r="BP41">
            <v>0</v>
          </cell>
          <cell r="BR41">
            <v>0</v>
          </cell>
          <cell r="BT41">
            <v>0</v>
          </cell>
          <cell r="BV41">
            <v>0</v>
          </cell>
          <cell r="BX41">
            <v>0</v>
          </cell>
          <cell r="CB41">
            <v>0</v>
          </cell>
          <cell r="CD41">
            <v>0</v>
          </cell>
          <cell r="CG41" t="str">
            <v>TRM</v>
          </cell>
          <cell r="CO41" t="str">
            <v>TRM</v>
          </cell>
          <cell r="CP41">
            <v>0</v>
          </cell>
          <cell r="CR41">
            <v>0</v>
          </cell>
          <cell r="CT41">
            <v>0</v>
          </cell>
          <cell r="CV41">
            <v>0</v>
          </cell>
          <cell r="DJ41">
            <v>0</v>
          </cell>
          <cell r="DL41">
            <v>0</v>
          </cell>
        </row>
        <row r="42">
          <cell r="B42" t="str">
            <v>ONC</v>
          </cell>
          <cell r="D42" t="str">
            <v>ONCOLOGY</v>
          </cell>
          <cell r="F42" t="str">
            <v>D13</v>
          </cell>
          <cell r="H42">
            <v>0</v>
          </cell>
          <cell r="J42">
            <v>0</v>
          </cell>
          <cell r="L42">
            <v>0</v>
          </cell>
          <cell r="N42">
            <v>0</v>
          </cell>
          <cell r="O42" t="str">
            <v>ONC</v>
          </cell>
          <cell r="P42">
            <v>0</v>
          </cell>
          <cell r="R42">
            <v>0</v>
          </cell>
          <cell r="T42">
            <v>0</v>
          </cell>
          <cell r="AD42">
            <v>0</v>
          </cell>
          <cell r="AF42">
            <v>0</v>
          </cell>
          <cell r="AH42">
            <v>0</v>
          </cell>
          <cell r="AJ42">
            <v>0</v>
          </cell>
          <cell r="AL42">
            <v>0</v>
          </cell>
          <cell r="AN42">
            <v>0</v>
          </cell>
          <cell r="AP42">
            <v>0</v>
          </cell>
          <cell r="AR42">
            <v>0</v>
          </cell>
          <cell r="AT42">
            <v>0</v>
          </cell>
          <cell r="AV42">
            <v>0</v>
          </cell>
          <cell r="AX42">
            <v>0</v>
          </cell>
          <cell r="AZ42">
            <v>0</v>
          </cell>
          <cell r="BB42">
            <v>0</v>
          </cell>
          <cell r="BD42">
            <v>0</v>
          </cell>
          <cell r="BF42">
            <v>0</v>
          </cell>
          <cell r="BH42">
            <v>0</v>
          </cell>
          <cell r="BJ42">
            <v>0</v>
          </cell>
          <cell r="BN42">
            <v>0</v>
          </cell>
          <cell r="BP42">
            <v>0</v>
          </cell>
          <cell r="BR42">
            <v>0</v>
          </cell>
          <cell r="BT42">
            <v>0</v>
          </cell>
          <cell r="BV42">
            <v>0</v>
          </cell>
          <cell r="BX42">
            <v>0</v>
          </cell>
          <cell r="CB42">
            <v>0</v>
          </cell>
          <cell r="CD42">
            <v>0</v>
          </cell>
          <cell r="CG42" t="str">
            <v>ONC</v>
          </cell>
          <cell r="CO42" t="str">
            <v>ONC</v>
          </cell>
          <cell r="CP42">
            <v>0</v>
          </cell>
          <cell r="CR42">
            <v>0</v>
          </cell>
          <cell r="CT42">
            <v>0</v>
          </cell>
          <cell r="CV42">
            <v>0</v>
          </cell>
          <cell r="DJ42">
            <v>0</v>
          </cell>
          <cell r="DL42">
            <v>0</v>
          </cell>
        </row>
        <row r="43">
          <cell r="B43" t="str">
            <v>NUR</v>
          </cell>
          <cell r="D43" t="str">
            <v>NEWBORN NURSERY</v>
          </cell>
          <cell r="F43" t="str">
            <v>D14</v>
          </cell>
          <cell r="H43">
            <v>1298395.8599503436</v>
          </cell>
          <cell r="J43">
            <v>14495.935667331438</v>
          </cell>
          <cell r="L43">
            <v>1312891.7956176749</v>
          </cell>
          <cell r="N43">
            <v>13.03726840642147</v>
          </cell>
          <cell r="O43" t="str">
            <v>NUR</v>
          </cell>
          <cell r="P43">
            <v>1298.4000000000001</v>
          </cell>
          <cell r="R43">
            <v>14.5</v>
          </cell>
          <cell r="T43">
            <v>1312.9</v>
          </cell>
          <cell r="AD43">
            <v>1298.4000000000001</v>
          </cell>
          <cell r="AF43">
            <v>14.5</v>
          </cell>
          <cell r="AH43">
            <v>1312.9</v>
          </cell>
          <cell r="AJ43">
            <v>13.03726840642147</v>
          </cell>
          <cell r="AL43">
            <v>0</v>
          </cell>
          <cell r="AN43">
            <v>0</v>
          </cell>
          <cell r="AP43">
            <v>0</v>
          </cell>
          <cell r="AR43">
            <v>0</v>
          </cell>
          <cell r="AT43">
            <v>7.5751471019551859</v>
          </cell>
          <cell r="AV43">
            <v>138.33268843402865</v>
          </cell>
          <cell r="AX43">
            <v>145.90783553598385</v>
          </cell>
          <cell r="AZ43">
            <v>5.7072218683236739E-2</v>
          </cell>
          <cell r="BB43">
            <v>1305.9751471019554</v>
          </cell>
          <cell r="BD43">
            <v>152.83268843402865</v>
          </cell>
          <cell r="BF43">
            <v>1458.8078355359839</v>
          </cell>
          <cell r="BH43">
            <v>13.094340625104707</v>
          </cell>
          <cell r="BJ43">
            <v>0</v>
          </cell>
          <cell r="BN43">
            <v>0</v>
          </cell>
          <cell r="BP43">
            <v>0</v>
          </cell>
          <cell r="BR43">
            <v>1305.9751471019554</v>
          </cell>
          <cell r="BT43">
            <v>152.83268843402865</v>
          </cell>
          <cell r="BV43">
            <v>1458.8078355359839</v>
          </cell>
          <cell r="BX43">
            <v>13.094340625104707</v>
          </cell>
          <cell r="CB43">
            <v>14.0709</v>
          </cell>
          <cell r="CD43">
            <v>14.0709</v>
          </cell>
          <cell r="CG43" t="str">
            <v>NUR</v>
          </cell>
          <cell r="CO43" t="str">
            <v>NUR</v>
          </cell>
          <cell r="CP43">
            <v>1320.0460471019553</v>
          </cell>
          <cell r="CR43">
            <v>152.83268843402865</v>
          </cell>
          <cell r="CT43">
            <v>1472.8787355359839</v>
          </cell>
          <cell r="CV43">
            <v>13.094340625104707</v>
          </cell>
          <cell r="DJ43">
            <v>1320.0460471019553</v>
          </cell>
          <cell r="DL43">
            <v>0</v>
          </cell>
        </row>
        <row r="44">
          <cell r="B44" t="str">
            <v>PRE</v>
          </cell>
          <cell r="D44" t="str">
            <v>PREMATURE NURSERY</v>
          </cell>
          <cell r="F44" t="str">
            <v>D15</v>
          </cell>
          <cell r="H44">
            <v>0</v>
          </cell>
          <cell r="J44">
            <v>0</v>
          </cell>
          <cell r="L44">
            <v>0</v>
          </cell>
          <cell r="N44">
            <v>0</v>
          </cell>
          <cell r="O44" t="str">
            <v>PRE</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PRE</v>
          </cell>
          <cell r="CO44" t="str">
            <v>PRE</v>
          </cell>
          <cell r="CP44">
            <v>0</v>
          </cell>
          <cell r="CR44">
            <v>0</v>
          </cell>
          <cell r="CT44">
            <v>0</v>
          </cell>
          <cell r="CV44">
            <v>0</v>
          </cell>
          <cell r="DJ44">
            <v>0</v>
          </cell>
          <cell r="DL44">
            <v>0</v>
          </cell>
        </row>
        <row r="45">
          <cell r="B45" t="str">
            <v>ECF</v>
          </cell>
          <cell r="D45" t="str">
            <v>SKILLED NURSING CARE</v>
          </cell>
          <cell r="F45" t="str">
            <v>D16</v>
          </cell>
          <cell r="H45">
            <v>0</v>
          </cell>
          <cell r="J45">
            <v>0</v>
          </cell>
          <cell r="L45">
            <v>0</v>
          </cell>
          <cell r="N45">
            <v>0</v>
          </cell>
          <cell r="O45" t="str">
            <v>ECF</v>
          </cell>
          <cell r="P45">
            <v>0</v>
          </cell>
          <cell r="R45">
            <v>0</v>
          </cell>
          <cell r="T45">
            <v>0</v>
          </cell>
          <cell r="AD45">
            <v>0</v>
          </cell>
          <cell r="AF45">
            <v>0</v>
          </cell>
          <cell r="AH45">
            <v>0</v>
          </cell>
          <cell r="AJ45">
            <v>0</v>
          </cell>
          <cell r="AL45">
            <v>0</v>
          </cell>
          <cell r="AN45">
            <v>0</v>
          </cell>
          <cell r="AP45">
            <v>0</v>
          </cell>
          <cell r="AR45">
            <v>0</v>
          </cell>
          <cell r="AT45">
            <v>0</v>
          </cell>
          <cell r="AV45">
            <v>0</v>
          </cell>
          <cell r="AX45">
            <v>0</v>
          </cell>
          <cell r="AZ45">
            <v>0</v>
          </cell>
          <cell r="BB45">
            <v>0</v>
          </cell>
          <cell r="BD45">
            <v>0</v>
          </cell>
          <cell r="BF45">
            <v>0</v>
          </cell>
          <cell r="BH45">
            <v>0</v>
          </cell>
          <cell r="BJ45">
            <v>0</v>
          </cell>
          <cell r="BN45">
            <v>0</v>
          </cell>
          <cell r="BR45">
            <v>0</v>
          </cell>
          <cell r="BT45">
            <v>0</v>
          </cell>
          <cell r="BV45">
            <v>0</v>
          </cell>
          <cell r="BX45">
            <v>0</v>
          </cell>
          <cell r="CG45" t="str">
            <v>ECF</v>
          </cell>
          <cell r="CO45" t="str">
            <v>ECF</v>
          </cell>
          <cell r="CP45">
            <v>0</v>
          </cell>
          <cell r="CR45">
            <v>0</v>
          </cell>
          <cell r="CT45">
            <v>0</v>
          </cell>
          <cell r="CV45">
            <v>0</v>
          </cell>
          <cell r="DJ45">
            <v>0</v>
          </cell>
          <cell r="DL45">
            <v>0</v>
          </cell>
        </row>
        <row r="46">
          <cell r="B46" t="str">
            <v>CHR</v>
          </cell>
          <cell r="D46" t="str">
            <v>CHRONIC CARE</v>
          </cell>
          <cell r="F46" t="str">
            <v>D17</v>
          </cell>
          <cell r="H46">
            <v>0</v>
          </cell>
          <cell r="J46">
            <v>0</v>
          </cell>
          <cell r="L46">
            <v>0</v>
          </cell>
          <cell r="N46">
            <v>0</v>
          </cell>
          <cell r="O46" t="str">
            <v>CHR</v>
          </cell>
          <cell r="P46">
            <v>0</v>
          </cell>
          <cell r="R46">
            <v>0</v>
          </cell>
          <cell r="T46">
            <v>0</v>
          </cell>
          <cell r="AD46">
            <v>0</v>
          </cell>
          <cell r="AF46">
            <v>0</v>
          </cell>
          <cell r="AH46">
            <v>0</v>
          </cell>
          <cell r="AJ46">
            <v>0</v>
          </cell>
          <cell r="AL46">
            <v>0</v>
          </cell>
          <cell r="AN46">
            <v>0</v>
          </cell>
          <cell r="AP46">
            <v>0</v>
          </cell>
          <cell r="AR46">
            <v>0</v>
          </cell>
          <cell r="AT46">
            <v>0</v>
          </cell>
          <cell r="AV46">
            <v>0</v>
          </cell>
          <cell r="AX46">
            <v>0</v>
          </cell>
          <cell r="AZ46">
            <v>0</v>
          </cell>
          <cell r="BB46">
            <v>0</v>
          </cell>
          <cell r="BD46">
            <v>0</v>
          </cell>
          <cell r="BF46">
            <v>0</v>
          </cell>
          <cell r="BH46">
            <v>0</v>
          </cell>
          <cell r="BJ46">
            <v>0</v>
          </cell>
          <cell r="BN46">
            <v>0</v>
          </cell>
          <cell r="BP46">
            <v>0</v>
          </cell>
          <cell r="BR46">
            <v>0</v>
          </cell>
          <cell r="BT46">
            <v>0</v>
          </cell>
          <cell r="BV46">
            <v>0</v>
          </cell>
          <cell r="BX46">
            <v>0</v>
          </cell>
          <cell r="CB46">
            <v>0</v>
          </cell>
          <cell r="CD46">
            <v>0</v>
          </cell>
          <cell r="CG46" t="str">
            <v>CHR</v>
          </cell>
          <cell r="CO46" t="str">
            <v>CHR</v>
          </cell>
          <cell r="CP46">
            <v>0</v>
          </cell>
          <cell r="CR46">
            <v>0</v>
          </cell>
          <cell r="CT46">
            <v>0</v>
          </cell>
          <cell r="CV46">
            <v>0</v>
          </cell>
          <cell r="DJ46">
            <v>0</v>
          </cell>
          <cell r="DL46">
            <v>0</v>
          </cell>
        </row>
        <row r="47">
          <cell r="B47" t="str">
            <v>EMG</v>
          </cell>
          <cell r="D47" t="str">
            <v>EMERGENCY SERVICES</v>
          </cell>
          <cell r="F47" t="str">
            <v>D18</v>
          </cell>
          <cell r="H47">
            <v>6539782.7825975781</v>
          </cell>
          <cell r="J47">
            <v>350368.63648702687</v>
          </cell>
          <cell r="L47">
            <v>6890151.4190846048</v>
          </cell>
          <cell r="N47">
            <v>70.112212697118366</v>
          </cell>
          <cell r="O47" t="str">
            <v>EMG</v>
          </cell>
          <cell r="P47">
            <v>6539.8</v>
          </cell>
          <cell r="R47">
            <v>350.4</v>
          </cell>
          <cell r="T47">
            <v>6890.2</v>
          </cell>
          <cell r="AD47">
            <v>6539.8</v>
          </cell>
          <cell r="AF47">
            <v>350.4</v>
          </cell>
          <cell r="AH47">
            <v>6890.2</v>
          </cell>
          <cell r="AJ47">
            <v>70.112212697118366</v>
          </cell>
          <cell r="AL47">
            <v>0</v>
          </cell>
          <cell r="AN47">
            <v>0</v>
          </cell>
          <cell r="AP47">
            <v>0</v>
          </cell>
          <cell r="AR47">
            <v>0</v>
          </cell>
          <cell r="AT47">
            <v>40.737853073780769</v>
          </cell>
          <cell r="AV47">
            <v>743.92967699228325</v>
          </cell>
          <cell r="AX47">
            <v>784.66753006606405</v>
          </cell>
          <cell r="AZ47">
            <v>0.30692468780075433</v>
          </cell>
          <cell r="BB47">
            <v>6580.5378530737808</v>
          </cell>
          <cell r="BD47">
            <v>1094.3296769922831</v>
          </cell>
          <cell r="BF47">
            <v>7674.8675300660634</v>
          </cell>
          <cell r="BH47">
            <v>70.419137384919125</v>
          </cell>
          <cell r="BJ47">
            <v>1437.9977249329918</v>
          </cell>
          <cell r="BN47">
            <v>1437.9977249329918</v>
          </cell>
          <cell r="BP47">
            <v>6.1367525418436584</v>
          </cell>
          <cell r="BR47">
            <v>8018.535578006773</v>
          </cell>
          <cell r="BT47">
            <v>1094.3296769922831</v>
          </cell>
          <cell r="BV47">
            <v>9112.8652549990566</v>
          </cell>
          <cell r="BX47">
            <v>76.555889926762788</v>
          </cell>
          <cell r="CB47">
            <v>82.265320000000003</v>
          </cell>
          <cell r="CD47">
            <v>82.265320000000003</v>
          </cell>
          <cell r="CG47" t="str">
            <v>EMG</v>
          </cell>
          <cell r="CO47" t="str">
            <v>EMG</v>
          </cell>
          <cell r="CP47">
            <v>8100.8008980067734</v>
          </cell>
          <cell r="CR47">
            <v>1094.3296769922831</v>
          </cell>
          <cell r="CT47">
            <v>9195.130574999057</v>
          </cell>
          <cell r="CV47">
            <v>76.555889926762788</v>
          </cell>
          <cell r="DJ47">
            <v>6656.2087502005243</v>
          </cell>
          <cell r="DL47">
            <v>1444.5921478062487</v>
          </cell>
        </row>
        <row r="48">
          <cell r="B48" t="str">
            <v>CL</v>
          </cell>
          <cell r="D48" t="str">
            <v>CLINIC SERVICES</v>
          </cell>
          <cell r="F48" t="str">
            <v>D19</v>
          </cell>
          <cell r="H48">
            <v>4224439.4067137865</v>
          </cell>
          <cell r="J48">
            <v>433182.56899145694</v>
          </cell>
          <cell r="L48">
            <v>4657621.9757052436</v>
          </cell>
          <cell r="N48">
            <v>42.494115112846451</v>
          </cell>
          <cell r="O48" t="str">
            <v>CL</v>
          </cell>
          <cell r="P48">
            <v>4224.3999999999996</v>
          </cell>
          <cell r="R48">
            <v>433.2</v>
          </cell>
          <cell r="T48">
            <v>4657.5999999999995</v>
          </cell>
          <cell r="AD48">
            <v>4224.3999999999996</v>
          </cell>
          <cell r="AF48">
            <v>433.2</v>
          </cell>
          <cell r="AH48">
            <v>4657.5999999999995</v>
          </cell>
          <cell r="AJ48">
            <v>42.494115112846451</v>
          </cell>
          <cell r="AL48">
            <v>0</v>
          </cell>
          <cell r="AN48">
            <v>0</v>
          </cell>
          <cell r="AP48">
            <v>0</v>
          </cell>
          <cell r="AR48">
            <v>0</v>
          </cell>
          <cell r="AT48">
            <v>24.690691555347463</v>
          </cell>
          <cell r="AV48">
            <v>450.88625952425622</v>
          </cell>
          <cell r="AX48">
            <v>475.5769510796037</v>
          </cell>
          <cell r="AZ48">
            <v>0.18602312653749356</v>
          </cell>
          <cell r="BB48">
            <v>4249.0906915553469</v>
          </cell>
          <cell r="BD48">
            <v>884.08625952425621</v>
          </cell>
          <cell r="BF48">
            <v>5133.176951079603</v>
          </cell>
          <cell r="BH48">
            <v>42.680138239383943</v>
          </cell>
          <cell r="BJ48">
            <v>231.22183139652074</v>
          </cell>
          <cell r="BN48">
            <v>231.22183139652074</v>
          </cell>
          <cell r="BP48">
            <v>1.0677526270908371</v>
          </cell>
          <cell r="BR48">
            <v>4480.3125229518673</v>
          </cell>
          <cell r="BT48">
            <v>884.08625952425621</v>
          </cell>
          <cell r="BV48">
            <v>5364.3987824761234</v>
          </cell>
          <cell r="BX48">
            <v>43.747890866474783</v>
          </cell>
          <cell r="CB48">
            <v>47.010550000000002</v>
          </cell>
          <cell r="CD48">
            <v>47.010550000000002</v>
          </cell>
          <cell r="CG48" t="str">
            <v>CL</v>
          </cell>
          <cell r="CO48" t="str">
            <v>CL</v>
          </cell>
          <cell r="CP48">
            <v>4527.3230729518673</v>
          </cell>
          <cell r="CR48">
            <v>884.08625952425621</v>
          </cell>
          <cell r="CT48">
            <v>5411.4093324761234</v>
          </cell>
          <cell r="CV48">
            <v>43.747890866474783</v>
          </cell>
          <cell r="DJ48">
            <v>4294.9538573667769</v>
          </cell>
          <cell r="DL48">
            <v>232.36921558509087</v>
          </cell>
        </row>
        <row r="49">
          <cell r="B49" t="str">
            <v>PDC</v>
          </cell>
          <cell r="D49" t="str">
            <v>PSYCH DAY &amp; NIGHT</v>
          </cell>
          <cell r="F49" t="str">
            <v>D20</v>
          </cell>
          <cell r="H49">
            <v>475585.40277307318</v>
          </cell>
          <cell r="J49">
            <v>1623.4298114966482</v>
          </cell>
          <cell r="L49">
            <v>477208.83258456981</v>
          </cell>
          <cell r="N49">
            <v>4.0380179384947077</v>
          </cell>
          <cell r="O49" t="str">
            <v>PDC</v>
          </cell>
          <cell r="P49">
            <v>475.6</v>
          </cell>
          <cell r="R49">
            <v>1.6</v>
          </cell>
          <cell r="T49">
            <v>477.20000000000005</v>
          </cell>
          <cell r="AD49">
            <v>475.6</v>
          </cell>
          <cell r="AF49">
            <v>1.6</v>
          </cell>
          <cell r="AH49">
            <v>477.20000000000005</v>
          </cell>
          <cell r="AJ49">
            <v>4.0380179384947077</v>
          </cell>
          <cell r="AL49">
            <v>0</v>
          </cell>
          <cell r="AN49">
            <v>0</v>
          </cell>
          <cell r="AP49">
            <v>0</v>
          </cell>
          <cell r="AR49">
            <v>0</v>
          </cell>
          <cell r="AT49">
            <v>2.3462414771920259</v>
          </cell>
          <cell r="AV49">
            <v>42.845622254864004</v>
          </cell>
          <cell r="AX49">
            <v>45.191863732056028</v>
          </cell>
          <cell r="AZ49">
            <v>1.7676911730918343E-2</v>
          </cell>
          <cell r="BB49">
            <v>477.94624147719207</v>
          </cell>
          <cell r="BD49">
            <v>44.445622254864006</v>
          </cell>
          <cell r="BF49">
            <v>522.39186373205609</v>
          </cell>
          <cell r="BH49">
            <v>4.0556948502256258</v>
          </cell>
          <cell r="BJ49">
            <v>0</v>
          </cell>
          <cell r="BN49">
            <v>0</v>
          </cell>
          <cell r="BP49">
            <v>0</v>
          </cell>
          <cell r="BR49">
            <v>477.94624147719207</v>
          </cell>
          <cell r="BT49">
            <v>44.445622254864006</v>
          </cell>
          <cell r="BV49">
            <v>522.39186373205609</v>
          </cell>
          <cell r="BX49">
            <v>4.0556948502256258</v>
          </cell>
          <cell r="CB49">
            <v>4.3581599999999998</v>
          </cell>
          <cell r="CD49">
            <v>4.3581599999999998</v>
          </cell>
          <cell r="CG49" t="str">
            <v>PDC</v>
          </cell>
          <cell r="CO49" t="str">
            <v>PDC</v>
          </cell>
          <cell r="CP49">
            <v>482.30440147719207</v>
          </cell>
          <cell r="CR49">
            <v>44.445622254864006</v>
          </cell>
          <cell r="CT49">
            <v>526.75002373205609</v>
          </cell>
          <cell r="CV49">
            <v>4.0556948502256258</v>
          </cell>
          <cell r="DJ49">
            <v>482.30440147719207</v>
          </cell>
          <cell r="DL49">
            <v>0</v>
          </cell>
        </row>
        <row r="50">
          <cell r="B50" t="str">
            <v>AMS</v>
          </cell>
          <cell r="D50" t="str">
            <v>AMBULATORY SURGERY (PBP)</v>
          </cell>
          <cell r="F50" t="str">
            <v>D21</v>
          </cell>
          <cell r="H50">
            <v>0</v>
          </cell>
          <cell r="L50">
            <v>0</v>
          </cell>
          <cell r="N50">
            <v>0</v>
          </cell>
          <cell r="O50" t="str">
            <v>AMS</v>
          </cell>
          <cell r="P50">
            <v>0</v>
          </cell>
          <cell r="R50">
            <v>0</v>
          </cell>
          <cell r="T50">
            <v>0</v>
          </cell>
          <cell r="AD50">
            <v>0</v>
          </cell>
          <cell r="AF50">
            <v>0</v>
          </cell>
          <cell r="AH50">
            <v>0</v>
          </cell>
          <cell r="AJ50">
            <v>0</v>
          </cell>
          <cell r="AL50">
            <v>0</v>
          </cell>
          <cell r="AN50">
            <v>0</v>
          </cell>
          <cell r="AP50">
            <v>0</v>
          </cell>
          <cell r="AR50">
            <v>0</v>
          </cell>
          <cell r="AT50">
            <v>0</v>
          </cell>
          <cell r="AV50">
            <v>0</v>
          </cell>
          <cell r="AX50">
            <v>0</v>
          </cell>
          <cell r="AZ50">
            <v>0</v>
          </cell>
          <cell r="BB50">
            <v>0</v>
          </cell>
          <cell r="BD50">
            <v>0</v>
          </cell>
          <cell r="BF50">
            <v>0</v>
          </cell>
          <cell r="BH50">
            <v>0</v>
          </cell>
          <cell r="BJ50">
            <v>0</v>
          </cell>
          <cell r="BN50">
            <v>0</v>
          </cell>
          <cell r="BP50">
            <v>0</v>
          </cell>
          <cell r="BR50">
            <v>0</v>
          </cell>
          <cell r="BT50">
            <v>0</v>
          </cell>
          <cell r="BV50">
            <v>0</v>
          </cell>
          <cell r="BX50">
            <v>0</v>
          </cell>
          <cell r="CB50">
            <v>0</v>
          </cell>
          <cell r="CD50">
            <v>0</v>
          </cell>
          <cell r="CG50" t="str">
            <v>AMS</v>
          </cell>
          <cell r="CO50" t="str">
            <v>FSC</v>
          </cell>
          <cell r="CP50">
            <v>0</v>
          </cell>
          <cell r="CR50">
            <v>0</v>
          </cell>
          <cell r="CT50">
            <v>0</v>
          </cell>
          <cell r="CV50">
            <v>0</v>
          </cell>
          <cell r="DJ50">
            <v>0</v>
          </cell>
          <cell r="DL50">
            <v>0</v>
          </cell>
        </row>
        <row r="51">
          <cell r="B51" t="str">
            <v>SDS</v>
          </cell>
          <cell r="D51" t="str">
            <v>SAME DAY SURGERY</v>
          </cell>
          <cell r="F51" t="str">
            <v>D22</v>
          </cell>
          <cell r="H51">
            <v>1179842.8982121907</v>
          </cell>
          <cell r="J51">
            <v>971146.4227900788</v>
          </cell>
          <cell r="L51">
            <v>2150989.3210022696</v>
          </cell>
          <cell r="N51">
            <v>11.800157733703358</v>
          </cell>
          <cell r="O51" t="str">
            <v>SDS</v>
          </cell>
          <cell r="P51">
            <v>1179.8</v>
          </cell>
          <cell r="R51">
            <v>971.1</v>
          </cell>
          <cell r="T51">
            <v>2150.9</v>
          </cell>
          <cell r="AD51">
            <v>1179.8</v>
          </cell>
          <cell r="AF51">
            <v>971.1</v>
          </cell>
          <cell r="AH51">
            <v>2150.9</v>
          </cell>
          <cell r="AJ51">
            <v>11.800157733703358</v>
          </cell>
          <cell r="AL51">
            <v>0</v>
          </cell>
          <cell r="AN51">
            <v>0</v>
          </cell>
          <cell r="AP51">
            <v>0</v>
          </cell>
          <cell r="AR51">
            <v>0</v>
          </cell>
          <cell r="AT51">
            <v>6.856338910308029</v>
          </cell>
          <cell r="AV51">
            <v>125.20625428289658</v>
          </cell>
          <cell r="AX51">
            <v>132.06259319320461</v>
          </cell>
          <cell r="AZ51">
            <v>5.1656617144040226E-2</v>
          </cell>
          <cell r="BB51">
            <v>1186.656338910308</v>
          </cell>
          <cell r="BD51">
            <v>1096.3062542828966</v>
          </cell>
          <cell r="BF51">
            <v>2282.9625931932046</v>
          </cell>
          <cell r="BH51">
            <v>11.851814350847398</v>
          </cell>
          <cell r="BJ51">
            <v>0</v>
          </cell>
          <cell r="BN51">
            <v>0</v>
          </cell>
          <cell r="BP51">
            <v>0</v>
          </cell>
          <cell r="BR51">
            <v>1186.656338910308</v>
          </cell>
          <cell r="BT51">
            <v>1096.3062542828966</v>
          </cell>
          <cell r="BV51">
            <v>2282.9625931932046</v>
          </cell>
          <cell r="BX51">
            <v>11.851814350847398</v>
          </cell>
          <cell r="CB51">
            <v>12.735709999999999</v>
          </cell>
          <cell r="CD51">
            <v>12.735709999999999</v>
          </cell>
          <cell r="CG51" t="str">
            <v>SDS</v>
          </cell>
          <cell r="CO51" t="str">
            <v>SDS</v>
          </cell>
          <cell r="CP51">
            <v>1199.3920489103079</v>
          </cell>
          <cell r="CR51">
            <v>1096.3062542828966</v>
          </cell>
          <cell r="CT51">
            <v>2295.6983031932045</v>
          </cell>
          <cell r="CV51">
            <v>11.851814350847398</v>
          </cell>
          <cell r="DJ51">
            <v>1199.3920489103079</v>
          </cell>
          <cell r="DL51">
            <v>0</v>
          </cell>
        </row>
        <row r="52">
          <cell r="B52" t="str">
            <v>DEL</v>
          </cell>
          <cell r="D52" t="str">
            <v>LABOR &amp; DELIVERY</v>
          </cell>
          <cell r="F52" t="str">
            <v>D23</v>
          </cell>
          <cell r="H52">
            <v>3896951.8384159165</v>
          </cell>
          <cell r="J52">
            <v>163202.16096231854</v>
          </cell>
          <cell r="L52">
            <v>4060153.9993782351</v>
          </cell>
          <cell r="N52">
            <v>35.679111747108578</v>
          </cell>
          <cell r="O52" t="str">
            <v>DEL</v>
          </cell>
          <cell r="P52">
            <v>3897</v>
          </cell>
          <cell r="R52">
            <v>163.19999999999999</v>
          </cell>
          <cell r="T52">
            <v>4060.2</v>
          </cell>
          <cell r="AD52">
            <v>3897</v>
          </cell>
          <cell r="AF52">
            <v>163.19999999999999</v>
          </cell>
          <cell r="AH52">
            <v>4060.2</v>
          </cell>
          <cell r="AJ52">
            <v>35.679111747108578</v>
          </cell>
          <cell r="AL52">
            <v>0</v>
          </cell>
          <cell r="AN52">
            <v>0</v>
          </cell>
          <cell r="AP52">
            <v>0</v>
          </cell>
          <cell r="AR52">
            <v>0</v>
          </cell>
          <cell r="AT52">
            <v>20.730916287519385</v>
          </cell>
          <cell r="AV52">
            <v>378.57527321326398</v>
          </cell>
          <cell r="AX52">
            <v>399.30618950078338</v>
          </cell>
          <cell r="AZ52">
            <v>0.15618962535523581</v>
          </cell>
          <cell r="BB52">
            <v>3917.7309162875194</v>
          </cell>
          <cell r="BD52">
            <v>541.77527321326397</v>
          </cell>
          <cell r="BF52">
            <v>4459.5061895007839</v>
          </cell>
          <cell r="BH52">
            <v>35.835301372463817</v>
          </cell>
          <cell r="BJ52">
            <v>0</v>
          </cell>
          <cell r="BN52">
            <v>0</v>
          </cell>
          <cell r="BP52">
            <v>0</v>
          </cell>
          <cell r="BR52">
            <v>3917.7309162875194</v>
          </cell>
          <cell r="BT52">
            <v>541.77527321326397</v>
          </cell>
          <cell r="BV52">
            <v>4459.5061895007839</v>
          </cell>
          <cell r="BX52">
            <v>35.835301372463817</v>
          </cell>
          <cell r="CB52">
            <v>38.507849999999998</v>
          </cell>
          <cell r="CD52">
            <v>38.507849999999998</v>
          </cell>
          <cell r="CG52" t="str">
            <v>DEL</v>
          </cell>
          <cell r="CO52" t="str">
            <v>DEL</v>
          </cell>
          <cell r="CP52">
            <v>3956.2387662875194</v>
          </cell>
          <cell r="CR52">
            <v>541.77527321326397</v>
          </cell>
          <cell r="CT52">
            <v>4498.0140395007838</v>
          </cell>
          <cell r="CV52">
            <v>35.835301372463817</v>
          </cell>
          <cell r="DJ52">
            <v>3956.2387662875194</v>
          </cell>
          <cell r="DL52">
            <v>0</v>
          </cell>
        </row>
        <row r="53">
          <cell r="B53" t="str">
            <v>OR</v>
          </cell>
          <cell r="D53" t="str">
            <v>OPERATING ROOM</v>
          </cell>
          <cell r="F53" t="str">
            <v>D24</v>
          </cell>
          <cell r="H53">
            <v>12188690.118795445</v>
          </cell>
          <cell r="J53">
            <v>1084395.921549208</v>
          </cell>
          <cell r="L53">
            <v>13273086.040344654</v>
          </cell>
          <cell r="N53">
            <v>113.10909828406339</v>
          </cell>
          <cell r="O53" t="str">
            <v>OR</v>
          </cell>
          <cell r="P53">
            <v>12188.7</v>
          </cell>
          <cell r="R53">
            <v>1084.4000000000001</v>
          </cell>
          <cell r="T53">
            <v>13273.1</v>
          </cell>
          <cell r="AD53">
            <v>12188.7</v>
          </cell>
          <cell r="AF53">
            <v>1084.4000000000001</v>
          </cell>
          <cell r="AH53">
            <v>13273.1</v>
          </cell>
          <cell r="AJ53">
            <v>113.10909828406339</v>
          </cell>
          <cell r="AL53">
            <v>0</v>
          </cell>
          <cell r="AN53">
            <v>0</v>
          </cell>
          <cell r="AP53">
            <v>0</v>
          </cell>
          <cell r="AR53">
            <v>0</v>
          </cell>
          <cell r="AT53">
            <v>65.720673331329422</v>
          </cell>
          <cell r="AV53">
            <v>1200.1506116324595</v>
          </cell>
          <cell r="AX53">
            <v>1265.8712849637889</v>
          </cell>
          <cell r="AZ53">
            <v>0.49514875287465898</v>
          </cell>
          <cell r="BB53">
            <v>12254.420673331329</v>
          </cell>
          <cell r="BD53">
            <v>2284.5506116324595</v>
          </cell>
          <cell r="BF53">
            <v>14538.971284963789</v>
          </cell>
          <cell r="BH53">
            <v>113.60424703693805</v>
          </cell>
          <cell r="BJ53">
            <v>729.41424355090919</v>
          </cell>
          <cell r="BN53">
            <v>729.41424355090919</v>
          </cell>
          <cell r="BP53">
            <v>2.4486179836628605</v>
          </cell>
          <cell r="BR53">
            <v>12983.834916882239</v>
          </cell>
          <cell r="BT53">
            <v>2284.5506116324595</v>
          </cell>
          <cell r="BV53">
            <v>15268.385528514698</v>
          </cell>
          <cell r="BX53">
            <v>116.0528650206009</v>
          </cell>
          <cell r="CB53">
            <v>124.70793</v>
          </cell>
          <cell r="CD53">
            <v>124.70793</v>
          </cell>
          <cell r="CG53" t="str">
            <v>OR</v>
          </cell>
          <cell r="CO53" t="str">
            <v>OR</v>
          </cell>
          <cell r="CP53">
            <v>13108.542846882239</v>
          </cell>
          <cell r="CR53">
            <v>2284.5506116324595</v>
          </cell>
          <cell r="CT53">
            <v>15393.093458514699</v>
          </cell>
          <cell r="CV53">
            <v>116.0528650206009</v>
          </cell>
          <cell r="DJ53">
            <v>12376.497370745652</v>
          </cell>
          <cell r="DL53">
            <v>732.0454761365861</v>
          </cell>
        </row>
        <row r="54">
          <cell r="B54" t="str">
            <v>ORC</v>
          </cell>
          <cell r="D54" t="str">
            <v>OPERATING ROOM CLINIC</v>
          </cell>
          <cell r="F54" t="str">
            <v>D24a</v>
          </cell>
          <cell r="H54">
            <v>5628.1214925613449</v>
          </cell>
          <cell r="J54">
            <v>1166.121791641599</v>
          </cell>
          <cell r="L54">
            <v>6794.2432842029439</v>
          </cell>
          <cell r="N54">
            <v>5.8849474125397837E-2</v>
          </cell>
          <cell r="O54" t="str">
            <v>ORC</v>
          </cell>
          <cell r="P54">
            <v>5.6</v>
          </cell>
          <cell r="R54">
            <v>1.2</v>
          </cell>
          <cell r="T54">
            <v>6.8</v>
          </cell>
          <cell r="AD54">
            <v>5.6</v>
          </cell>
          <cell r="AF54">
            <v>1.2</v>
          </cell>
          <cell r="AH54">
            <v>6.8</v>
          </cell>
          <cell r="AJ54">
            <v>5.8849474125397837E-2</v>
          </cell>
          <cell r="AL54">
            <v>0</v>
          </cell>
          <cell r="AN54">
            <v>0</v>
          </cell>
          <cell r="AP54">
            <v>0</v>
          </cell>
          <cell r="AR54">
            <v>0</v>
          </cell>
          <cell r="AT54">
            <v>3.419377506664048E-2</v>
          </cell>
          <cell r="AV54">
            <v>0.6244257397266868</v>
          </cell>
          <cell r="AX54">
            <v>0.65861951479332725</v>
          </cell>
          <cell r="AZ54">
            <v>2.5762068801344029E-4</v>
          </cell>
          <cell r="BB54">
            <v>5.63419377506664</v>
          </cell>
          <cell r="BD54">
            <v>1.8244257397266868</v>
          </cell>
          <cell r="BF54">
            <v>7.4586195147933267</v>
          </cell>
          <cell r="BH54">
            <v>5.9107094813411275E-2</v>
          </cell>
          <cell r="BJ54">
            <v>0</v>
          </cell>
          <cell r="BN54">
            <v>0</v>
          </cell>
          <cell r="BP54">
            <v>0</v>
          </cell>
          <cell r="BR54">
            <v>5.63419377506664</v>
          </cell>
          <cell r="BT54">
            <v>1.8244257397266868</v>
          </cell>
          <cell r="BV54">
            <v>7.4586195147933267</v>
          </cell>
          <cell r="BX54">
            <v>5.9107094813411275E-2</v>
          </cell>
          <cell r="CB54">
            <v>6.3519999999999993E-2</v>
          </cell>
          <cell r="CD54">
            <v>6.3519999999999993E-2</v>
          </cell>
          <cell r="CG54" t="str">
            <v>ORC</v>
          </cell>
          <cell r="CO54" t="str">
            <v>OR</v>
          </cell>
          <cell r="CP54">
            <v>5.6977137750666396</v>
          </cell>
          <cell r="CR54">
            <v>1.8244257397266868</v>
          </cell>
          <cell r="CT54">
            <v>7.5221395147933263</v>
          </cell>
          <cell r="CV54">
            <v>5.9107094813411275E-2</v>
          </cell>
          <cell r="DJ54">
            <v>5.6977137750666396</v>
          </cell>
          <cell r="DL54">
            <v>0</v>
          </cell>
        </row>
        <row r="55">
          <cell r="B55" t="str">
            <v>ANS</v>
          </cell>
          <cell r="D55" t="str">
            <v>ANESTHESIOLOGY</v>
          </cell>
          <cell r="F55" t="str">
            <v>D25</v>
          </cell>
          <cell r="H55">
            <v>809958.36943964683</v>
          </cell>
          <cell r="J55">
            <v>321939.4740000001</v>
          </cell>
          <cell r="L55">
            <v>1131897.843439647</v>
          </cell>
          <cell r="N55">
            <v>11.131958403010033</v>
          </cell>
          <cell r="O55" t="str">
            <v>ANS</v>
          </cell>
          <cell r="P55">
            <v>810</v>
          </cell>
          <cell r="R55">
            <v>321.89999999999998</v>
          </cell>
          <cell r="T55">
            <v>1131.9000000000001</v>
          </cell>
          <cell r="AD55">
            <v>810</v>
          </cell>
          <cell r="AF55">
            <v>321.89999999999998</v>
          </cell>
          <cell r="AH55">
            <v>1131.9000000000001</v>
          </cell>
          <cell r="AJ55">
            <v>11.131958403010033</v>
          </cell>
          <cell r="AL55">
            <v>0</v>
          </cell>
          <cell r="AN55">
            <v>0</v>
          </cell>
          <cell r="AP55">
            <v>0</v>
          </cell>
          <cell r="AR55">
            <v>0</v>
          </cell>
          <cell r="AT55">
            <v>6.4680897720961621</v>
          </cell>
          <cell r="AV55">
            <v>118.11628674191245</v>
          </cell>
          <cell r="AX55">
            <v>124.58437651400861</v>
          </cell>
          <cell r="AZ55">
            <v>4.8731493787176741E-2</v>
          </cell>
          <cell r="BB55">
            <v>816.46808977209616</v>
          </cell>
          <cell r="BD55">
            <v>440.01628674191244</v>
          </cell>
          <cell r="BF55">
            <v>1256.4843765140085</v>
          </cell>
          <cell r="BH55">
            <v>11.18068989679721</v>
          </cell>
          <cell r="BJ55">
            <v>0</v>
          </cell>
          <cell r="BN55">
            <v>0</v>
          </cell>
          <cell r="BP55">
            <v>0</v>
          </cell>
          <cell r="BR55">
            <v>816.46808977209616</v>
          </cell>
          <cell r="BT55">
            <v>440.01628674191244</v>
          </cell>
          <cell r="BV55">
            <v>1256.4843765140085</v>
          </cell>
          <cell r="BX55">
            <v>11.18068989679721</v>
          </cell>
          <cell r="CB55">
            <v>12.014530000000001</v>
          </cell>
          <cell r="CD55">
            <v>12.014530000000001</v>
          </cell>
          <cell r="CG55" t="str">
            <v>ANS</v>
          </cell>
          <cell r="CO55" t="str">
            <v>ANS</v>
          </cell>
          <cell r="CP55">
            <v>828.4826197720962</v>
          </cell>
          <cell r="CR55">
            <v>440.01628674191244</v>
          </cell>
          <cell r="CT55">
            <v>1268.4989065140087</v>
          </cell>
          <cell r="CV55">
            <v>11.18068989679721</v>
          </cell>
          <cell r="DJ55">
            <v>828.4826197720962</v>
          </cell>
          <cell r="DL55">
            <v>0</v>
          </cell>
        </row>
        <row r="56">
          <cell r="B56" t="str">
            <v>MSS</v>
          </cell>
          <cell r="D56" t="str">
            <v>MEDICAL SUPPLIES SOLD</v>
          </cell>
          <cell r="F56" t="str">
            <v>D26</v>
          </cell>
          <cell r="H56">
            <v>0</v>
          </cell>
          <cell r="J56">
            <v>47322986.169999987</v>
          </cell>
          <cell r="L56">
            <v>47322986.169999987</v>
          </cell>
          <cell r="N56">
            <v>0</v>
          </cell>
          <cell r="O56" t="str">
            <v>MSS</v>
          </cell>
          <cell r="P56">
            <v>0</v>
          </cell>
          <cell r="R56">
            <v>47323</v>
          </cell>
          <cell r="T56">
            <v>47323</v>
          </cell>
          <cell r="AD56">
            <v>0</v>
          </cell>
          <cell r="AF56">
            <v>47323</v>
          </cell>
          <cell r="AH56">
            <v>47323</v>
          </cell>
          <cell r="AJ56">
            <v>0</v>
          </cell>
          <cell r="AL56">
            <v>0</v>
          </cell>
          <cell r="AN56">
            <v>0</v>
          </cell>
          <cell r="AP56">
            <v>0</v>
          </cell>
          <cell r="AR56">
            <v>0</v>
          </cell>
          <cell r="AT56">
            <v>0</v>
          </cell>
          <cell r="AV56">
            <v>0</v>
          </cell>
          <cell r="AX56">
            <v>0</v>
          </cell>
          <cell r="AZ56">
            <v>0</v>
          </cell>
          <cell r="BB56">
            <v>0</v>
          </cell>
          <cell r="BD56">
            <v>47323</v>
          </cell>
          <cell r="BF56">
            <v>47323</v>
          </cell>
          <cell r="BH56">
            <v>0</v>
          </cell>
          <cell r="BJ56">
            <v>0</v>
          </cell>
          <cell r="BN56">
            <v>0</v>
          </cell>
          <cell r="BR56">
            <v>0</v>
          </cell>
          <cell r="BT56">
            <v>47323</v>
          </cell>
          <cell r="BV56">
            <v>47323</v>
          </cell>
          <cell r="BX56">
            <v>0</v>
          </cell>
          <cell r="CD56">
            <v>0</v>
          </cell>
          <cell r="CG56" t="str">
            <v>MSS</v>
          </cell>
          <cell r="CO56" t="str">
            <v>MSS</v>
          </cell>
          <cell r="CP56">
            <v>0</v>
          </cell>
          <cell r="CR56">
            <v>47323</v>
          </cell>
          <cell r="CT56">
            <v>47323</v>
          </cell>
          <cell r="CV56">
            <v>0</v>
          </cell>
          <cell r="DJ56">
            <v>0</v>
          </cell>
          <cell r="DL56">
            <v>0</v>
          </cell>
        </row>
        <row r="57">
          <cell r="B57" t="str">
            <v>CDS</v>
          </cell>
          <cell r="D57" t="str">
            <v>DRUGS SOLD</v>
          </cell>
          <cell r="F57" t="str">
            <v>D27</v>
          </cell>
          <cell r="H57">
            <v>0</v>
          </cell>
          <cell r="J57">
            <v>22020247.089999996</v>
          </cell>
          <cell r="L57">
            <v>22020247.089999996</v>
          </cell>
          <cell r="N57">
            <v>0</v>
          </cell>
          <cell r="O57" t="str">
            <v>CDS</v>
          </cell>
          <cell r="P57">
            <v>0</v>
          </cell>
          <cell r="R57">
            <v>22020.2</v>
          </cell>
          <cell r="T57">
            <v>22020.2</v>
          </cell>
          <cell r="AD57">
            <v>0</v>
          </cell>
          <cell r="AF57">
            <v>22020.2</v>
          </cell>
          <cell r="AH57">
            <v>22020.2</v>
          </cell>
          <cell r="AJ57">
            <v>0</v>
          </cell>
          <cell r="AL57">
            <v>0</v>
          </cell>
          <cell r="AN57">
            <v>0</v>
          </cell>
          <cell r="AP57">
            <v>0</v>
          </cell>
          <cell r="AR57">
            <v>0</v>
          </cell>
          <cell r="AT57">
            <v>0</v>
          </cell>
          <cell r="AV57">
            <v>0</v>
          </cell>
          <cell r="AX57">
            <v>0</v>
          </cell>
          <cell r="AZ57">
            <v>0</v>
          </cell>
          <cell r="BB57">
            <v>0</v>
          </cell>
          <cell r="BD57">
            <v>22020.2</v>
          </cell>
          <cell r="BF57">
            <v>22020.2</v>
          </cell>
          <cell r="BH57">
            <v>0</v>
          </cell>
          <cell r="BJ57">
            <v>0</v>
          </cell>
          <cell r="BN57">
            <v>0</v>
          </cell>
          <cell r="BR57">
            <v>0</v>
          </cell>
          <cell r="BT57">
            <v>22020.2</v>
          </cell>
          <cell r="BV57">
            <v>22020.2</v>
          </cell>
          <cell r="BX57">
            <v>0</v>
          </cell>
          <cell r="CD57">
            <v>0</v>
          </cell>
          <cell r="CG57" t="str">
            <v>CDS</v>
          </cell>
          <cell r="CO57" t="str">
            <v>CDS</v>
          </cell>
          <cell r="CP57">
            <v>0</v>
          </cell>
          <cell r="CR57">
            <v>22020.2</v>
          </cell>
          <cell r="CT57">
            <v>22020.2</v>
          </cell>
          <cell r="CV57">
            <v>0</v>
          </cell>
          <cell r="DJ57">
            <v>0</v>
          </cell>
          <cell r="DL57">
            <v>0</v>
          </cell>
        </row>
        <row r="58">
          <cell r="B58" t="str">
            <v>LAB</v>
          </cell>
          <cell r="D58" t="str">
            <v>LABORATORY SERVICES</v>
          </cell>
          <cell r="F58" t="str">
            <v>D28</v>
          </cell>
          <cell r="H58">
            <v>4657537.300390657</v>
          </cell>
          <cell r="J58">
            <v>4626505.8683149256</v>
          </cell>
          <cell r="L58">
            <v>9284043.1687055826</v>
          </cell>
          <cell r="N58">
            <v>58.448611373904015</v>
          </cell>
          <cell r="O58" t="str">
            <v>LAB</v>
          </cell>
          <cell r="P58">
            <v>4657.5</v>
          </cell>
          <cell r="R58">
            <v>4626.5</v>
          </cell>
          <cell r="T58">
            <v>9284</v>
          </cell>
          <cell r="AD58">
            <v>4657.5</v>
          </cell>
          <cell r="AF58">
            <v>4626.5</v>
          </cell>
          <cell r="AH58">
            <v>9284</v>
          </cell>
          <cell r="AJ58">
            <v>58.448611373904015</v>
          </cell>
          <cell r="AL58">
            <v>0</v>
          </cell>
          <cell r="AN58">
            <v>0</v>
          </cell>
          <cell r="AP58">
            <v>0</v>
          </cell>
          <cell r="AR58">
            <v>0</v>
          </cell>
          <cell r="AT58">
            <v>33.960858613929837</v>
          </cell>
          <cell r="AV58">
            <v>620.17236237964312</v>
          </cell>
          <cell r="AX58">
            <v>654.13322099357299</v>
          </cell>
          <cell r="AZ58">
            <v>0.25586586285359691</v>
          </cell>
          <cell r="BB58">
            <v>4691.4608586139302</v>
          </cell>
          <cell r="BD58">
            <v>5246.6723623796433</v>
          </cell>
          <cell r="BF58">
            <v>9938.1332209935736</v>
          </cell>
          <cell r="BH58">
            <v>58.704477236757612</v>
          </cell>
          <cell r="BJ58">
            <v>4.5599999999999996</v>
          </cell>
          <cell r="BN58">
            <v>4.5599999999999996</v>
          </cell>
          <cell r="BP58">
            <v>2.7305389221556887E-2</v>
          </cell>
          <cell r="BR58">
            <v>4696.0208586139306</v>
          </cell>
          <cell r="BT58">
            <v>5246.6723623796433</v>
          </cell>
          <cell r="BV58">
            <v>9942.693220993573</v>
          </cell>
          <cell r="BX58">
            <v>58.731782625979172</v>
          </cell>
          <cell r="CB58">
            <v>63.111919999999998</v>
          </cell>
          <cell r="CD58">
            <v>63.111919999999998</v>
          </cell>
          <cell r="CG58" t="str">
            <v>LAB</v>
          </cell>
          <cell r="CO58" t="str">
            <v>LAB</v>
          </cell>
          <cell r="CP58">
            <v>4759.1327786139309</v>
          </cell>
          <cell r="CR58">
            <v>5246.6723623796433</v>
          </cell>
          <cell r="CT58">
            <v>10005.805140993574</v>
          </cell>
          <cell r="CV58">
            <v>58.731782625979172</v>
          </cell>
          <cell r="DJ58">
            <v>4754.5434368254973</v>
          </cell>
          <cell r="DL58">
            <v>4.589341788433261</v>
          </cell>
        </row>
        <row r="59">
          <cell r="H59" t="str">
            <v>XXXXXXXXX</v>
          </cell>
          <cell r="J59" t="str">
            <v>XXXXXXXXX</v>
          </cell>
          <cell r="L59">
            <v>0</v>
          </cell>
          <cell r="O59">
            <v>0</v>
          </cell>
          <cell r="P59">
            <v>0</v>
          </cell>
          <cell r="R59">
            <v>0</v>
          </cell>
          <cell r="T59">
            <v>0</v>
          </cell>
          <cell r="AD59">
            <v>0</v>
          </cell>
          <cell r="AF59">
            <v>0</v>
          </cell>
          <cell r="AH59">
            <v>0</v>
          </cell>
          <cell r="AJ59">
            <v>0</v>
          </cell>
          <cell r="AL59">
            <v>0</v>
          </cell>
          <cell r="AN59">
            <v>0</v>
          </cell>
          <cell r="AP59">
            <v>0</v>
          </cell>
          <cell r="AR59">
            <v>0</v>
          </cell>
          <cell r="AT59">
            <v>0</v>
          </cell>
          <cell r="AV59">
            <v>0</v>
          </cell>
          <cell r="AX59">
            <v>0</v>
          </cell>
          <cell r="AZ59">
            <v>0</v>
          </cell>
          <cell r="BB59">
            <v>0</v>
          </cell>
          <cell r="BD59">
            <v>0</v>
          </cell>
          <cell r="BF59">
            <v>0</v>
          </cell>
          <cell r="BH59">
            <v>0</v>
          </cell>
          <cell r="BJ59">
            <v>0</v>
          </cell>
          <cell r="BN59">
            <v>0</v>
          </cell>
          <cell r="BP59">
            <v>0</v>
          </cell>
          <cell r="BR59">
            <v>0</v>
          </cell>
          <cell r="BT59">
            <v>0</v>
          </cell>
          <cell r="BV59">
            <v>0</v>
          </cell>
          <cell r="BX59">
            <v>0</v>
          </cell>
          <cell r="CD59">
            <v>0</v>
          </cell>
          <cell r="CG59">
            <v>0</v>
          </cell>
          <cell r="CO59" t="str">
            <v>BB</v>
          </cell>
          <cell r="CP59">
            <v>0</v>
          </cell>
          <cell r="CR59">
            <v>0</v>
          </cell>
          <cell r="CT59">
            <v>0</v>
          </cell>
          <cell r="CV59">
            <v>0</v>
          </cell>
          <cell r="DJ59">
            <v>0</v>
          </cell>
          <cell r="DL59">
            <v>0</v>
          </cell>
        </row>
        <row r="60">
          <cell r="B60" t="str">
            <v>EKG</v>
          </cell>
          <cell r="D60" t="str">
            <v>ELECTROCARDIOLOGY</v>
          </cell>
          <cell r="F60" t="str">
            <v>D30</v>
          </cell>
          <cell r="H60">
            <v>716155.10063122213</v>
          </cell>
          <cell r="J60">
            <v>11352.883758226391</v>
          </cell>
          <cell r="L60">
            <v>727507.98438944854</v>
          </cell>
          <cell r="N60">
            <v>10.517716413012774</v>
          </cell>
          <cell r="O60" t="str">
            <v>EKG</v>
          </cell>
          <cell r="P60">
            <v>716.2</v>
          </cell>
          <cell r="R60">
            <v>11.4</v>
          </cell>
          <cell r="T60">
            <v>727.6</v>
          </cell>
          <cell r="AD60">
            <v>716.2</v>
          </cell>
          <cell r="AF60">
            <v>11.4</v>
          </cell>
          <cell r="AH60">
            <v>727.6</v>
          </cell>
          <cell r="AJ60">
            <v>10.517716413012774</v>
          </cell>
          <cell r="AL60">
            <v>0</v>
          </cell>
          <cell r="AN60">
            <v>0</v>
          </cell>
          <cell r="AP60">
            <v>0</v>
          </cell>
          <cell r="AR60">
            <v>0</v>
          </cell>
          <cell r="AT60">
            <v>6.1111918939996182</v>
          </cell>
          <cell r="AV60">
            <v>111.59883667671802</v>
          </cell>
          <cell r="AX60">
            <v>117.71002857071764</v>
          </cell>
          <cell r="AZ60">
            <v>4.6042575212770206E-2</v>
          </cell>
          <cell r="BB60">
            <v>722.31119189399965</v>
          </cell>
          <cell r="BD60">
            <v>122.99883667671803</v>
          </cell>
          <cell r="BF60">
            <v>845.31002857071769</v>
          </cell>
          <cell r="BH60">
            <v>10.563758988225544</v>
          </cell>
          <cell r="BJ60">
            <v>0</v>
          </cell>
          <cell r="BN60">
            <v>0</v>
          </cell>
          <cell r="BP60">
            <v>0</v>
          </cell>
          <cell r="BR60">
            <v>722.31119189399965</v>
          </cell>
          <cell r="BT60">
            <v>122.99883667671803</v>
          </cell>
          <cell r="BV60">
            <v>845.31002857071769</v>
          </cell>
          <cell r="BX60">
            <v>10.563758988225544</v>
          </cell>
          <cell r="CB60">
            <v>11.35159</v>
          </cell>
          <cell r="CD60">
            <v>11.35159</v>
          </cell>
          <cell r="CG60" t="str">
            <v>EKG</v>
          </cell>
          <cell r="CO60" t="str">
            <v>EKG</v>
          </cell>
          <cell r="CP60">
            <v>733.66278189399964</v>
          </cell>
          <cell r="CR60">
            <v>122.99883667671803</v>
          </cell>
          <cell r="CT60">
            <v>856.66161857071768</v>
          </cell>
          <cell r="CV60">
            <v>10.563758988225544</v>
          </cell>
          <cell r="DJ60">
            <v>733.66278189399964</v>
          </cell>
          <cell r="DL60">
            <v>0</v>
          </cell>
        </row>
        <row r="61">
          <cell r="B61" t="str">
            <v>IRC</v>
          </cell>
          <cell r="D61" t="str">
            <v>INVASIVE RADIOLOGY/CARDIOVASCULAR</v>
          </cell>
          <cell r="F61" t="str">
            <v>D31</v>
          </cell>
          <cell r="H61">
            <v>4953151.7226840975</v>
          </cell>
          <cell r="J61">
            <v>615914.75111824193</v>
          </cell>
          <cell r="L61">
            <v>5569066.4738023393</v>
          </cell>
          <cell r="N61">
            <v>40.55487400825006</v>
          </cell>
          <cell r="O61" t="str">
            <v>IRC</v>
          </cell>
          <cell r="P61">
            <v>4953.2</v>
          </cell>
          <cell r="R61">
            <v>615.9</v>
          </cell>
          <cell r="T61">
            <v>5569.0999999999995</v>
          </cell>
          <cell r="AD61">
            <v>4953.2</v>
          </cell>
          <cell r="AF61">
            <v>615.9</v>
          </cell>
          <cell r="AH61">
            <v>5569.0999999999995</v>
          </cell>
          <cell r="AJ61">
            <v>40.55487400825006</v>
          </cell>
          <cell r="AL61">
            <v>0</v>
          </cell>
          <cell r="AN61">
            <v>0</v>
          </cell>
          <cell r="AP61">
            <v>0</v>
          </cell>
          <cell r="AR61">
            <v>0</v>
          </cell>
          <cell r="AT61">
            <v>23.56391896959321</v>
          </cell>
          <cell r="AV61">
            <v>430.30982992582409</v>
          </cell>
          <cell r="AX61">
            <v>453.87374889541729</v>
          </cell>
          <cell r="AZ61">
            <v>0.17753386414365241</v>
          </cell>
          <cell r="BB61">
            <v>4976.7639189695929</v>
          </cell>
          <cell r="BD61">
            <v>1046.2098299258241</v>
          </cell>
          <cell r="BF61">
            <v>6022.973748895417</v>
          </cell>
          <cell r="BH61">
            <v>40.732407872393715</v>
          </cell>
          <cell r="BJ61">
            <v>0</v>
          </cell>
          <cell r="BN61">
            <v>0</v>
          </cell>
          <cell r="BP61">
            <v>0</v>
          </cell>
          <cell r="BR61">
            <v>4976.7639189695929</v>
          </cell>
          <cell r="BT61">
            <v>1046.2098299258241</v>
          </cell>
          <cell r="BV61">
            <v>6022.973748895417</v>
          </cell>
          <cell r="BX61">
            <v>40.732407872393715</v>
          </cell>
          <cell r="CB61">
            <v>43.77017</v>
          </cell>
          <cell r="CD61">
            <v>43.77017</v>
          </cell>
          <cell r="CG61" t="str">
            <v>IRC</v>
          </cell>
          <cell r="CO61" t="str">
            <v>IRC</v>
          </cell>
          <cell r="CP61">
            <v>5020.5340889695926</v>
          </cell>
          <cell r="CR61">
            <v>1046.2098299258241</v>
          </cell>
          <cell r="CT61">
            <v>6066.7439188954168</v>
          </cell>
          <cell r="CV61">
            <v>40.732407872393715</v>
          </cell>
          <cell r="DJ61">
            <v>5020.5340889695926</v>
          </cell>
          <cell r="DL61">
            <v>0</v>
          </cell>
        </row>
        <row r="62">
          <cell r="B62" t="str">
            <v>RAD</v>
          </cell>
          <cell r="D62" t="str">
            <v>RADIOLOGY DIAGNOSTIC</v>
          </cell>
          <cell r="F62" t="str">
            <v>D32</v>
          </cell>
          <cell r="H62">
            <v>3882803.6331418739</v>
          </cell>
          <cell r="J62">
            <v>351828.19049274933</v>
          </cell>
          <cell r="L62">
            <v>4234631.8236346235</v>
          </cell>
          <cell r="N62">
            <v>41.375440664238887</v>
          </cell>
          <cell r="O62" t="str">
            <v>RAD</v>
          </cell>
          <cell r="P62">
            <v>3882.8</v>
          </cell>
          <cell r="R62">
            <v>351.8</v>
          </cell>
          <cell r="T62">
            <v>4234.6000000000004</v>
          </cell>
          <cell r="AD62">
            <v>3882.8</v>
          </cell>
          <cell r="AF62">
            <v>351.8</v>
          </cell>
          <cell r="AH62">
            <v>4234.6000000000004</v>
          </cell>
          <cell r="AJ62">
            <v>41.375440664238887</v>
          </cell>
          <cell r="AL62">
            <v>0</v>
          </cell>
          <cell r="AN62">
            <v>0</v>
          </cell>
          <cell r="AP62">
            <v>0</v>
          </cell>
          <cell r="AR62">
            <v>0</v>
          </cell>
          <cell r="AT62">
            <v>24.040699299053419</v>
          </cell>
          <cell r="AV62">
            <v>439.01649976061447</v>
          </cell>
          <cell r="AX62">
            <v>463.05719905966788</v>
          </cell>
          <cell r="AZ62">
            <v>0.18112599388853823</v>
          </cell>
          <cell r="BB62">
            <v>3906.8406992990535</v>
          </cell>
          <cell r="BD62">
            <v>790.81649976061453</v>
          </cell>
          <cell r="BF62">
            <v>4697.6571990596676</v>
          </cell>
          <cell r="BH62">
            <v>41.556566658127423</v>
          </cell>
          <cell r="BJ62">
            <v>5.0039110754847789</v>
          </cell>
          <cell r="BN62">
            <v>5.0039110754847789</v>
          </cell>
          <cell r="BP62">
            <v>1.515877332773335E-2</v>
          </cell>
          <cell r="BR62">
            <v>3911.8446103745382</v>
          </cell>
          <cell r="BT62">
            <v>790.81649976061453</v>
          </cell>
          <cell r="BV62">
            <v>4702.6611101351527</v>
          </cell>
          <cell r="BX62">
            <v>41.571725431455157</v>
          </cell>
          <cell r="CB62">
            <v>44.672089999999997</v>
          </cell>
          <cell r="CD62">
            <v>44.672089999999997</v>
          </cell>
          <cell r="CG62" t="str">
            <v>RAD</v>
          </cell>
          <cell r="CO62" t="str">
            <v>RAD</v>
          </cell>
          <cell r="CP62">
            <v>3956.5167003745382</v>
          </cell>
          <cell r="CR62">
            <v>790.81649976061453</v>
          </cell>
          <cell r="CT62">
            <v>4747.3332001351528</v>
          </cell>
          <cell r="CV62">
            <v>41.571725431455157</v>
          </cell>
          <cell r="DJ62">
            <v>3951.4965000043621</v>
          </cell>
          <cell r="DL62">
            <v>5.020200370176255</v>
          </cell>
        </row>
        <row r="63">
          <cell r="B63" t="str">
            <v>CAT</v>
          </cell>
          <cell r="D63" t="str">
            <v>CT SCANNER</v>
          </cell>
          <cell r="F63" t="str">
            <v>D33</v>
          </cell>
          <cell r="H63">
            <v>857384.82322950312</v>
          </cell>
          <cell r="J63">
            <v>259702.59758257837</v>
          </cell>
          <cell r="L63">
            <v>1117087.4208120815</v>
          </cell>
          <cell r="N63">
            <v>8.7595071093120538</v>
          </cell>
          <cell r="O63" t="str">
            <v>CAT</v>
          </cell>
          <cell r="P63">
            <v>857.4</v>
          </cell>
          <cell r="R63">
            <v>259.7</v>
          </cell>
          <cell r="T63">
            <v>1117.0999999999999</v>
          </cell>
          <cell r="AD63">
            <v>857.4</v>
          </cell>
          <cell r="AF63">
            <v>259.7</v>
          </cell>
          <cell r="AH63">
            <v>1117.0999999999999</v>
          </cell>
          <cell r="AJ63">
            <v>8.7595071093120538</v>
          </cell>
          <cell r="AL63">
            <v>0</v>
          </cell>
          <cell r="AN63">
            <v>0</v>
          </cell>
          <cell r="AP63">
            <v>0</v>
          </cell>
          <cell r="AR63">
            <v>0</v>
          </cell>
          <cell r="AT63">
            <v>5.0896056463007469</v>
          </cell>
          <cell r="AV63">
            <v>92.943255443854412</v>
          </cell>
          <cell r="AX63">
            <v>98.032861090155166</v>
          </cell>
          <cell r="AZ63">
            <v>3.8345801414488637E-2</v>
          </cell>
          <cell r="BB63">
            <v>862.48960564630067</v>
          </cell>
          <cell r="BD63">
            <v>352.6432554438544</v>
          </cell>
          <cell r="BF63">
            <v>1215.1328610901551</v>
          </cell>
          <cell r="BH63">
            <v>8.797852910726542</v>
          </cell>
          <cell r="BJ63">
            <v>0</v>
          </cell>
          <cell r="BN63">
            <v>0</v>
          </cell>
          <cell r="BP63">
            <v>0</v>
          </cell>
          <cell r="BR63">
            <v>862.48960564630067</v>
          </cell>
          <cell r="BT63">
            <v>352.6432554438544</v>
          </cell>
          <cell r="BV63">
            <v>1215.1328610901551</v>
          </cell>
          <cell r="BX63">
            <v>8.797852910726542</v>
          </cell>
          <cell r="CB63">
            <v>9.4539799999999996</v>
          </cell>
          <cell r="CD63">
            <v>9.4539799999999996</v>
          </cell>
          <cell r="CG63" t="str">
            <v>CAT</v>
          </cell>
          <cell r="CO63" t="str">
            <v>CT</v>
          </cell>
          <cell r="CP63">
            <v>871.94358564630068</v>
          </cell>
          <cell r="CR63">
            <v>352.6432554438544</v>
          </cell>
          <cell r="CT63">
            <v>1224.5868410901551</v>
          </cell>
          <cell r="CV63">
            <v>8.797852910726542</v>
          </cell>
          <cell r="DJ63">
            <v>871.94358564630068</v>
          </cell>
          <cell r="DL63">
            <v>0</v>
          </cell>
        </row>
        <row r="64">
          <cell r="B64" t="str">
            <v>RAT</v>
          </cell>
          <cell r="D64" t="str">
            <v>RADIOLOGY THERAPEUTIC</v>
          </cell>
          <cell r="F64" t="str">
            <v>D34</v>
          </cell>
          <cell r="H64">
            <v>1380471.6973430191</v>
          </cell>
          <cell r="J64">
            <v>906812.43000000017</v>
          </cell>
          <cell r="L64">
            <v>2287284.1273430195</v>
          </cell>
          <cell r="N64">
            <v>5.5066105769230766</v>
          </cell>
          <cell r="O64" t="str">
            <v>RAT</v>
          </cell>
          <cell r="P64">
            <v>1380.5</v>
          </cell>
          <cell r="R64">
            <v>906.8</v>
          </cell>
          <cell r="T64">
            <v>2287.3000000000002</v>
          </cell>
          <cell r="AD64">
            <v>1380.5</v>
          </cell>
          <cell r="AF64">
            <v>906.8</v>
          </cell>
          <cell r="AH64">
            <v>2287.3000000000002</v>
          </cell>
          <cell r="AJ64">
            <v>5.5066105769230766</v>
          </cell>
          <cell r="AL64">
            <v>0</v>
          </cell>
          <cell r="AN64">
            <v>0</v>
          </cell>
          <cell r="AP64">
            <v>0</v>
          </cell>
          <cell r="AR64">
            <v>0</v>
          </cell>
          <cell r="AT64">
            <v>3.1995494648885812</v>
          </cell>
          <cell r="AV64">
            <v>58.428209155365074</v>
          </cell>
          <cell r="AX64">
            <v>61.627758620253658</v>
          </cell>
          <cell r="AZ64">
            <v>2.4105853561684997E-2</v>
          </cell>
          <cell r="BB64">
            <v>1383.6995494648886</v>
          </cell>
          <cell r="BD64">
            <v>965.22820915536499</v>
          </cell>
          <cell r="BF64">
            <v>2348.9277586202534</v>
          </cell>
          <cell r="BH64">
            <v>5.5307164304847616</v>
          </cell>
          <cell r="BJ64">
            <v>0</v>
          </cell>
          <cell r="BN64">
            <v>0</v>
          </cell>
          <cell r="BP64">
            <v>0</v>
          </cell>
          <cell r="BR64">
            <v>1383.6995494648886</v>
          </cell>
          <cell r="BT64">
            <v>965.22820915536499</v>
          </cell>
          <cell r="BV64">
            <v>2348.9277586202534</v>
          </cell>
          <cell r="BX64">
            <v>5.5307164304847616</v>
          </cell>
          <cell r="CB64">
            <v>5.9431900000000004</v>
          </cell>
          <cell r="CD64">
            <v>5.9431900000000004</v>
          </cell>
          <cell r="CG64" t="str">
            <v>RAT</v>
          </cell>
          <cell r="CO64" t="str">
            <v>RAT</v>
          </cell>
          <cell r="CP64">
            <v>1389.6427394648886</v>
          </cell>
          <cell r="CR64">
            <v>965.22820915536499</v>
          </cell>
          <cell r="CT64">
            <v>2354.8709486202533</v>
          </cell>
          <cell r="CV64">
            <v>5.5307164304847616</v>
          </cell>
          <cell r="DJ64">
            <v>1389.6427394648886</v>
          </cell>
          <cell r="DL64">
            <v>0</v>
          </cell>
        </row>
        <row r="65">
          <cell r="B65" t="str">
            <v>NUC</v>
          </cell>
          <cell r="D65" t="str">
            <v>NUCLEAR MEDICINE</v>
          </cell>
          <cell r="F65" t="str">
            <v>D35</v>
          </cell>
          <cell r="H65">
            <v>482740.75151204836</v>
          </cell>
          <cell r="J65">
            <v>2141852.3861803403</v>
          </cell>
          <cell r="L65">
            <v>2624593.1376923886</v>
          </cell>
          <cell r="N65">
            <v>5.9117765292077333</v>
          </cell>
          <cell r="O65" t="str">
            <v>NUC</v>
          </cell>
          <cell r="P65">
            <v>482.7</v>
          </cell>
          <cell r="R65">
            <v>2141.9</v>
          </cell>
          <cell r="T65">
            <v>2624.6</v>
          </cell>
          <cell r="AD65">
            <v>482.7</v>
          </cell>
          <cell r="AF65">
            <v>2141.9</v>
          </cell>
          <cell r="AH65">
            <v>2624.6</v>
          </cell>
          <cell r="AJ65">
            <v>5.9117765292077333</v>
          </cell>
          <cell r="AL65">
            <v>0</v>
          </cell>
          <cell r="AN65">
            <v>0</v>
          </cell>
          <cell r="AP65">
            <v>0</v>
          </cell>
          <cell r="AR65">
            <v>0</v>
          </cell>
          <cell r="AT65">
            <v>3.434966240364977</v>
          </cell>
          <cell r="AV65">
            <v>62.727245862614566</v>
          </cell>
          <cell r="AX65">
            <v>66.162212102979538</v>
          </cell>
          <cell r="AZ65">
            <v>2.587951650325658E-2</v>
          </cell>
          <cell r="BB65">
            <v>486.13496624036497</v>
          </cell>
          <cell r="BD65">
            <v>2204.6272458626145</v>
          </cell>
          <cell r="BF65">
            <v>2690.7622121029794</v>
          </cell>
          <cell r="BH65">
            <v>5.9376560457109901</v>
          </cell>
          <cell r="BJ65">
            <v>0</v>
          </cell>
          <cell r="BN65">
            <v>0</v>
          </cell>
          <cell r="BP65">
            <v>0</v>
          </cell>
          <cell r="BR65">
            <v>486.13496624036497</v>
          </cell>
          <cell r="BT65">
            <v>2204.6272458626145</v>
          </cell>
          <cell r="BV65">
            <v>2690.7622121029794</v>
          </cell>
          <cell r="BX65">
            <v>5.9376560457109901</v>
          </cell>
          <cell r="CB65">
            <v>6.3804800000000004</v>
          </cell>
          <cell r="CD65">
            <v>6.3804800000000004</v>
          </cell>
          <cell r="CG65" t="str">
            <v>NUC</v>
          </cell>
          <cell r="CO65" t="str">
            <v>NUC</v>
          </cell>
          <cell r="CP65">
            <v>492.51544624036495</v>
          </cell>
          <cell r="CR65">
            <v>2204.6272458626145</v>
          </cell>
          <cell r="CT65">
            <v>2697.1426921029793</v>
          </cell>
          <cell r="CV65">
            <v>5.9376560457109901</v>
          </cell>
          <cell r="DJ65">
            <v>492.51544624036495</v>
          </cell>
          <cell r="DL65">
            <v>0</v>
          </cell>
        </row>
        <row r="66">
          <cell r="B66" t="str">
            <v>RES</v>
          </cell>
          <cell r="D66" t="str">
            <v>RESPIRATORY THERAPY</v>
          </cell>
          <cell r="F66" t="str">
            <v>D36</v>
          </cell>
          <cell r="H66">
            <v>2365263.0104284957</v>
          </cell>
          <cell r="J66">
            <v>115744.93</v>
          </cell>
          <cell r="L66">
            <v>2481007.9404284959</v>
          </cell>
          <cell r="N66">
            <v>25.454692307692309</v>
          </cell>
          <cell r="O66" t="str">
            <v>RES</v>
          </cell>
          <cell r="P66">
            <v>2365.3000000000002</v>
          </cell>
          <cell r="R66">
            <v>115.7</v>
          </cell>
          <cell r="T66">
            <v>2481</v>
          </cell>
          <cell r="AD66">
            <v>2365.3000000000002</v>
          </cell>
          <cell r="AF66">
            <v>115.7</v>
          </cell>
          <cell r="AH66">
            <v>2481</v>
          </cell>
          <cell r="AJ66">
            <v>25.454692307692309</v>
          </cell>
          <cell r="AL66">
            <v>0</v>
          </cell>
          <cell r="AN66">
            <v>0</v>
          </cell>
          <cell r="AP66">
            <v>0</v>
          </cell>
          <cell r="AR66">
            <v>0</v>
          </cell>
          <cell r="AT66">
            <v>14.790141052154906</v>
          </cell>
          <cell r="AV66">
            <v>270.0884809926672</v>
          </cell>
          <cell r="AX66">
            <v>284.87862204482212</v>
          </cell>
          <cell r="AZ66">
            <v>0.11143099310462679</v>
          </cell>
          <cell r="BB66">
            <v>2380.0901410521551</v>
          </cell>
          <cell r="BD66">
            <v>385.78848099266719</v>
          </cell>
          <cell r="BF66">
            <v>2765.8786220448224</v>
          </cell>
          <cell r="BH66">
            <v>25.566123300796935</v>
          </cell>
          <cell r="BJ66">
            <v>0</v>
          </cell>
          <cell r="BN66">
            <v>0</v>
          </cell>
          <cell r="BP66">
            <v>0</v>
          </cell>
          <cell r="BR66">
            <v>2380.0901410521551</v>
          </cell>
          <cell r="BT66">
            <v>385.78848099266719</v>
          </cell>
          <cell r="BV66">
            <v>2765.8786220448224</v>
          </cell>
          <cell r="BX66">
            <v>25.566123300796935</v>
          </cell>
          <cell r="CB66">
            <v>27.472809999999999</v>
          </cell>
          <cell r="CD66">
            <v>27.472809999999999</v>
          </cell>
          <cell r="CG66" t="str">
            <v>RES</v>
          </cell>
          <cell r="CO66" t="str">
            <v>RES</v>
          </cell>
          <cell r="CP66">
            <v>2407.5629510521553</v>
          </cell>
          <cell r="CR66">
            <v>385.78848099266719</v>
          </cell>
          <cell r="CT66">
            <v>2793.3514320448226</v>
          </cell>
          <cell r="CV66">
            <v>25.566123300796935</v>
          </cell>
          <cell r="DJ66">
            <v>2407.5629510521553</v>
          </cell>
          <cell r="DL66">
            <v>0</v>
          </cell>
        </row>
        <row r="67">
          <cell r="B67" t="str">
            <v>PUL</v>
          </cell>
          <cell r="D67" t="str">
            <v>PULMONARY FUNCTION</v>
          </cell>
          <cell r="F67" t="str">
            <v>D37</v>
          </cell>
          <cell r="H67">
            <v>121368.30246640104</v>
          </cell>
          <cell r="J67">
            <v>6940.1097150610585</v>
          </cell>
          <cell r="L67">
            <v>128308.4121814621</v>
          </cell>
          <cell r="N67">
            <v>1.2094179618128336</v>
          </cell>
          <cell r="O67" t="str">
            <v>PUL</v>
          </cell>
          <cell r="P67">
            <v>121.4</v>
          </cell>
          <cell r="R67">
            <v>6.9</v>
          </cell>
          <cell r="T67">
            <v>128.30000000000001</v>
          </cell>
          <cell r="AD67">
            <v>121.4</v>
          </cell>
          <cell r="AF67">
            <v>6.9</v>
          </cell>
          <cell r="AH67">
            <v>128.30000000000001</v>
          </cell>
          <cell r="AJ67">
            <v>1.2094179618128336</v>
          </cell>
          <cell r="AL67">
            <v>0</v>
          </cell>
          <cell r="AN67">
            <v>0</v>
          </cell>
          <cell r="AP67">
            <v>0</v>
          </cell>
          <cell r="AR67">
            <v>0</v>
          </cell>
          <cell r="AT67">
            <v>0.70271767696111498</v>
          </cell>
          <cell r="AV67">
            <v>12.832599044717719</v>
          </cell>
          <cell r="AX67">
            <v>13.535316721678834</v>
          </cell>
          <cell r="AZ67">
            <v>5.2943733490996344E-3</v>
          </cell>
          <cell r="BB67">
            <v>122.10271767696112</v>
          </cell>
          <cell r="BD67">
            <v>19.73259904471772</v>
          </cell>
          <cell r="BF67">
            <v>141.83531672167885</v>
          </cell>
          <cell r="BH67">
            <v>1.2147123351619331</v>
          </cell>
          <cell r="BJ67">
            <v>0</v>
          </cell>
          <cell r="BN67">
            <v>0</v>
          </cell>
          <cell r="BP67">
            <v>0</v>
          </cell>
          <cell r="BR67">
            <v>122.10271767696112</v>
          </cell>
          <cell r="BT67">
            <v>19.73259904471772</v>
          </cell>
          <cell r="BV67">
            <v>141.83531672167885</v>
          </cell>
          <cell r="BX67">
            <v>1.2147123351619331</v>
          </cell>
          <cell r="CB67">
            <v>1.3052999999999999</v>
          </cell>
          <cell r="CD67">
            <v>1.3052999999999999</v>
          </cell>
          <cell r="CG67" t="str">
            <v>PUL</v>
          </cell>
          <cell r="CO67" t="str">
            <v>PUL</v>
          </cell>
          <cell r="CP67">
            <v>123.40801767696112</v>
          </cell>
          <cell r="CR67">
            <v>19.73259904471772</v>
          </cell>
          <cell r="CT67">
            <v>143.14061672167884</v>
          </cell>
          <cell r="CV67">
            <v>1.2147123351619331</v>
          </cell>
          <cell r="DJ67">
            <v>123.40801767696112</v>
          </cell>
          <cell r="DL67">
            <v>0</v>
          </cell>
        </row>
        <row r="68">
          <cell r="B68" t="str">
            <v>EEG</v>
          </cell>
          <cell r="D68" t="str">
            <v>ELECTROENCEPHALOGRAPHY</v>
          </cell>
          <cell r="F68" t="str">
            <v>D38</v>
          </cell>
          <cell r="H68">
            <v>331175.98710951238</v>
          </cell>
          <cell r="J68">
            <v>16024.740000000003</v>
          </cell>
          <cell r="L68">
            <v>347200.72710951237</v>
          </cell>
          <cell r="N68">
            <v>3.3504035087719295</v>
          </cell>
          <cell r="O68" t="str">
            <v>EEG</v>
          </cell>
          <cell r="P68">
            <v>331.2</v>
          </cell>
          <cell r="R68">
            <v>16</v>
          </cell>
          <cell r="T68">
            <v>347.2</v>
          </cell>
          <cell r="AD68">
            <v>331.2</v>
          </cell>
          <cell r="AF68">
            <v>16</v>
          </cell>
          <cell r="AH68">
            <v>347.2</v>
          </cell>
          <cell r="AJ68">
            <v>3.3504035087719295</v>
          </cell>
          <cell r="AL68">
            <v>0</v>
          </cell>
          <cell r="AN68">
            <v>0</v>
          </cell>
          <cell r="AP68">
            <v>0</v>
          </cell>
          <cell r="AR68">
            <v>0</v>
          </cell>
          <cell r="AT68">
            <v>1.9467114305442559</v>
          </cell>
          <cell r="AV68">
            <v>35.549649685738061</v>
          </cell>
          <cell r="AX68">
            <v>37.496361116282316</v>
          </cell>
          <cell r="AZ68">
            <v>1.4666796430725692E-2</v>
          </cell>
          <cell r="BB68">
            <v>333.14671143054426</v>
          </cell>
          <cell r="BD68">
            <v>51.549649685738061</v>
          </cell>
          <cell r="BF68">
            <v>384.69636111628233</v>
          </cell>
          <cell r="BH68">
            <v>3.3650703052026554</v>
          </cell>
          <cell r="BJ68">
            <v>0</v>
          </cell>
          <cell r="BN68">
            <v>0</v>
          </cell>
          <cell r="BP68">
            <v>0</v>
          </cell>
          <cell r="BR68">
            <v>333.14671143054426</v>
          </cell>
          <cell r="BT68">
            <v>51.549649685738061</v>
          </cell>
          <cell r="BV68">
            <v>384.69636111628233</v>
          </cell>
          <cell r="BX68">
            <v>3.3650703052026554</v>
          </cell>
          <cell r="CB68">
            <v>3.6160299999999999</v>
          </cell>
          <cell r="CD68">
            <v>3.6160299999999999</v>
          </cell>
          <cell r="CG68" t="str">
            <v>EEG</v>
          </cell>
          <cell r="CO68" t="str">
            <v>EEG</v>
          </cell>
          <cell r="CP68">
            <v>336.76274143054428</v>
          </cell>
          <cell r="CR68">
            <v>51.549649685738061</v>
          </cell>
          <cell r="CT68">
            <v>388.31239111628236</v>
          </cell>
          <cell r="CV68">
            <v>3.3650703052026554</v>
          </cell>
          <cell r="DJ68">
            <v>336.76274143054428</v>
          </cell>
          <cell r="DL68">
            <v>0</v>
          </cell>
        </row>
        <row r="69">
          <cell r="B69" t="str">
            <v>PTH</v>
          </cell>
          <cell r="D69" t="str">
            <v>PHYSICAL THERAPY</v>
          </cell>
          <cell r="F69" t="str">
            <v>D39</v>
          </cell>
          <cell r="H69">
            <v>1557235.7452897704</v>
          </cell>
          <cell r="J69">
            <v>76249.032891193056</v>
          </cell>
          <cell r="L69">
            <v>1633484.7781809634</v>
          </cell>
          <cell r="N69">
            <v>13.375576654680829</v>
          </cell>
          <cell r="O69" t="str">
            <v>PTH</v>
          </cell>
          <cell r="P69">
            <v>1557.2</v>
          </cell>
          <cell r="R69">
            <v>76.2</v>
          </cell>
          <cell r="T69">
            <v>1633.4</v>
          </cell>
          <cell r="AD69">
            <v>1557.2</v>
          </cell>
          <cell r="AF69">
            <v>76.2</v>
          </cell>
          <cell r="AH69">
            <v>1633.4</v>
          </cell>
          <cell r="AJ69">
            <v>13.375576654680829</v>
          </cell>
          <cell r="AL69">
            <v>0</v>
          </cell>
          <cell r="AN69">
            <v>0</v>
          </cell>
          <cell r="AP69">
            <v>0</v>
          </cell>
          <cell r="AR69">
            <v>0</v>
          </cell>
          <cell r="AT69">
            <v>7.7717170172533292</v>
          </cell>
          <cell r="AV69">
            <v>141.92232761627281</v>
          </cell>
          <cell r="AX69">
            <v>149.69404463352615</v>
          </cell>
          <cell r="AZ69">
            <v>5.8553203942195653E-2</v>
          </cell>
          <cell r="BB69">
            <v>1564.9717170172535</v>
          </cell>
          <cell r="BD69">
            <v>218.1223276162728</v>
          </cell>
          <cell r="BF69">
            <v>1783.0940446335262</v>
          </cell>
          <cell r="BH69">
            <v>13.434129858623026</v>
          </cell>
          <cell r="BJ69">
            <v>0</v>
          </cell>
          <cell r="BN69">
            <v>0</v>
          </cell>
          <cell r="BP69">
            <v>0</v>
          </cell>
          <cell r="BR69">
            <v>1564.9717170172535</v>
          </cell>
          <cell r="BT69">
            <v>218.1223276162728</v>
          </cell>
          <cell r="BV69">
            <v>1783.0940446335262</v>
          </cell>
          <cell r="BX69">
            <v>13.434129858623026</v>
          </cell>
          <cell r="CB69">
            <v>14.436030000000001</v>
          </cell>
          <cell r="CD69">
            <v>14.436030000000001</v>
          </cell>
          <cell r="CG69" t="str">
            <v>PTH</v>
          </cell>
          <cell r="CO69" t="str">
            <v>PTH</v>
          </cell>
          <cell r="CP69">
            <v>1579.4077470172535</v>
          </cell>
          <cell r="CR69">
            <v>218.1223276162728</v>
          </cell>
          <cell r="CT69">
            <v>1797.5300746335263</v>
          </cell>
          <cell r="CV69">
            <v>13.434129858623026</v>
          </cell>
          <cell r="DJ69">
            <v>1579.4077470172535</v>
          </cell>
          <cell r="DL69">
            <v>0</v>
          </cell>
        </row>
        <row r="70">
          <cell r="B70" t="str">
            <v>OTH</v>
          </cell>
          <cell r="D70" t="str">
            <v>OCCUPATIONAL THERAPY</v>
          </cell>
          <cell r="F70" t="str">
            <v>D40</v>
          </cell>
          <cell r="H70">
            <v>1398910.1875309795</v>
          </cell>
          <cell r="J70">
            <v>58523.497203321684</v>
          </cell>
          <cell r="L70">
            <v>1457433.6847343012</v>
          </cell>
          <cell r="N70">
            <v>13.911778846153846</v>
          </cell>
          <cell r="O70" t="str">
            <v>OTH</v>
          </cell>
          <cell r="P70">
            <v>1398.9</v>
          </cell>
          <cell r="R70">
            <v>58.5</v>
          </cell>
          <cell r="T70">
            <v>1457.4</v>
          </cell>
          <cell r="AD70">
            <v>1398.9</v>
          </cell>
          <cell r="AF70">
            <v>58.5</v>
          </cell>
          <cell r="AH70">
            <v>1457.4</v>
          </cell>
          <cell r="AJ70">
            <v>13.911778846153846</v>
          </cell>
          <cell r="AL70">
            <v>0</v>
          </cell>
          <cell r="AN70">
            <v>0</v>
          </cell>
          <cell r="AP70">
            <v>0</v>
          </cell>
          <cell r="AR70">
            <v>0</v>
          </cell>
          <cell r="AT70">
            <v>8.0832708144274523</v>
          </cell>
          <cell r="AV70">
            <v>147.61173189778208</v>
          </cell>
          <cell r="AX70">
            <v>155.69500271220954</v>
          </cell>
          <cell r="AZ70">
            <v>6.0900493863380804E-2</v>
          </cell>
          <cell r="BB70">
            <v>1406.9832708144274</v>
          </cell>
          <cell r="BD70">
            <v>206.11173189778208</v>
          </cell>
          <cell r="BF70">
            <v>1613.0950027122094</v>
          </cell>
          <cell r="BH70">
            <v>13.972679340017226</v>
          </cell>
          <cell r="BJ70">
            <v>0</v>
          </cell>
          <cell r="BN70">
            <v>0</v>
          </cell>
          <cell r="BP70">
            <v>0</v>
          </cell>
          <cell r="BR70">
            <v>1406.9832708144274</v>
          </cell>
          <cell r="BT70">
            <v>206.11173189778208</v>
          </cell>
          <cell r="BV70">
            <v>1613.0950027122094</v>
          </cell>
          <cell r="BX70">
            <v>13.972679340017226</v>
          </cell>
          <cell r="CB70">
            <v>15.01474</v>
          </cell>
          <cell r="CD70">
            <v>15.01474</v>
          </cell>
          <cell r="CG70" t="str">
            <v>OTH</v>
          </cell>
          <cell r="CO70" t="str">
            <v>OTH</v>
          </cell>
          <cell r="CP70">
            <v>1421.9980108144275</v>
          </cell>
          <cell r="CR70">
            <v>206.11173189778208</v>
          </cell>
          <cell r="CT70">
            <v>1628.1097427122095</v>
          </cell>
          <cell r="CV70">
            <v>13.972679340017226</v>
          </cell>
          <cell r="DJ70">
            <v>1421.9980108144275</v>
          </cell>
          <cell r="DL70">
            <v>0</v>
          </cell>
        </row>
        <row r="71">
          <cell r="B71" t="str">
            <v>STH</v>
          </cell>
          <cell r="D71" t="str">
            <v>SPEECH LANGUAGE PATHOLOGY</v>
          </cell>
          <cell r="F71" t="str">
            <v>D41</v>
          </cell>
          <cell r="H71">
            <v>213999.58535357102</v>
          </cell>
          <cell r="J71">
            <v>1664.1</v>
          </cell>
          <cell r="L71">
            <v>215663.68535357103</v>
          </cell>
          <cell r="N71">
            <v>1.4227163461538461</v>
          </cell>
          <cell r="O71" t="str">
            <v>STH</v>
          </cell>
          <cell r="P71">
            <v>214</v>
          </cell>
          <cell r="R71">
            <v>1.7</v>
          </cell>
          <cell r="T71">
            <v>215.7</v>
          </cell>
          <cell r="AD71">
            <v>214</v>
          </cell>
          <cell r="AF71">
            <v>1.7</v>
          </cell>
          <cell r="AH71">
            <v>215.7</v>
          </cell>
          <cell r="AJ71">
            <v>1.4227163461538461</v>
          </cell>
          <cell r="AL71">
            <v>0</v>
          </cell>
          <cell r="AN71">
            <v>0</v>
          </cell>
          <cell r="AP71">
            <v>0</v>
          </cell>
          <cell r="AR71">
            <v>0</v>
          </cell>
          <cell r="AT71">
            <v>0.82665212301399404</v>
          </cell>
          <cell r="AV71">
            <v>15.095813855114187</v>
          </cell>
          <cell r="AX71">
            <v>15.922465978128182</v>
          </cell>
          <cell r="AZ71">
            <v>6.2281128147913421E-3</v>
          </cell>
          <cell r="BB71">
            <v>214.82665212301399</v>
          </cell>
          <cell r="BD71">
            <v>16.795813855114186</v>
          </cell>
          <cell r="BF71">
            <v>231.62246597812816</v>
          </cell>
          <cell r="BH71">
            <v>1.4289444589686375</v>
          </cell>
          <cell r="BJ71">
            <v>0</v>
          </cell>
          <cell r="BN71">
            <v>0</v>
          </cell>
          <cell r="BP71">
            <v>0</v>
          </cell>
          <cell r="BR71">
            <v>214.82665212301399</v>
          </cell>
          <cell r="BT71">
            <v>16.795813855114186</v>
          </cell>
          <cell r="BV71">
            <v>231.62246597812816</v>
          </cell>
          <cell r="BX71">
            <v>1.4289444589686375</v>
          </cell>
          <cell r="CB71">
            <v>1.5355099999999999</v>
          </cell>
          <cell r="CD71">
            <v>1.5355099999999999</v>
          </cell>
          <cell r="CG71" t="str">
            <v>STH</v>
          </cell>
          <cell r="CO71" t="str">
            <v>STH</v>
          </cell>
          <cell r="CP71">
            <v>216.36216212301397</v>
          </cell>
          <cell r="CR71">
            <v>16.795813855114186</v>
          </cell>
          <cell r="CT71">
            <v>233.15797597812815</v>
          </cell>
          <cell r="CV71">
            <v>1.4289444589686375</v>
          </cell>
          <cell r="DJ71">
            <v>216.36216212301397</v>
          </cell>
          <cell r="DL71">
            <v>0</v>
          </cell>
        </row>
        <row r="72">
          <cell r="B72" t="str">
            <v>REC</v>
          </cell>
          <cell r="D72" t="str">
            <v>RECREATIONAL THERAPY</v>
          </cell>
          <cell r="F72" t="str">
            <v>D42</v>
          </cell>
          <cell r="H72">
            <v>0</v>
          </cell>
          <cell r="J72">
            <v>0</v>
          </cell>
          <cell r="L72">
            <v>0</v>
          </cell>
          <cell r="N72">
            <v>0</v>
          </cell>
          <cell r="O72" t="str">
            <v>REC</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REC</v>
          </cell>
          <cell r="CO72" t="str">
            <v>REC</v>
          </cell>
          <cell r="CP72">
            <v>0</v>
          </cell>
          <cell r="CR72">
            <v>0</v>
          </cell>
          <cell r="CT72">
            <v>0</v>
          </cell>
          <cell r="CV72">
            <v>0</v>
          </cell>
          <cell r="DJ72">
            <v>0</v>
          </cell>
          <cell r="DL72">
            <v>0</v>
          </cell>
        </row>
        <row r="73">
          <cell r="B73" t="str">
            <v>AUD</v>
          </cell>
          <cell r="D73" t="str">
            <v>AUDIOLOGY</v>
          </cell>
          <cell r="F73" t="str">
            <v>D43</v>
          </cell>
          <cell r="H73">
            <v>0</v>
          </cell>
          <cell r="J73">
            <v>91450</v>
          </cell>
          <cell r="L73">
            <v>91450</v>
          </cell>
          <cell r="N73">
            <v>0</v>
          </cell>
          <cell r="O73" t="str">
            <v>AUD</v>
          </cell>
          <cell r="P73">
            <v>0</v>
          </cell>
          <cell r="R73">
            <v>91.5</v>
          </cell>
          <cell r="T73">
            <v>91.5</v>
          </cell>
          <cell r="AD73">
            <v>0</v>
          </cell>
          <cell r="AF73">
            <v>91.5</v>
          </cell>
          <cell r="AH73">
            <v>91.5</v>
          </cell>
          <cell r="AJ73">
            <v>0</v>
          </cell>
          <cell r="AL73">
            <v>0</v>
          </cell>
          <cell r="AN73">
            <v>0</v>
          </cell>
          <cell r="AP73">
            <v>0</v>
          </cell>
          <cell r="AR73">
            <v>0</v>
          </cell>
          <cell r="AT73">
            <v>0</v>
          </cell>
          <cell r="AV73">
            <v>0</v>
          </cell>
          <cell r="AX73">
            <v>0</v>
          </cell>
          <cell r="AZ73">
            <v>0</v>
          </cell>
          <cell r="BB73">
            <v>0</v>
          </cell>
          <cell r="BD73">
            <v>91.5</v>
          </cell>
          <cell r="BF73">
            <v>91.5</v>
          </cell>
          <cell r="BH73">
            <v>0</v>
          </cell>
          <cell r="BJ73">
            <v>0</v>
          </cell>
          <cell r="BN73">
            <v>0</v>
          </cell>
          <cell r="BP73">
            <v>0</v>
          </cell>
          <cell r="BR73">
            <v>0</v>
          </cell>
          <cell r="BT73">
            <v>91.5</v>
          </cell>
          <cell r="BV73">
            <v>91.5</v>
          </cell>
          <cell r="BX73">
            <v>0</v>
          </cell>
          <cell r="CB73">
            <v>0</v>
          </cell>
          <cell r="CD73">
            <v>0</v>
          </cell>
          <cell r="CG73" t="str">
            <v>AUD</v>
          </cell>
          <cell r="CO73" t="str">
            <v>AUD</v>
          </cell>
          <cell r="CP73">
            <v>0</v>
          </cell>
          <cell r="CR73">
            <v>91.5</v>
          </cell>
          <cell r="CT73">
            <v>91.5</v>
          </cell>
          <cell r="CV73">
            <v>0</v>
          </cell>
          <cell r="DJ73">
            <v>0</v>
          </cell>
          <cell r="DL73">
            <v>0</v>
          </cell>
        </row>
        <row r="74">
          <cell r="B74" t="str">
            <v>OPM</v>
          </cell>
          <cell r="D74" t="str">
            <v>OTHER PHYSICAL MEDICINE</v>
          </cell>
          <cell r="F74" t="str">
            <v>D44</v>
          </cell>
          <cell r="H74">
            <v>0</v>
          </cell>
          <cell r="J74">
            <v>0</v>
          </cell>
          <cell r="L74">
            <v>0</v>
          </cell>
          <cell r="N74">
            <v>0</v>
          </cell>
          <cell r="O74" t="str">
            <v>OPM</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OPM</v>
          </cell>
          <cell r="CO74" t="str">
            <v>OPM</v>
          </cell>
          <cell r="CP74">
            <v>0</v>
          </cell>
          <cell r="CR74">
            <v>0</v>
          </cell>
          <cell r="CT74">
            <v>0</v>
          </cell>
          <cell r="CV74">
            <v>0</v>
          </cell>
          <cell r="DJ74">
            <v>0</v>
          </cell>
          <cell r="DL74">
            <v>0</v>
          </cell>
        </row>
        <row r="75">
          <cell r="B75" t="str">
            <v>RDL</v>
          </cell>
          <cell r="D75" t="str">
            <v>RENAL DIALYSIS</v>
          </cell>
          <cell r="F75" t="str">
            <v>D45</v>
          </cell>
          <cell r="H75">
            <v>0</v>
          </cell>
          <cell r="J75">
            <v>616572.1100000001</v>
          </cell>
          <cell r="L75">
            <v>616572.1100000001</v>
          </cell>
          <cell r="N75">
            <v>0</v>
          </cell>
          <cell r="O75" t="str">
            <v>RDL</v>
          </cell>
          <cell r="P75">
            <v>0</v>
          </cell>
          <cell r="R75">
            <v>616.6</v>
          </cell>
          <cell r="T75">
            <v>616.6</v>
          </cell>
          <cell r="AD75">
            <v>0</v>
          </cell>
          <cell r="AF75">
            <v>616.6</v>
          </cell>
          <cell r="AH75">
            <v>616.6</v>
          </cell>
          <cell r="AJ75">
            <v>0</v>
          </cell>
          <cell r="AL75">
            <v>0</v>
          </cell>
          <cell r="AN75">
            <v>0</v>
          </cell>
          <cell r="AP75">
            <v>0</v>
          </cell>
          <cell r="AR75">
            <v>0</v>
          </cell>
          <cell r="AT75">
            <v>0</v>
          </cell>
          <cell r="AV75">
            <v>0</v>
          </cell>
          <cell r="AX75">
            <v>0</v>
          </cell>
          <cell r="AZ75">
            <v>0</v>
          </cell>
          <cell r="BB75">
            <v>0</v>
          </cell>
          <cell r="BD75">
            <v>616.6</v>
          </cell>
          <cell r="BF75">
            <v>616.6</v>
          </cell>
          <cell r="BH75">
            <v>0</v>
          </cell>
          <cell r="BJ75">
            <v>0</v>
          </cell>
          <cell r="BN75">
            <v>0</v>
          </cell>
          <cell r="BP75">
            <v>0</v>
          </cell>
          <cell r="BR75">
            <v>0</v>
          </cell>
          <cell r="BT75">
            <v>616.6</v>
          </cell>
          <cell r="BV75">
            <v>616.6</v>
          </cell>
          <cell r="BX75">
            <v>0</v>
          </cell>
          <cell r="CB75">
            <v>0</v>
          </cell>
          <cell r="CD75">
            <v>0</v>
          </cell>
          <cell r="CG75" t="str">
            <v>RDL</v>
          </cell>
          <cell r="CO75" t="str">
            <v>RDL</v>
          </cell>
          <cell r="CP75">
            <v>0</v>
          </cell>
          <cell r="CR75">
            <v>616.6</v>
          </cell>
          <cell r="CT75">
            <v>616.6</v>
          </cell>
          <cell r="CV75">
            <v>0</v>
          </cell>
          <cell r="DJ75">
            <v>0</v>
          </cell>
          <cell r="DL75">
            <v>0</v>
          </cell>
        </row>
        <row r="76">
          <cell r="B76" t="str">
            <v>OA</v>
          </cell>
          <cell r="D76" t="str">
            <v>ORGAN ACQUISITION</v>
          </cell>
          <cell r="F76" t="str">
            <v>D46</v>
          </cell>
          <cell r="H76">
            <v>0</v>
          </cell>
          <cell r="J76">
            <v>0</v>
          </cell>
          <cell r="L76">
            <v>0</v>
          </cell>
          <cell r="N76">
            <v>0</v>
          </cell>
          <cell r="O76" t="str">
            <v>OA</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OA</v>
          </cell>
          <cell r="CO76" t="str">
            <v>OA</v>
          </cell>
          <cell r="CP76">
            <v>0</v>
          </cell>
          <cell r="CR76">
            <v>0</v>
          </cell>
          <cell r="CT76">
            <v>0</v>
          </cell>
          <cell r="CV76">
            <v>0</v>
          </cell>
          <cell r="DJ76">
            <v>0</v>
          </cell>
          <cell r="DL76">
            <v>0</v>
          </cell>
        </row>
        <row r="77">
          <cell r="B77" t="str">
            <v>AOR</v>
          </cell>
          <cell r="D77" t="str">
            <v>AMBULATORY SURGERY SVCS</v>
          </cell>
          <cell r="F77" t="str">
            <v>D47</v>
          </cell>
          <cell r="H77">
            <v>0</v>
          </cell>
          <cell r="J77">
            <v>0</v>
          </cell>
          <cell r="L77">
            <v>0</v>
          </cell>
          <cell r="N77">
            <v>0</v>
          </cell>
          <cell r="O77" t="str">
            <v>AOR</v>
          </cell>
          <cell r="P77">
            <v>0</v>
          </cell>
          <cell r="R77">
            <v>0</v>
          </cell>
          <cell r="T77">
            <v>0</v>
          </cell>
          <cell r="AD77">
            <v>0</v>
          </cell>
          <cell r="AF77">
            <v>0</v>
          </cell>
          <cell r="AH77">
            <v>0</v>
          </cell>
          <cell r="AJ77">
            <v>0</v>
          </cell>
          <cell r="AL77">
            <v>0</v>
          </cell>
          <cell r="AN77">
            <v>0</v>
          </cell>
          <cell r="AP77">
            <v>0</v>
          </cell>
          <cell r="AR77">
            <v>0</v>
          </cell>
          <cell r="AT77">
            <v>0</v>
          </cell>
          <cell r="AV77">
            <v>0</v>
          </cell>
          <cell r="AX77">
            <v>0</v>
          </cell>
          <cell r="AZ77">
            <v>0</v>
          </cell>
          <cell r="BB77">
            <v>0</v>
          </cell>
          <cell r="BD77">
            <v>0</v>
          </cell>
          <cell r="BF77">
            <v>0</v>
          </cell>
          <cell r="BH77">
            <v>0</v>
          </cell>
          <cell r="BJ77">
            <v>0</v>
          </cell>
          <cell r="BN77">
            <v>0</v>
          </cell>
          <cell r="BP77">
            <v>0</v>
          </cell>
          <cell r="BR77">
            <v>0</v>
          </cell>
          <cell r="BT77">
            <v>0</v>
          </cell>
          <cell r="BV77">
            <v>0</v>
          </cell>
          <cell r="BX77">
            <v>0</v>
          </cell>
          <cell r="CB77">
            <v>0</v>
          </cell>
          <cell r="CD77">
            <v>0</v>
          </cell>
          <cell r="CG77" t="str">
            <v>AOR</v>
          </cell>
          <cell r="CO77" t="str">
            <v>AOR</v>
          </cell>
          <cell r="CP77">
            <v>0</v>
          </cell>
          <cell r="CR77">
            <v>0</v>
          </cell>
          <cell r="CT77">
            <v>0</v>
          </cell>
          <cell r="CV77">
            <v>0</v>
          </cell>
          <cell r="DJ77">
            <v>0</v>
          </cell>
          <cell r="DL77">
            <v>0</v>
          </cell>
        </row>
        <row r="78">
          <cell r="B78" t="str">
            <v>LEU</v>
          </cell>
          <cell r="D78" t="str">
            <v>LEUKOPHERESIS</v>
          </cell>
          <cell r="F78" t="str">
            <v>D48</v>
          </cell>
          <cell r="H78">
            <v>0</v>
          </cell>
          <cell r="J78">
            <v>0</v>
          </cell>
          <cell r="L78">
            <v>0</v>
          </cell>
          <cell r="N78">
            <v>0</v>
          </cell>
          <cell r="O78" t="str">
            <v>LEU</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LEU</v>
          </cell>
          <cell r="CO78" t="str">
            <v>LEU</v>
          </cell>
          <cell r="CP78">
            <v>0</v>
          </cell>
          <cell r="CR78">
            <v>0</v>
          </cell>
          <cell r="CT78">
            <v>0</v>
          </cell>
          <cell r="CV78">
            <v>0</v>
          </cell>
          <cell r="DJ78">
            <v>0</v>
          </cell>
          <cell r="DL78">
            <v>0</v>
          </cell>
        </row>
        <row r="79">
          <cell r="B79" t="str">
            <v>HYP</v>
          </cell>
          <cell r="D79" t="str">
            <v>HYPERBARIC CHAMBER</v>
          </cell>
          <cell r="F79" t="str">
            <v>D49</v>
          </cell>
          <cell r="H79">
            <v>0</v>
          </cell>
          <cell r="J79">
            <v>0</v>
          </cell>
          <cell r="L79">
            <v>0</v>
          </cell>
          <cell r="N79">
            <v>0</v>
          </cell>
          <cell r="O79" t="str">
            <v>HYP</v>
          </cell>
          <cell r="P79">
            <v>0</v>
          </cell>
          <cell r="R79">
            <v>0</v>
          </cell>
          <cell r="T79">
            <v>0</v>
          </cell>
          <cell r="AD79">
            <v>0</v>
          </cell>
          <cell r="AF79">
            <v>0</v>
          </cell>
          <cell r="AH79">
            <v>0</v>
          </cell>
          <cell r="AJ79">
            <v>0</v>
          </cell>
          <cell r="AL79">
            <v>0</v>
          </cell>
          <cell r="AN79">
            <v>0</v>
          </cell>
          <cell r="AP79">
            <v>0</v>
          </cell>
          <cell r="AR79">
            <v>0</v>
          </cell>
          <cell r="AT79">
            <v>0</v>
          </cell>
          <cell r="AV79">
            <v>0</v>
          </cell>
          <cell r="AX79">
            <v>0</v>
          </cell>
          <cell r="AZ79">
            <v>0</v>
          </cell>
          <cell r="BB79">
            <v>0</v>
          </cell>
          <cell r="BD79">
            <v>0</v>
          </cell>
          <cell r="BF79">
            <v>0</v>
          </cell>
          <cell r="BH79">
            <v>0</v>
          </cell>
          <cell r="BJ79">
            <v>0</v>
          </cell>
          <cell r="BN79">
            <v>0</v>
          </cell>
          <cell r="BP79">
            <v>0</v>
          </cell>
          <cell r="BR79">
            <v>0</v>
          </cell>
          <cell r="BT79">
            <v>0</v>
          </cell>
          <cell r="BV79">
            <v>0</v>
          </cell>
          <cell r="BX79">
            <v>0</v>
          </cell>
          <cell r="CB79">
            <v>0</v>
          </cell>
          <cell r="CD79">
            <v>0</v>
          </cell>
          <cell r="CG79" t="str">
            <v>HYP</v>
          </cell>
          <cell r="CO79" t="str">
            <v>HYP</v>
          </cell>
          <cell r="CP79">
            <v>0</v>
          </cell>
          <cell r="CR79">
            <v>0</v>
          </cell>
          <cell r="CT79">
            <v>0</v>
          </cell>
          <cell r="CV79">
            <v>0</v>
          </cell>
          <cell r="DJ79">
            <v>0</v>
          </cell>
          <cell r="DL79">
            <v>0</v>
          </cell>
        </row>
        <row r="80">
          <cell r="B80" t="str">
            <v>FSE</v>
          </cell>
          <cell r="D80" t="str">
            <v>FREE STANDING EMERGENCY</v>
          </cell>
          <cell r="F80" t="str">
            <v>D50</v>
          </cell>
          <cell r="H80">
            <v>0</v>
          </cell>
          <cell r="J80">
            <v>0</v>
          </cell>
          <cell r="L80">
            <v>0</v>
          </cell>
          <cell r="N80">
            <v>0</v>
          </cell>
          <cell r="O80" t="str">
            <v>FSE</v>
          </cell>
          <cell r="P80">
            <v>0</v>
          </cell>
          <cell r="R80">
            <v>0</v>
          </cell>
          <cell r="T80">
            <v>0</v>
          </cell>
          <cell r="AD80">
            <v>0</v>
          </cell>
          <cell r="AF80">
            <v>0</v>
          </cell>
          <cell r="AH80">
            <v>0</v>
          </cell>
          <cell r="AJ80">
            <v>0</v>
          </cell>
          <cell r="AL80">
            <v>0</v>
          </cell>
          <cell r="AN80">
            <v>0</v>
          </cell>
          <cell r="AP80">
            <v>0</v>
          </cell>
          <cell r="AR80">
            <v>0</v>
          </cell>
          <cell r="AT80">
            <v>0</v>
          </cell>
          <cell r="AV80">
            <v>0</v>
          </cell>
          <cell r="AX80">
            <v>0</v>
          </cell>
          <cell r="AZ80">
            <v>0</v>
          </cell>
          <cell r="BB80">
            <v>0</v>
          </cell>
          <cell r="BD80">
            <v>0</v>
          </cell>
          <cell r="BF80">
            <v>0</v>
          </cell>
          <cell r="BH80">
            <v>0</v>
          </cell>
          <cell r="BJ80">
            <v>0</v>
          </cell>
          <cell r="BN80">
            <v>0</v>
          </cell>
          <cell r="BP80">
            <v>0</v>
          </cell>
          <cell r="BR80">
            <v>0</v>
          </cell>
          <cell r="BT80">
            <v>0</v>
          </cell>
          <cell r="BV80">
            <v>0</v>
          </cell>
          <cell r="BX80">
            <v>0</v>
          </cell>
          <cell r="CB80">
            <v>0</v>
          </cell>
          <cell r="CD80">
            <v>0</v>
          </cell>
          <cell r="CG80" t="str">
            <v>FSE</v>
          </cell>
          <cell r="CO80" t="str">
            <v>FSE</v>
          </cell>
          <cell r="CP80">
            <v>0</v>
          </cell>
          <cell r="CR80">
            <v>0</v>
          </cell>
          <cell r="CT80">
            <v>0</v>
          </cell>
          <cell r="CV80">
            <v>0</v>
          </cell>
          <cell r="DJ80">
            <v>0</v>
          </cell>
          <cell r="DL80">
            <v>0</v>
          </cell>
        </row>
        <row r="81">
          <cell r="B81" t="str">
            <v>MRI</v>
          </cell>
          <cell r="D81" t="str">
            <v>MAGNETIC RESONANCE IMAGING</v>
          </cell>
          <cell r="F81" t="str">
            <v>D51</v>
          </cell>
          <cell r="H81">
            <v>14561.57342486169</v>
          </cell>
          <cell r="J81">
            <v>1281756.9993351423</v>
          </cell>
          <cell r="L81">
            <v>1296318.5727600041</v>
          </cell>
          <cell r="N81">
            <v>0.3801421157356325</v>
          </cell>
          <cell r="O81" t="str">
            <v>MRI</v>
          </cell>
          <cell r="P81">
            <v>14.6</v>
          </cell>
          <cell r="R81">
            <v>1281.8</v>
          </cell>
          <cell r="T81">
            <v>1296.3999999999999</v>
          </cell>
          <cell r="AD81">
            <v>14.6</v>
          </cell>
          <cell r="AF81">
            <v>1281.8</v>
          </cell>
          <cell r="AH81">
            <v>1296.3999999999999</v>
          </cell>
          <cell r="AJ81">
            <v>0.3801421157356325</v>
          </cell>
          <cell r="AL81">
            <v>0</v>
          </cell>
          <cell r="AN81">
            <v>0</v>
          </cell>
          <cell r="AP81">
            <v>0</v>
          </cell>
          <cell r="AR81">
            <v>0</v>
          </cell>
          <cell r="AT81">
            <v>0.22087697795095901</v>
          </cell>
          <cell r="AV81">
            <v>4.0335198461365254</v>
          </cell>
          <cell r="AX81">
            <v>4.2543968240874843</v>
          </cell>
          <cell r="AZ81">
            <v>1.6641180716419266E-3</v>
          </cell>
          <cell r="BB81">
            <v>14.820876977950959</v>
          </cell>
          <cell r="BD81">
            <v>1285.8335198461364</v>
          </cell>
          <cell r="BF81">
            <v>1300.6543968240874</v>
          </cell>
          <cell r="BH81">
            <v>0.38180623380727441</v>
          </cell>
          <cell r="BJ81">
            <v>0</v>
          </cell>
          <cell r="BN81">
            <v>0</v>
          </cell>
          <cell r="BP81">
            <v>0</v>
          </cell>
          <cell r="BR81">
            <v>14.820876977950959</v>
          </cell>
          <cell r="BT81">
            <v>1285.8335198461364</v>
          </cell>
          <cell r="BV81">
            <v>1300.6543968240874</v>
          </cell>
          <cell r="BX81">
            <v>0.38180623380727441</v>
          </cell>
          <cell r="CB81">
            <v>0.41027999999999998</v>
          </cell>
          <cell r="CD81">
            <v>0.41027999999999998</v>
          </cell>
          <cell r="CG81" t="str">
            <v>MRI</v>
          </cell>
          <cell r="CO81" t="str">
            <v>MRI</v>
          </cell>
          <cell r="CP81">
            <v>15.23115697795096</v>
          </cell>
          <cell r="CR81">
            <v>1285.8335198461364</v>
          </cell>
          <cell r="CT81">
            <v>1301.0646768240874</v>
          </cell>
          <cell r="CV81">
            <v>0.38180623380727441</v>
          </cell>
          <cell r="DJ81">
            <v>15.23115697795096</v>
          </cell>
          <cell r="DL81">
            <v>0</v>
          </cell>
        </row>
        <row r="82">
          <cell r="B82" t="str">
            <v>ADD</v>
          </cell>
          <cell r="D82" t="str">
            <v>ADOLESCENT DUAL DIAGNOSED</v>
          </cell>
          <cell r="F82" t="str">
            <v>D52</v>
          </cell>
          <cell r="H82">
            <v>0</v>
          </cell>
          <cell r="J82">
            <v>0</v>
          </cell>
          <cell r="L82">
            <v>0</v>
          </cell>
          <cell r="N82">
            <v>0</v>
          </cell>
          <cell r="O82" t="str">
            <v>ADD</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P82">
            <v>0</v>
          </cell>
          <cell r="BR82">
            <v>0</v>
          </cell>
          <cell r="BT82">
            <v>0</v>
          </cell>
          <cell r="BV82">
            <v>0</v>
          </cell>
          <cell r="BX82">
            <v>0</v>
          </cell>
          <cell r="CB82">
            <v>0</v>
          </cell>
          <cell r="CD82">
            <v>0</v>
          </cell>
          <cell r="CG82" t="str">
            <v>ADD</v>
          </cell>
          <cell r="CO82" t="str">
            <v>CNA</v>
          </cell>
          <cell r="CP82">
            <v>0</v>
          </cell>
          <cell r="CR82">
            <v>0</v>
          </cell>
          <cell r="CT82">
            <v>0</v>
          </cell>
          <cell r="CV82">
            <v>0</v>
          </cell>
          <cell r="DJ82">
            <v>0</v>
          </cell>
          <cell r="DL82">
            <v>0</v>
          </cell>
        </row>
        <row r="83">
          <cell r="B83" t="str">
            <v>LIT</v>
          </cell>
          <cell r="D83" t="str">
            <v>LITHOTRIPSY</v>
          </cell>
          <cell r="F83" t="str">
            <v>D53</v>
          </cell>
          <cell r="H83">
            <v>0</v>
          </cell>
          <cell r="J83">
            <v>34290</v>
          </cell>
          <cell r="L83">
            <v>34290</v>
          </cell>
          <cell r="N83">
            <v>0</v>
          </cell>
          <cell r="O83" t="str">
            <v>LIT</v>
          </cell>
          <cell r="P83">
            <v>0</v>
          </cell>
          <cell r="R83">
            <v>34.299999999999997</v>
          </cell>
          <cell r="T83">
            <v>34.299999999999997</v>
          </cell>
          <cell r="AD83">
            <v>0</v>
          </cell>
          <cell r="AF83">
            <v>34.299999999999997</v>
          </cell>
          <cell r="AH83">
            <v>34.299999999999997</v>
          </cell>
          <cell r="AJ83">
            <v>0</v>
          </cell>
          <cell r="AL83">
            <v>0</v>
          </cell>
          <cell r="AN83">
            <v>0</v>
          </cell>
          <cell r="AP83">
            <v>0</v>
          </cell>
          <cell r="AR83">
            <v>0</v>
          </cell>
          <cell r="AT83">
            <v>0</v>
          </cell>
          <cell r="AV83">
            <v>0</v>
          </cell>
          <cell r="AX83">
            <v>0</v>
          </cell>
          <cell r="AZ83">
            <v>0</v>
          </cell>
          <cell r="BB83">
            <v>0</v>
          </cell>
          <cell r="BD83">
            <v>34.299999999999997</v>
          </cell>
          <cell r="BF83">
            <v>34.299999999999997</v>
          </cell>
          <cell r="BH83">
            <v>0</v>
          </cell>
          <cell r="BJ83">
            <v>0</v>
          </cell>
          <cell r="BN83">
            <v>0</v>
          </cell>
          <cell r="BP83">
            <v>0</v>
          </cell>
          <cell r="BR83">
            <v>0</v>
          </cell>
          <cell r="BT83">
            <v>34.299999999999997</v>
          </cell>
          <cell r="BV83">
            <v>34.299999999999997</v>
          </cell>
          <cell r="BX83">
            <v>0</v>
          </cell>
          <cell r="CB83">
            <v>0</v>
          </cell>
          <cell r="CD83">
            <v>0</v>
          </cell>
          <cell r="CG83" t="str">
            <v>LIT</v>
          </cell>
          <cell r="CO83" t="str">
            <v>LIT</v>
          </cell>
          <cell r="CP83">
            <v>0</v>
          </cell>
          <cell r="CR83">
            <v>34.299999999999997</v>
          </cell>
          <cell r="CT83">
            <v>34.299999999999997</v>
          </cell>
          <cell r="CV83">
            <v>0</v>
          </cell>
          <cell r="DJ83">
            <v>0</v>
          </cell>
          <cell r="DL83">
            <v>0</v>
          </cell>
        </row>
        <row r="84">
          <cell r="B84" t="str">
            <v>RHB</v>
          </cell>
          <cell r="D84" t="str">
            <v>REHABILITATION</v>
          </cell>
          <cell r="F84" t="str">
            <v>D54</v>
          </cell>
          <cell r="H84">
            <v>0</v>
          </cell>
          <cell r="J84">
            <v>0</v>
          </cell>
          <cell r="L84">
            <v>0</v>
          </cell>
          <cell r="N84">
            <v>0</v>
          </cell>
          <cell r="O84" t="str">
            <v>RHB</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RHB</v>
          </cell>
          <cell r="CO84" t="str">
            <v>RHB</v>
          </cell>
          <cell r="CP84">
            <v>0</v>
          </cell>
          <cell r="CR84">
            <v>0</v>
          </cell>
          <cell r="CT84">
            <v>0</v>
          </cell>
          <cell r="CV84">
            <v>0</v>
          </cell>
          <cell r="DJ84">
            <v>0</v>
          </cell>
          <cell r="DL84">
            <v>0</v>
          </cell>
        </row>
        <row r="85">
          <cell r="B85" t="str">
            <v>OBV</v>
          </cell>
          <cell r="D85" t="str">
            <v>OBSERVATION</v>
          </cell>
          <cell r="F85" t="str">
            <v>D55</v>
          </cell>
          <cell r="H85">
            <v>1217904.5933518717</v>
          </cell>
          <cell r="J85">
            <v>239800.22724056267</v>
          </cell>
          <cell r="L85">
            <v>1457704.8205924344</v>
          </cell>
          <cell r="N85">
            <v>14.611376337452585</v>
          </cell>
          <cell r="O85" t="str">
            <v>OBV</v>
          </cell>
          <cell r="P85">
            <v>1217.9000000000001</v>
          </cell>
          <cell r="R85">
            <v>239.8</v>
          </cell>
          <cell r="T85">
            <v>1457.7</v>
          </cell>
          <cell r="AD85">
            <v>1217.9000000000001</v>
          </cell>
          <cell r="AF85">
            <v>239.8</v>
          </cell>
          <cell r="AH85">
            <v>1457.7</v>
          </cell>
          <cell r="AJ85">
            <v>14.611376337452585</v>
          </cell>
          <cell r="AL85">
            <v>0</v>
          </cell>
          <cell r="AN85">
            <v>0</v>
          </cell>
          <cell r="AP85">
            <v>0</v>
          </cell>
          <cell r="AR85">
            <v>0</v>
          </cell>
          <cell r="AT85">
            <v>8.489763474050573</v>
          </cell>
          <cell r="AV85">
            <v>155.03485143295933</v>
          </cell>
          <cell r="AX85">
            <v>163.52461490700989</v>
          </cell>
          <cell r="AZ85">
            <v>6.3963066464400448E-2</v>
          </cell>
          <cell r="BB85">
            <v>1226.3897634740506</v>
          </cell>
          <cell r="BD85">
            <v>394.83485143295934</v>
          </cell>
          <cell r="BF85">
            <v>1621.2246149070099</v>
          </cell>
          <cell r="BH85">
            <v>14.675339403916986</v>
          </cell>
          <cell r="BJ85">
            <v>0</v>
          </cell>
          <cell r="BN85">
            <v>0</v>
          </cell>
          <cell r="BR85">
            <v>1226.3897634740506</v>
          </cell>
          <cell r="BT85">
            <v>394.83485143295934</v>
          </cell>
          <cell r="BV85">
            <v>1621.2246149070099</v>
          </cell>
          <cell r="BX85">
            <v>14.675339403916986</v>
          </cell>
          <cell r="CB85">
            <v>15.76981</v>
          </cell>
          <cell r="CD85">
            <v>15.76981</v>
          </cell>
          <cell r="CG85" t="str">
            <v>OBV</v>
          </cell>
          <cell r="CO85" t="str">
            <v>OBV</v>
          </cell>
          <cell r="CP85">
            <v>1242.1595734740506</v>
          </cell>
          <cell r="CR85">
            <v>394.83485143295934</v>
          </cell>
          <cell r="CT85">
            <v>1636.9944249070099</v>
          </cell>
          <cell r="CV85">
            <v>14.675339403916986</v>
          </cell>
          <cell r="DJ85">
            <v>1242.1595734740506</v>
          </cell>
          <cell r="DL85">
            <v>0</v>
          </cell>
        </row>
        <row r="86">
          <cell r="B86" t="str">
            <v>AMR</v>
          </cell>
          <cell r="D86" t="str">
            <v>AMBULANCE REBUNDLED SVCS</v>
          </cell>
          <cell r="F86" t="str">
            <v>D56</v>
          </cell>
          <cell r="H86">
            <v>0</v>
          </cell>
          <cell r="J86">
            <v>154917.03</v>
          </cell>
          <cell r="L86">
            <v>154917.03</v>
          </cell>
          <cell r="N86">
            <v>0</v>
          </cell>
          <cell r="O86" t="str">
            <v>AMR</v>
          </cell>
          <cell r="P86">
            <v>0</v>
          </cell>
          <cell r="R86">
            <v>154.9</v>
          </cell>
          <cell r="T86">
            <v>154.9</v>
          </cell>
          <cell r="AD86">
            <v>0</v>
          </cell>
          <cell r="AF86">
            <v>154.9</v>
          </cell>
          <cell r="AH86">
            <v>154.9</v>
          </cell>
          <cell r="AJ86">
            <v>0</v>
          </cell>
          <cell r="AL86">
            <v>0</v>
          </cell>
          <cell r="AN86">
            <v>0</v>
          </cell>
          <cell r="AP86">
            <v>0</v>
          </cell>
          <cell r="AR86">
            <v>0</v>
          </cell>
          <cell r="AT86">
            <v>0</v>
          </cell>
          <cell r="AV86">
            <v>0</v>
          </cell>
          <cell r="AX86">
            <v>0</v>
          </cell>
          <cell r="AZ86">
            <v>0</v>
          </cell>
          <cell r="BB86">
            <v>0</v>
          </cell>
          <cell r="BD86">
            <v>154.9</v>
          </cell>
          <cell r="BF86">
            <v>154.9</v>
          </cell>
          <cell r="BH86">
            <v>0</v>
          </cell>
          <cell r="BJ86">
            <v>0</v>
          </cell>
          <cell r="BN86">
            <v>0</v>
          </cell>
          <cell r="BR86">
            <v>0</v>
          </cell>
          <cell r="BT86">
            <v>154.9</v>
          </cell>
          <cell r="BV86">
            <v>154.9</v>
          </cell>
          <cell r="BX86">
            <v>0</v>
          </cell>
          <cell r="CB86">
            <v>0</v>
          </cell>
          <cell r="CD86">
            <v>0</v>
          </cell>
          <cell r="CG86" t="str">
            <v>AMR</v>
          </cell>
          <cell r="CO86" t="str">
            <v>AMR</v>
          </cell>
          <cell r="CP86">
            <v>0</v>
          </cell>
          <cell r="CR86">
            <v>154.9</v>
          </cell>
          <cell r="CT86">
            <v>154.9</v>
          </cell>
          <cell r="CV86">
            <v>0</v>
          </cell>
          <cell r="DJ86">
            <v>0</v>
          </cell>
          <cell r="DL86">
            <v>0</v>
          </cell>
        </row>
        <row r="87">
          <cell r="B87" t="str">
            <v>TMT</v>
          </cell>
          <cell r="D87" t="str">
            <v>TRANSURETHAL MICROWAVE THERMOTHERAPY</v>
          </cell>
          <cell r="F87" t="str">
            <v>D57</v>
          </cell>
          <cell r="H87">
            <v>0</v>
          </cell>
          <cell r="J87">
            <v>0</v>
          </cell>
          <cell r="L87">
            <v>0</v>
          </cell>
          <cell r="N87">
            <v>0</v>
          </cell>
          <cell r="O87" t="str">
            <v>TMT</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R87">
            <v>0</v>
          </cell>
          <cell r="BT87">
            <v>0</v>
          </cell>
          <cell r="BV87">
            <v>0</v>
          </cell>
          <cell r="BX87">
            <v>0</v>
          </cell>
          <cell r="CB87">
            <v>0</v>
          </cell>
          <cell r="CD87">
            <v>0</v>
          </cell>
          <cell r="CG87" t="str">
            <v>TMT</v>
          </cell>
          <cell r="CO87" t="str">
            <v>AMR</v>
          </cell>
          <cell r="CP87">
            <v>0</v>
          </cell>
          <cell r="CR87">
            <v>0</v>
          </cell>
          <cell r="CT87">
            <v>0</v>
          </cell>
          <cell r="CV87">
            <v>0</v>
          </cell>
          <cell r="DJ87">
            <v>0</v>
          </cell>
          <cell r="DL87">
            <v>0</v>
          </cell>
        </row>
        <row r="88">
          <cell r="B88" t="str">
            <v>OCL</v>
          </cell>
          <cell r="D88" t="str">
            <v>ONCOLOGY O/P CLINIC</v>
          </cell>
          <cell r="F88" t="str">
            <v>D58</v>
          </cell>
          <cell r="H88">
            <v>0</v>
          </cell>
          <cell r="J88">
            <v>0</v>
          </cell>
          <cell r="L88">
            <v>0</v>
          </cell>
          <cell r="N88">
            <v>0</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R88">
            <v>0</v>
          </cell>
          <cell r="BT88">
            <v>0</v>
          </cell>
          <cell r="BV88">
            <v>0</v>
          </cell>
          <cell r="BX88">
            <v>0</v>
          </cell>
          <cell r="CB88">
            <v>0</v>
          </cell>
          <cell r="CD88">
            <v>0</v>
          </cell>
          <cell r="CP88">
            <v>0</v>
          </cell>
          <cell r="CR88">
            <v>0</v>
          </cell>
          <cell r="CT88">
            <v>0</v>
          </cell>
          <cell r="CV88">
            <v>0</v>
          </cell>
          <cell r="DJ88">
            <v>0</v>
          </cell>
          <cell r="DL88">
            <v>0</v>
          </cell>
        </row>
        <row r="89">
          <cell r="B89" t="str">
            <v>TNA</v>
          </cell>
          <cell r="D89" t="str">
            <v>TRANSURETHAL NEEDLE ABLATION</v>
          </cell>
          <cell r="F89" t="str">
            <v>D59</v>
          </cell>
          <cell r="H89">
            <v>0</v>
          </cell>
          <cell r="J89">
            <v>0</v>
          </cell>
          <cell r="L89">
            <v>0</v>
          </cell>
          <cell r="N89">
            <v>0</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R89">
            <v>0</v>
          </cell>
          <cell r="BT89">
            <v>0</v>
          </cell>
          <cell r="BV89">
            <v>0</v>
          </cell>
          <cell r="BX89">
            <v>0</v>
          </cell>
          <cell r="CB89">
            <v>0</v>
          </cell>
          <cell r="CD89">
            <v>0</v>
          </cell>
          <cell r="CP89">
            <v>0</v>
          </cell>
          <cell r="CR89">
            <v>0</v>
          </cell>
          <cell r="CT89">
            <v>0</v>
          </cell>
          <cell r="CV89">
            <v>0</v>
          </cell>
          <cell r="DJ89">
            <v>0</v>
          </cell>
          <cell r="DL89">
            <v>0</v>
          </cell>
        </row>
        <row r="90">
          <cell r="B90" t="str">
            <v>PAD</v>
          </cell>
          <cell r="D90" t="str">
            <v>PSYCH ADULT</v>
          </cell>
          <cell r="F90" t="str">
            <v>D70</v>
          </cell>
          <cell r="H90">
            <v>0</v>
          </cell>
          <cell r="J90">
            <v>0</v>
          </cell>
          <cell r="L90">
            <v>0</v>
          </cell>
          <cell r="N90">
            <v>0</v>
          </cell>
          <cell r="O90" t="str">
            <v>PAD</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PAD</v>
          </cell>
          <cell r="CO90" t="str">
            <v>PAD</v>
          </cell>
          <cell r="CP90">
            <v>0</v>
          </cell>
          <cell r="CR90">
            <v>0</v>
          </cell>
          <cell r="CT90">
            <v>0</v>
          </cell>
          <cell r="CV90">
            <v>0</v>
          </cell>
          <cell r="DJ90">
            <v>0</v>
          </cell>
          <cell r="DL90">
            <v>0</v>
          </cell>
        </row>
        <row r="91">
          <cell r="B91" t="str">
            <v>PCD</v>
          </cell>
          <cell r="D91" t="str">
            <v>PSYCH CHILD/ADOLESCENT</v>
          </cell>
          <cell r="F91" t="str">
            <v>D71</v>
          </cell>
          <cell r="H91">
            <v>0</v>
          </cell>
          <cell r="J91">
            <v>0</v>
          </cell>
          <cell r="L91">
            <v>0</v>
          </cell>
          <cell r="N91">
            <v>0</v>
          </cell>
          <cell r="O91" t="str">
            <v>PCD</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PCD</v>
          </cell>
          <cell r="CO91" t="str">
            <v>PCD</v>
          </cell>
          <cell r="CP91">
            <v>0</v>
          </cell>
          <cell r="CR91">
            <v>0</v>
          </cell>
          <cell r="CT91">
            <v>0</v>
          </cell>
          <cell r="CV91">
            <v>0</v>
          </cell>
          <cell r="DJ91">
            <v>0</v>
          </cell>
          <cell r="DL91">
            <v>0</v>
          </cell>
        </row>
        <row r="92">
          <cell r="B92" t="str">
            <v>PSG</v>
          </cell>
          <cell r="D92" t="str">
            <v>PSYCH GERIATRIC</v>
          </cell>
          <cell r="F92" t="str">
            <v>D73</v>
          </cell>
          <cell r="H92">
            <v>0</v>
          </cell>
          <cell r="J92">
            <v>0</v>
          </cell>
          <cell r="L92">
            <v>0</v>
          </cell>
          <cell r="N92">
            <v>0</v>
          </cell>
          <cell r="O92" t="str">
            <v>PSG</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PSG</v>
          </cell>
          <cell r="CO92" t="str">
            <v>PSG</v>
          </cell>
          <cell r="CP92">
            <v>0</v>
          </cell>
          <cell r="CR92">
            <v>0</v>
          </cell>
          <cell r="CT92">
            <v>0</v>
          </cell>
          <cell r="CV92">
            <v>0</v>
          </cell>
          <cell r="DJ92">
            <v>0</v>
          </cell>
          <cell r="DL92">
            <v>0</v>
          </cell>
        </row>
        <row r="93">
          <cell r="B93" t="str">
            <v>ITH</v>
          </cell>
          <cell r="D93" t="str">
            <v>INDIVIDUAL THERAPIES</v>
          </cell>
          <cell r="F93" t="str">
            <v>D74</v>
          </cell>
          <cell r="H93">
            <v>0</v>
          </cell>
          <cell r="J93">
            <v>0</v>
          </cell>
          <cell r="L93">
            <v>0</v>
          </cell>
          <cell r="N93">
            <v>0</v>
          </cell>
          <cell r="O93" t="str">
            <v>ITH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ITH</v>
          </cell>
          <cell r="CO93" t="str">
            <v>ITH</v>
          </cell>
          <cell r="CP93">
            <v>0</v>
          </cell>
          <cell r="CR93">
            <v>0</v>
          </cell>
          <cell r="CT93">
            <v>0</v>
          </cell>
          <cell r="CV93">
            <v>0</v>
          </cell>
          <cell r="DJ93">
            <v>0</v>
          </cell>
          <cell r="DL93">
            <v>0</v>
          </cell>
        </row>
        <row r="94">
          <cell r="B94" t="str">
            <v>GTH</v>
          </cell>
          <cell r="D94" t="str">
            <v>GROUP THERAPIES</v>
          </cell>
          <cell r="F94" t="str">
            <v>D75</v>
          </cell>
          <cell r="H94">
            <v>0</v>
          </cell>
          <cell r="J94">
            <v>0</v>
          </cell>
          <cell r="L94">
            <v>0</v>
          </cell>
          <cell r="N94">
            <v>0</v>
          </cell>
          <cell r="O94" t="str">
            <v>GTH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GTH</v>
          </cell>
          <cell r="CO94" t="str">
            <v>GTH</v>
          </cell>
          <cell r="CP94">
            <v>0</v>
          </cell>
          <cell r="CR94">
            <v>0</v>
          </cell>
          <cell r="CT94">
            <v>0</v>
          </cell>
          <cell r="CV94">
            <v>0</v>
          </cell>
          <cell r="DJ94">
            <v>0</v>
          </cell>
          <cell r="DL94">
            <v>0</v>
          </cell>
        </row>
        <row r="95">
          <cell r="B95" t="str">
            <v>FTH</v>
          </cell>
          <cell r="D95" t="str">
            <v>FAMILY THERAPIES</v>
          </cell>
          <cell r="F95" t="str">
            <v>D76</v>
          </cell>
          <cell r="H95">
            <v>0</v>
          </cell>
          <cell r="J95">
            <v>0</v>
          </cell>
          <cell r="L95">
            <v>0</v>
          </cell>
          <cell r="N95">
            <v>0</v>
          </cell>
          <cell r="O95" t="str">
            <v>FTH</v>
          </cell>
          <cell r="P95">
            <v>0</v>
          </cell>
          <cell r="R95">
            <v>0</v>
          </cell>
          <cell r="T95">
            <v>0</v>
          </cell>
          <cell r="AD95">
            <v>0</v>
          </cell>
          <cell r="AF95">
            <v>0</v>
          </cell>
          <cell r="AH95">
            <v>0</v>
          </cell>
          <cell r="AJ95">
            <v>0</v>
          </cell>
          <cell r="AL95">
            <v>0</v>
          </cell>
          <cell r="AN95">
            <v>0</v>
          </cell>
          <cell r="AP95">
            <v>0</v>
          </cell>
          <cell r="AR95">
            <v>0</v>
          </cell>
          <cell r="AT95">
            <v>0</v>
          </cell>
          <cell r="AV95">
            <v>0</v>
          </cell>
          <cell r="AX95">
            <v>0</v>
          </cell>
          <cell r="AZ95">
            <v>0</v>
          </cell>
          <cell r="BB95">
            <v>0</v>
          </cell>
          <cell r="BD95">
            <v>0</v>
          </cell>
          <cell r="BF95">
            <v>0</v>
          </cell>
          <cell r="BH95">
            <v>0</v>
          </cell>
          <cell r="BJ95">
            <v>0</v>
          </cell>
          <cell r="BN95">
            <v>0</v>
          </cell>
          <cell r="BP95">
            <v>0</v>
          </cell>
          <cell r="BR95">
            <v>0</v>
          </cell>
          <cell r="BT95">
            <v>0</v>
          </cell>
          <cell r="BV95">
            <v>0</v>
          </cell>
          <cell r="BX95">
            <v>0</v>
          </cell>
          <cell r="CB95">
            <v>0</v>
          </cell>
          <cell r="CD95">
            <v>0</v>
          </cell>
          <cell r="CG95" t="str">
            <v>FTH</v>
          </cell>
          <cell r="CO95" t="str">
            <v>FTH</v>
          </cell>
          <cell r="CP95">
            <v>0</v>
          </cell>
          <cell r="CR95">
            <v>0</v>
          </cell>
          <cell r="CT95">
            <v>0</v>
          </cell>
          <cell r="CV95">
            <v>0</v>
          </cell>
          <cell r="DJ95">
            <v>0</v>
          </cell>
          <cell r="DL95">
            <v>0</v>
          </cell>
        </row>
        <row r="96">
          <cell r="B96" t="str">
            <v>PST</v>
          </cell>
          <cell r="D96" t="str">
            <v>PSYCHOLOGICAL TESTING</v>
          </cell>
          <cell r="F96" t="str">
            <v>D77</v>
          </cell>
          <cell r="H96">
            <v>0</v>
          </cell>
          <cell r="J96">
            <v>0</v>
          </cell>
          <cell r="L96">
            <v>0</v>
          </cell>
          <cell r="N96">
            <v>0</v>
          </cell>
          <cell r="O96" t="str">
            <v>PST</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J96">
            <v>0</v>
          </cell>
          <cell r="BN96">
            <v>0</v>
          </cell>
          <cell r="BP96">
            <v>0</v>
          </cell>
          <cell r="BR96">
            <v>0</v>
          </cell>
          <cell r="BT96">
            <v>0</v>
          </cell>
          <cell r="BV96">
            <v>0</v>
          </cell>
          <cell r="BX96">
            <v>0</v>
          </cell>
          <cell r="CB96">
            <v>0</v>
          </cell>
          <cell r="CD96">
            <v>0</v>
          </cell>
          <cell r="CG96" t="str">
            <v>PST</v>
          </cell>
          <cell r="CO96" t="str">
            <v>PST</v>
          </cell>
          <cell r="CP96">
            <v>0</v>
          </cell>
          <cell r="CR96">
            <v>0</v>
          </cell>
          <cell r="CT96">
            <v>0</v>
          </cell>
          <cell r="CV96">
            <v>0</v>
          </cell>
          <cell r="DJ96">
            <v>0</v>
          </cell>
          <cell r="DL96">
            <v>0</v>
          </cell>
        </row>
        <row r="97">
          <cell r="B97" t="str">
            <v>PSE</v>
          </cell>
          <cell r="D97" t="str">
            <v>EDUCATION</v>
          </cell>
          <cell r="F97" t="str">
            <v>D78</v>
          </cell>
          <cell r="H97">
            <v>0</v>
          </cell>
          <cell r="J97">
            <v>0</v>
          </cell>
          <cell r="L97">
            <v>0</v>
          </cell>
          <cell r="N97">
            <v>0</v>
          </cell>
          <cell r="O97" t="str">
            <v>PSE</v>
          </cell>
          <cell r="P97">
            <v>0</v>
          </cell>
          <cell r="R97">
            <v>0</v>
          </cell>
          <cell r="T97">
            <v>0</v>
          </cell>
          <cell r="AD97">
            <v>0</v>
          </cell>
          <cell r="AF97">
            <v>0</v>
          </cell>
          <cell r="AH97">
            <v>0</v>
          </cell>
          <cell r="AJ97">
            <v>0</v>
          </cell>
          <cell r="AL97">
            <v>0</v>
          </cell>
          <cell r="AN97">
            <v>0</v>
          </cell>
          <cell r="AP97">
            <v>0</v>
          </cell>
          <cell r="AR97">
            <v>0</v>
          </cell>
          <cell r="AT97">
            <v>0</v>
          </cell>
          <cell r="AV97">
            <v>0</v>
          </cell>
          <cell r="AX97">
            <v>0</v>
          </cell>
          <cell r="AZ97">
            <v>0</v>
          </cell>
          <cell r="BB97">
            <v>0</v>
          </cell>
          <cell r="BD97">
            <v>0</v>
          </cell>
          <cell r="BF97">
            <v>0</v>
          </cell>
          <cell r="BH97">
            <v>0</v>
          </cell>
          <cell r="BJ97">
            <v>0</v>
          </cell>
          <cell r="BN97">
            <v>0</v>
          </cell>
          <cell r="BP97">
            <v>0</v>
          </cell>
          <cell r="BR97">
            <v>0</v>
          </cell>
          <cell r="BT97">
            <v>0</v>
          </cell>
          <cell r="BV97">
            <v>0</v>
          </cell>
          <cell r="BX97">
            <v>0</v>
          </cell>
          <cell r="CB97">
            <v>0</v>
          </cell>
          <cell r="CD97">
            <v>0</v>
          </cell>
          <cell r="CG97" t="str">
            <v>PSE</v>
          </cell>
          <cell r="CO97" t="str">
            <v>PSE</v>
          </cell>
          <cell r="CP97">
            <v>0</v>
          </cell>
          <cell r="CR97">
            <v>0</v>
          </cell>
          <cell r="CT97">
            <v>0</v>
          </cell>
          <cell r="CV97">
            <v>0</v>
          </cell>
          <cell r="DJ97">
            <v>0</v>
          </cell>
          <cell r="DL97">
            <v>0</v>
          </cell>
        </row>
        <row r="98">
          <cell r="B98" t="str">
            <v>OPT</v>
          </cell>
          <cell r="D98" t="str">
            <v>OTHER THERAPIES</v>
          </cell>
          <cell r="F98" t="str">
            <v>D79</v>
          </cell>
          <cell r="H98">
            <v>0</v>
          </cell>
          <cell r="J98">
            <v>0</v>
          </cell>
          <cell r="L98">
            <v>0</v>
          </cell>
          <cell r="N98">
            <v>0</v>
          </cell>
          <cell r="O98" t="str">
            <v>OPT</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J98">
            <v>0</v>
          </cell>
          <cell r="BN98">
            <v>0</v>
          </cell>
          <cell r="BP98">
            <v>0</v>
          </cell>
          <cell r="BR98">
            <v>0</v>
          </cell>
          <cell r="BT98">
            <v>0</v>
          </cell>
          <cell r="BV98">
            <v>0</v>
          </cell>
          <cell r="BX98">
            <v>0</v>
          </cell>
          <cell r="CB98">
            <v>0</v>
          </cell>
          <cell r="CD98">
            <v>0</v>
          </cell>
          <cell r="CG98" t="str">
            <v>OPT</v>
          </cell>
          <cell r="CO98" t="str">
            <v>OPT</v>
          </cell>
          <cell r="CP98">
            <v>0</v>
          </cell>
          <cell r="CR98">
            <v>0</v>
          </cell>
          <cell r="CT98">
            <v>0</v>
          </cell>
          <cell r="CV98">
            <v>0</v>
          </cell>
          <cell r="DJ98">
            <v>0</v>
          </cell>
          <cell r="DL98">
            <v>0</v>
          </cell>
        </row>
        <row r="99">
          <cell r="B99" t="str">
            <v>ETH</v>
          </cell>
          <cell r="D99" t="str">
            <v>ELECTROCONVULSIVE THERAPY</v>
          </cell>
          <cell r="F99" t="str">
            <v>D80</v>
          </cell>
          <cell r="H99">
            <v>0</v>
          </cell>
          <cell r="J99">
            <v>0</v>
          </cell>
          <cell r="L99">
            <v>0</v>
          </cell>
          <cell r="N99">
            <v>0</v>
          </cell>
          <cell r="O99" t="str">
            <v>ETH</v>
          </cell>
          <cell r="P99">
            <v>0</v>
          </cell>
          <cell r="R99">
            <v>0</v>
          </cell>
          <cell r="T99">
            <v>0</v>
          </cell>
          <cell r="AD99">
            <v>0</v>
          </cell>
          <cell r="AF99">
            <v>0</v>
          </cell>
          <cell r="AH99">
            <v>0</v>
          </cell>
          <cell r="AJ99">
            <v>0</v>
          </cell>
          <cell r="AL99">
            <v>0</v>
          </cell>
          <cell r="AN99">
            <v>0</v>
          </cell>
          <cell r="AP99">
            <v>0</v>
          </cell>
          <cell r="AR99">
            <v>0</v>
          </cell>
          <cell r="AT99">
            <v>0</v>
          </cell>
          <cell r="AV99">
            <v>0</v>
          </cell>
          <cell r="AX99">
            <v>0</v>
          </cell>
          <cell r="AZ99">
            <v>0</v>
          </cell>
          <cell r="BB99">
            <v>0</v>
          </cell>
          <cell r="BD99">
            <v>0</v>
          </cell>
          <cell r="BF99">
            <v>0</v>
          </cell>
          <cell r="BH99">
            <v>0</v>
          </cell>
          <cell r="BJ99">
            <v>0</v>
          </cell>
          <cell r="BN99">
            <v>0</v>
          </cell>
          <cell r="BP99">
            <v>0</v>
          </cell>
          <cell r="BR99">
            <v>0</v>
          </cell>
          <cell r="BT99">
            <v>0</v>
          </cell>
          <cell r="BV99">
            <v>0</v>
          </cell>
          <cell r="BX99">
            <v>0</v>
          </cell>
          <cell r="CB99">
            <v>0</v>
          </cell>
          <cell r="CD99">
            <v>0</v>
          </cell>
          <cell r="CG99" t="str">
            <v>ETH</v>
          </cell>
          <cell r="CO99" t="str">
            <v>ETH</v>
          </cell>
          <cell r="CP99">
            <v>0</v>
          </cell>
          <cell r="CR99">
            <v>0</v>
          </cell>
          <cell r="CT99">
            <v>0</v>
          </cell>
          <cell r="CV99">
            <v>0</v>
          </cell>
          <cell r="DJ99">
            <v>0</v>
          </cell>
          <cell r="DL99">
            <v>0</v>
          </cell>
        </row>
        <row r="100">
          <cell r="B100" t="str">
            <v>ATH</v>
          </cell>
          <cell r="D100" t="str">
            <v>ACTIVITY THERAPIES</v>
          </cell>
          <cell r="F100" t="str">
            <v>D81</v>
          </cell>
          <cell r="H100">
            <v>0</v>
          </cell>
          <cell r="J100">
            <v>0</v>
          </cell>
          <cell r="L100">
            <v>0</v>
          </cell>
          <cell r="N100">
            <v>0</v>
          </cell>
          <cell r="O100" t="str">
            <v>ATH</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J100">
            <v>0</v>
          </cell>
          <cell r="BN100">
            <v>0</v>
          </cell>
          <cell r="BP100">
            <v>0</v>
          </cell>
          <cell r="BR100">
            <v>0</v>
          </cell>
          <cell r="BT100">
            <v>0</v>
          </cell>
          <cell r="BV100">
            <v>0</v>
          </cell>
          <cell r="BX100">
            <v>0</v>
          </cell>
          <cell r="CB100">
            <v>0</v>
          </cell>
          <cell r="CD100">
            <v>0</v>
          </cell>
          <cell r="CG100" t="str">
            <v>ATH</v>
          </cell>
          <cell r="CO100" t="str">
            <v>ATH</v>
          </cell>
          <cell r="CP100">
            <v>0</v>
          </cell>
          <cell r="CR100">
            <v>0</v>
          </cell>
          <cell r="CT100">
            <v>0</v>
          </cell>
          <cell r="CV100">
            <v>0</v>
          </cell>
          <cell r="DJ100">
            <v>0</v>
          </cell>
          <cell r="DL100">
            <v>0</v>
          </cell>
        </row>
        <row r="101">
          <cell r="B101" t="str">
            <v>EDP</v>
          </cell>
          <cell r="D101" t="str">
            <v>DATA PROCESSING</v>
          </cell>
          <cell r="F101" t="str">
            <v>DP1</v>
          </cell>
          <cell r="H101">
            <v>698159.54838663258</v>
          </cell>
          <cell r="J101">
            <v>12750129.065400634</v>
          </cell>
          <cell r="L101">
            <v>13448288.613787267</v>
          </cell>
          <cell r="N101">
            <v>5.2603365384615381</v>
          </cell>
          <cell r="O101" t="str">
            <v>EDP</v>
          </cell>
          <cell r="P101">
            <v>698.2</v>
          </cell>
          <cell r="R101">
            <v>12750.1</v>
          </cell>
          <cell r="T101">
            <v>13448.300000000001</v>
          </cell>
          <cell r="X101">
            <v>0</v>
          </cell>
          <cell r="Z101">
            <v>0</v>
          </cell>
          <cell r="AD101">
            <v>698.2</v>
          </cell>
          <cell r="AF101">
            <v>12750.1</v>
          </cell>
          <cell r="AH101">
            <v>13448.300000000001</v>
          </cell>
          <cell r="AJ101">
            <v>5.2603365384615381</v>
          </cell>
          <cell r="AL101">
            <v>0</v>
          </cell>
          <cell r="AN101">
            <v>0</v>
          </cell>
          <cell r="AP101">
            <v>0</v>
          </cell>
          <cell r="AR101">
            <v>0</v>
          </cell>
          <cell r="AT101">
            <v>-698.20000000000039</v>
          </cell>
          <cell r="AV101">
            <v>-12750.099999999997</v>
          </cell>
          <cell r="AX101">
            <v>-13448.299999999997</v>
          </cell>
          <cell r="AZ101">
            <v>-5.2603365384615381</v>
          </cell>
          <cell r="BB101">
            <v>0</v>
          </cell>
          <cell r="BD101">
            <v>0</v>
          </cell>
          <cell r="BF101">
            <v>0</v>
          </cell>
          <cell r="BH101">
            <v>0</v>
          </cell>
          <cell r="BN101">
            <v>0</v>
          </cell>
          <cell r="BR101">
            <v>0</v>
          </cell>
          <cell r="BT101">
            <v>0</v>
          </cell>
          <cell r="BV101">
            <v>0</v>
          </cell>
          <cell r="BX101">
            <v>0</v>
          </cell>
          <cell r="CD101">
            <v>0</v>
          </cell>
          <cell r="CG101" t="str">
            <v>EDP</v>
          </cell>
          <cell r="CO101" t="str">
            <v>EDP</v>
          </cell>
          <cell r="CP101">
            <v>0</v>
          </cell>
          <cell r="CR101">
            <v>0</v>
          </cell>
          <cell r="CT101">
            <v>0</v>
          </cell>
          <cell r="CV101">
            <v>0</v>
          </cell>
        </row>
        <row r="102">
          <cell r="B102" t="str">
            <v>AMB</v>
          </cell>
          <cell r="D102" t="str">
            <v>AMBULANCE SERVICE</v>
          </cell>
          <cell r="F102" t="str">
            <v>E1</v>
          </cell>
          <cell r="H102">
            <v>0</v>
          </cell>
          <cell r="J102">
            <v>0</v>
          </cell>
          <cell r="L102">
            <v>0</v>
          </cell>
          <cell r="N102">
            <v>0</v>
          </cell>
          <cell r="O102" t="str">
            <v>AMB</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B102">
            <v>0</v>
          </cell>
          <cell r="CD102">
            <v>0</v>
          </cell>
          <cell r="CG102" t="str">
            <v>AMB</v>
          </cell>
          <cell r="CH102">
            <v>0</v>
          </cell>
          <cell r="CJ102">
            <v>0</v>
          </cell>
          <cell r="CL102">
            <v>0</v>
          </cell>
          <cell r="CN102">
            <v>0</v>
          </cell>
          <cell r="CO102" t="str">
            <v>AMB</v>
          </cell>
          <cell r="CP102">
            <v>0</v>
          </cell>
          <cell r="CR102">
            <v>0</v>
          </cell>
          <cell r="CT102">
            <v>0</v>
          </cell>
          <cell r="CV102">
            <v>0</v>
          </cell>
          <cell r="CX102">
            <v>0</v>
          </cell>
          <cell r="CZ102">
            <v>0</v>
          </cell>
          <cell r="DD102">
            <v>0</v>
          </cell>
          <cell r="DF102">
            <v>0</v>
          </cell>
          <cell r="DH102">
            <v>0</v>
          </cell>
        </row>
        <row r="103">
          <cell r="B103" t="str">
            <v>PAR</v>
          </cell>
          <cell r="D103" t="str">
            <v>PARKING</v>
          </cell>
          <cell r="F103" t="str">
            <v>E2</v>
          </cell>
          <cell r="H103">
            <v>438821.80354415334</v>
          </cell>
          <cell r="J103">
            <v>287974.88999999996</v>
          </cell>
          <cell r="L103">
            <v>726796.69354415336</v>
          </cell>
          <cell r="N103">
            <v>10.98858173076923</v>
          </cell>
          <cell r="O103" t="str">
            <v>PAR</v>
          </cell>
          <cell r="P103">
            <v>438.8</v>
          </cell>
          <cell r="R103">
            <v>288</v>
          </cell>
          <cell r="T103">
            <v>726.8</v>
          </cell>
          <cell r="AD103">
            <v>438.8</v>
          </cell>
          <cell r="AF103">
            <v>288</v>
          </cell>
          <cell r="AH103">
            <v>726.8</v>
          </cell>
          <cell r="AJ103">
            <v>10.98858173076923</v>
          </cell>
          <cell r="AL103">
            <v>0</v>
          </cell>
          <cell r="AN103">
            <v>0</v>
          </cell>
          <cell r="AP103">
            <v>0</v>
          </cell>
          <cell r="AR103">
            <v>0</v>
          </cell>
          <cell r="AT103">
            <v>0</v>
          </cell>
          <cell r="AV103">
            <v>0</v>
          </cell>
          <cell r="AX103">
            <v>0</v>
          </cell>
          <cell r="AZ103">
            <v>0</v>
          </cell>
          <cell r="BB103">
            <v>438.8</v>
          </cell>
          <cell r="BD103">
            <v>288</v>
          </cell>
          <cell r="BF103">
            <v>726.8</v>
          </cell>
          <cell r="BH103">
            <v>10.98858173076923</v>
          </cell>
          <cell r="BN103">
            <v>0</v>
          </cell>
          <cell r="BR103">
            <v>438.8</v>
          </cell>
          <cell r="BT103">
            <v>288</v>
          </cell>
          <cell r="BV103">
            <v>726.8</v>
          </cell>
          <cell r="BX103">
            <v>10.98858173076923</v>
          </cell>
          <cell r="CD103">
            <v>0</v>
          </cell>
          <cell r="CG103" t="str">
            <v>PAR</v>
          </cell>
          <cell r="CH103">
            <v>22.355439302578944</v>
          </cell>
          <cell r="CJ103">
            <v>44.716492798930105</v>
          </cell>
          <cell r="CL103">
            <v>67.071932101509049</v>
          </cell>
          <cell r="CN103">
            <v>0.15888721075903409</v>
          </cell>
          <cell r="CO103" t="str">
            <v>PAR</v>
          </cell>
          <cell r="CP103">
            <v>461.15543930257894</v>
          </cell>
          <cell r="CR103">
            <v>332.71649279893012</v>
          </cell>
          <cell r="CT103">
            <v>793.87193210150906</v>
          </cell>
          <cell r="CV103">
            <v>11.147468941528263</v>
          </cell>
          <cell r="CX103">
            <v>1207.90589</v>
          </cell>
          <cell r="CZ103">
            <v>414.03395789849094</v>
          </cell>
          <cell r="DB103">
            <v>0</v>
          </cell>
          <cell r="DD103">
            <v>414.03395789849094</v>
          </cell>
          <cell r="DF103">
            <v>0</v>
          </cell>
          <cell r="DH103">
            <v>414.03395789849094</v>
          </cell>
        </row>
        <row r="104">
          <cell r="B104" t="str">
            <v>DPO</v>
          </cell>
          <cell r="D104" t="str">
            <v>DOCTOR PRIVATE OFFICE RENT</v>
          </cell>
          <cell r="F104" t="str">
            <v>E3</v>
          </cell>
          <cell r="H104">
            <v>0</v>
          </cell>
          <cell r="J104">
            <v>0</v>
          </cell>
          <cell r="L104">
            <v>0</v>
          </cell>
          <cell r="N104">
            <v>0</v>
          </cell>
          <cell r="O104" t="str">
            <v>DPO</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B104">
            <v>0</v>
          </cell>
          <cell r="CD104">
            <v>0</v>
          </cell>
          <cell r="CG104" t="str">
            <v>DPO</v>
          </cell>
          <cell r="CH104">
            <v>0</v>
          </cell>
          <cell r="CJ104">
            <v>0</v>
          </cell>
          <cell r="CL104">
            <v>0</v>
          </cell>
          <cell r="CN104">
            <v>0</v>
          </cell>
          <cell r="CO104" t="str">
            <v>DPO</v>
          </cell>
          <cell r="CP104">
            <v>0</v>
          </cell>
          <cell r="CR104">
            <v>0</v>
          </cell>
          <cell r="CT104">
            <v>0</v>
          </cell>
          <cell r="CV104">
            <v>0</v>
          </cell>
          <cell r="CX104">
            <v>0</v>
          </cell>
          <cell r="CZ104">
            <v>0</v>
          </cell>
          <cell r="DD104">
            <v>0</v>
          </cell>
          <cell r="DF104">
            <v>0</v>
          </cell>
          <cell r="DH104">
            <v>0</v>
          </cell>
        </row>
        <row r="105">
          <cell r="B105" t="str">
            <v>OOR</v>
          </cell>
          <cell r="D105" t="str">
            <v>OFFICE &amp; OTHER RENTALS</v>
          </cell>
          <cell r="F105" t="str">
            <v>E4</v>
          </cell>
          <cell r="H105">
            <v>0</v>
          </cell>
          <cell r="J105">
            <v>282588.44</v>
          </cell>
          <cell r="L105">
            <v>282588.44</v>
          </cell>
          <cell r="N105">
            <v>0</v>
          </cell>
          <cell r="O105" t="str">
            <v>OOR</v>
          </cell>
          <cell r="P105">
            <v>0</v>
          </cell>
          <cell r="R105">
            <v>282.60000000000002</v>
          </cell>
          <cell r="T105">
            <v>282.60000000000002</v>
          </cell>
          <cell r="AD105">
            <v>0</v>
          </cell>
          <cell r="AF105">
            <v>282.60000000000002</v>
          </cell>
          <cell r="AH105">
            <v>282.60000000000002</v>
          </cell>
          <cell r="AJ105">
            <v>0</v>
          </cell>
          <cell r="AL105">
            <v>0</v>
          </cell>
          <cell r="AN105">
            <v>0</v>
          </cell>
          <cell r="AP105">
            <v>0</v>
          </cell>
          <cell r="AR105">
            <v>0</v>
          </cell>
          <cell r="AT105">
            <v>0</v>
          </cell>
          <cell r="AV105">
            <v>0</v>
          </cell>
          <cell r="AX105">
            <v>0</v>
          </cell>
          <cell r="AZ105">
            <v>0</v>
          </cell>
          <cell r="BB105">
            <v>0</v>
          </cell>
          <cell r="BD105">
            <v>282.60000000000002</v>
          </cell>
          <cell r="BF105">
            <v>282.60000000000002</v>
          </cell>
          <cell r="BH105">
            <v>0</v>
          </cell>
          <cell r="BN105">
            <v>0</v>
          </cell>
          <cell r="BR105">
            <v>0</v>
          </cell>
          <cell r="BT105">
            <v>282.60000000000002</v>
          </cell>
          <cell r="BV105">
            <v>282.60000000000002</v>
          </cell>
          <cell r="BX105">
            <v>0</v>
          </cell>
          <cell r="CB105">
            <v>0</v>
          </cell>
          <cell r="CD105">
            <v>0</v>
          </cell>
          <cell r="CG105" t="str">
            <v>OOR</v>
          </cell>
          <cell r="CH105">
            <v>0</v>
          </cell>
          <cell r="CJ105">
            <v>1890.62456</v>
          </cell>
          <cell r="CL105">
            <v>1890.62456</v>
          </cell>
          <cell r="CN105">
            <v>0</v>
          </cell>
          <cell r="CO105" t="str">
            <v>OOR</v>
          </cell>
          <cell r="CP105">
            <v>0</v>
          </cell>
          <cell r="CR105">
            <v>2173.2245600000001</v>
          </cell>
          <cell r="CT105">
            <v>2173.2245600000001</v>
          </cell>
          <cell r="CV105">
            <v>0</v>
          </cell>
          <cell r="CX105">
            <v>1368.3696299999999</v>
          </cell>
          <cell r="CZ105">
            <v>-804.85493000000019</v>
          </cell>
          <cell r="DD105">
            <v>-804.85493000000019</v>
          </cell>
          <cell r="DF105">
            <v>-804.85493000000019</v>
          </cell>
          <cell r="DH105">
            <v>0</v>
          </cell>
        </row>
        <row r="106">
          <cell r="B106" t="str">
            <v>REO</v>
          </cell>
          <cell r="D106" t="str">
            <v>RETAIL OPERATIONS</v>
          </cell>
          <cell r="F106" t="str">
            <v>E5</v>
          </cell>
          <cell r="H106">
            <v>0</v>
          </cell>
          <cell r="J106">
            <v>114.95</v>
          </cell>
          <cell r="L106">
            <v>114.95</v>
          </cell>
          <cell r="N106">
            <v>0</v>
          </cell>
          <cell r="O106" t="str">
            <v>REO</v>
          </cell>
          <cell r="P106">
            <v>0</v>
          </cell>
          <cell r="R106">
            <v>0.1</v>
          </cell>
          <cell r="T106">
            <v>0.1</v>
          </cell>
          <cell r="AD106">
            <v>0</v>
          </cell>
          <cell r="AF106">
            <v>0.1</v>
          </cell>
          <cell r="AH106">
            <v>0.1</v>
          </cell>
          <cell r="AJ106">
            <v>0</v>
          </cell>
          <cell r="AL106">
            <v>0</v>
          </cell>
          <cell r="AN106">
            <v>0</v>
          </cell>
          <cell r="AP106">
            <v>0</v>
          </cell>
          <cell r="AR106">
            <v>0</v>
          </cell>
          <cell r="AT106">
            <v>0</v>
          </cell>
          <cell r="AV106">
            <v>0</v>
          </cell>
          <cell r="AX106">
            <v>0</v>
          </cell>
          <cell r="AZ106">
            <v>0</v>
          </cell>
          <cell r="BB106">
            <v>0</v>
          </cell>
          <cell r="BD106">
            <v>0.1</v>
          </cell>
          <cell r="BF106">
            <v>0.1</v>
          </cell>
          <cell r="BH106">
            <v>0</v>
          </cell>
          <cell r="BN106">
            <v>0</v>
          </cell>
          <cell r="BR106">
            <v>0</v>
          </cell>
          <cell r="BT106">
            <v>0.1</v>
          </cell>
          <cell r="BV106">
            <v>0.1</v>
          </cell>
          <cell r="BX106">
            <v>0</v>
          </cell>
          <cell r="CB106">
            <v>0.13494999999999999</v>
          </cell>
          <cell r="CD106">
            <v>0.13494999999999999</v>
          </cell>
          <cell r="CG106" t="str">
            <v>REO</v>
          </cell>
          <cell r="CH106">
            <v>9.1206265833144826</v>
          </cell>
          <cell r="CJ106">
            <v>71.171007147504554</v>
          </cell>
          <cell r="CL106">
            <v>80.291633730819029</v>
          </cell>
          <cell r="CN106">
            <v>0.12558217930579119</v>
          </cell>
          <cell r="CO106" t="str">
            <v>REO</v>
          </cell>
          <cell r="CP106">
            <v>9.2555765833144825</v>
          </cell>
          <cell r="CR106">
            <v>71.271007147504548</v>
          </cell>
          <cell r="CT106">
            <v>80.526583730819027</v>
          </cell>
          <cell r="CV106">
            <v>0.12558217930579119</v>
          </cell>
          <cell r="CX106">
            <v>0</v>
          </cell>
          <cell r="CZ106">
            <v>-80.526583730819027</v>
          </cell>
          <cell r="DD106">
            <v>-80.526583730819027</v>
          </cell>
          <cell r="DF106">
            <v>-80.526583730819027</v>
          </cell>
          <cell r="DH106">
            <v>0</v>
          </cell>
        </row>
        <row r="107">
          <cell r="B107" t="str">
            <v>PTE</v>
          </cell>
          <cell r="D107" t="str">
            <v>PATIENT TELEPHONE</v>
          </cell>
          <cell r="F107" t="str">
            <v>E6</v>
          </cell>
          <cell r="H107">
            <v>69858.08841517914</v>
          </cell>
          <cell r="J107">
            <v>-313.44863436123353</v>
          </cell>
          <cell r="L107">
            <v>69544.639780817903</v>
          </cell>
          <cell r="N107">
            <v>1.4473876137628889</v>
          </cell>
          <cell r="O107" t="str">
            <v>PTE</v>
          </cell>
          <cell r="P107">
            <v>69.900000000000006</v>
          </cell>
          <cell r="R107">
            <v>-0.3</v>
          </cell>
          <cell r="T107">
            <v>69.600000000000009</v>
          </cell>
          <cell r="AD107">
            <v>69.900000000000006</v>
          </cell>
          <cell r="AF107">
            <v>-0.3</v>
          </cell>
          <cell r="AH107">
            <v>69.600000000000009</v>
          </cell>
          <cell r="AJ107">
            <v>1.4473876137628889</v>
          </cell>
          <cell r="AL107">
            <v>0</v>
          </cell>
          <cell r="AN107">
            <v>0</v>
          </cell>
          <cell r="AP107">
            <v>0</v>
          </cell>
          <cell r="AR107">
            <v>0</v>
          </cell>
          <cell r="AT107">
            <v>0</v>
          </cell>
          <cell r="AV107">
            <v>0</v>
          </cell>
          <cell r="AX107">
            <v>0</v>
          </cell>
          <cell r="AZ107">
            <v>0</v>
          </cell>
          <cell r="BB107">
            <v>69.900000000000006</v>
          </cell>
          <cell r="BD107">
            <v>-0.3</v>
          </cell>
          <cell r="BF107">
            <v>69.600000000000009</v>
          </cell>
          <cell r="BH107">
            <v>1.4473876137628889</v>
          </cell>
          <cell r="BN107">
            <v>0</v>
          </cell>
          <cell r="BR107">
            <v>69.900000000000006</v>
          </cell>
          <cell r="BT107">
            <v>-0.3</v>
          </cell>
          <cell r="BV107">
            <v>69.600000000000009</v>
          </cell>
          <cell r="BX107">
            <v>1.4473876137628889</v>
          </cell>
          <cell r="CB107">
            <v>1.5740700000000001</v>
          </cell>
          <cell r="CD107">
            <v>1.5740700000000001</v>
          </cell>
          <cell r="CG107" t="str">
            <v>PTE</v>
          </cell>
          <cell r="CH107">
            <v>2.1331735718068723</v>
          </cell>
          <cell r="CJ107">
            <v>3.9779328330759931</v>
          </cell>
          <cell r="CL107">
            <v>6.1111064048828654</v>
          </cell>
          <cell r="CN107">
            <v>1.7437897193062601E-2</v>
          </cell>
          <cell r="CO107" t="str">
            <v>PTE</v>
          </cell>
          <cell r="CP107">
            <v>73.60724357180689</v>
          </cell>
          <cell r="CR107">
            <v>3.6779328330759933</v>
          </cell>
          <cell r="CT107">
            <v>77.28517640488289</v>
          </cell>
          <cell r="CV107">
            <v>1.4648255109559516</v>
          </cell>
          <cell r="CX107">
            <v>0</v>
          </cell>
          <cell r="CZ107">
            <v>-77.28517640488289</v>
          </cell>
          <cell r="DD107">
            <v>-77.28517640488289</v>
          </cell>
          <cell r="DF107">
            <v>-77.28517640488289</v>
          </cell>
          <cell r="DH107">
            <v>0</v>
          </cell>
        </row>
        <row r="108">
          <cell r="B108" t="str">
            <v>CAF</v>
          </cell>
          <cell r="D108" t="str">
            <v>CAFETERIA</v>
          </cell>
          <cell r="F108" t="str">
            <v>E7</v>
          </cell>
          <cell r="H108">
            <v>0</v>
          </cell>
          <cell r="J108">
            <v>886040.6897300001</v>
          </cell>
          <cell r="L108">
            <v>886040.6897300001</v>
          </cell>
          <cell r="N108">
            <v>0</v>
          </cell>
          <cell r="O108" t="str">
            <v>CAF</v>
          </cell>
          <cell r="P108">
            <v>0</v>
          </cell>
          <cell r="R108">
            <v>886</v>
          </cell>
          <cell r="T108">
            <v>886</v>
          </cell>
          <cell r="AD108">
            <v>0</v>
          </cell>
          <cell r="AF108">
            <v>886</v>
          </cell>
          <cell r="AH108">
            <v>886</v>
          </cell>
          <cell r="AJ108">
            <v>0</v>
          </cell>
          <cell r="AL108">
            <v>0</v>
          </cell>
          <cell r="AN108">
            <v>0</v>
          </cell>
          <cell r="AP108">
            <v>0</v>
          </cell>
          <cell r="AR108">
            <v>0</v>
          </cell>
          <cell r="AT108">
            <v>0</v>
          </cell>
          <cell r="AV108">
            <v>0</v>
          </cell>
          <cell r="AX108">
            <v>0</v>
          </cell>
          <cell r="AZ108">
            <v>0</v>
          </cell>
          <cell r="BB108">
            <v>0</v>
          </cell>
          <cell r="BD108">
            <v>886</v>
          </cell>
          <cell r="BF108">
            <v>886</v>
          </cell>
          <cell r="BH108">
            <v>0</v>
          </cell>
          <cell r="BN108">
            <v>0</v>
          </cell>
          <cell r="BR108">
            <v>0</v>
          </cell>
          <cell r="BT108">
            <v>886</v>
          </cell>
          <cell r="BV108">
            <v>886</v>
          </cell>
          <cell r="BX108">
            <v>0</v>
          </cell>
          <cell r="CD108">
            <v>0</v>
          </cell>
          <cell r="CG108" t="str">
            <v>CAF</v>
          </cell>
          <cell r="CH108">
            <v>30.713124345641063</v>
          </cell>
          <cell r="CJ108">
            <v>239.66379638047351</v>
          </cell>
          <cell r="CL108">
            <v>270.37692072611458</v>
          </cell>
          <cell r="CN108">
            <v>0.42288992465402475</v>
          </cell>
          <cell r="CO108" t="str">
            <v>CAF</v>
          </cell>
          <cell r="CP108">
            <v>30.713124345641063</v>
          </cell>
          <cell r="CR108">
            <v>1125.6637963804735</v>
          </cell>
          <cell r="CT108">
            <v>1156.3769207261146</v>
          </cell>
          <cell r="CV108">
            <v>0.42288992465402475</v>
          </cell>
          <cell r="CX108">
            <v>0</v>
          </cell>
          <cell r="CZ108">
            <v>-1156.3769207261146</v>
          </cell>
          <cell r="DB108">
            <v>-1156.3769207261146</v>
          </cell>
          <cell r="DD108">
            <v>0</v>
          </cell>
          <cell r="DF108">
            <v>0</v>
          </cell>
          <cell r="DH108">
            <v>0</v>
          </cell>
        </row>
        <row r="109">
          <cell r="B109" t="str">
            <v>DEB</v>
          </cell>
          <cell r="D109" t="str">
            <v>DAY CARE, REC AREAS, ECT.</v>
          </cell>
          <cell r="F109" t="str">
            <v>E8</v>
          </cell>
          <cell r="H109">
            <v>0</v>
          </cell>
          <cell r="J109">
            <v>-10545.05</v>
          </cell>
          <cell r="L109">
            <v>-10545.05</v>
          </cell>
          <cell r="N109">
            <v>0</v>
          </cell>
          <cell r="O109" t="str">
            <v>DEB</v>
          </cell>
          <cell r="P109">
            <v>0</v>
          </cell>
          <cell r="R109">
            <v>-10.5</v>
          </cell>
          <cell r="T109">
            <v>-10.5</v>
          </cell>
          <cell r="AD109">
            <v>0</v>
          </cell>
          <cell r="AF109">
            <v>-10.5</v>
          </cell>
          <cell r="AH109">
            <v>-10.5</v>
          </cell>
          <cell r="AJ109">
            <v>0</v>
          </cell>
          <cell r="AL109">
            <v>0</v>
          </cell>
          <cell r="AN109">
            <v>0</v>
          </cell>
          <cell r="AP109">
            <v>0</v>
          </cell>
          <cell r="AR109">
            <v>0</v>
          </cell>
          <cell r="AT109">
            <v>0</v>
          </cell>
          <cell r="AV109">
            <v>0</v>
          </cell>
          <cell r="AX109">
            <v>0</v>
          </cell>
          <cell r="AZ109">
            <v>0</v>
          </cell>
          <cell r="BB109">
            <v>0</v>
          </cell>
          <cell r="BD109">
            <v>-10.5</v>
          </cell>
          <cell r="BF109">
            <v>-10.5</v>
          </cell>
          <cell r="BH109">
            <v>0</v>
          </cell>
          <cell r="BN109">
            <v>0</v>
          </cell>
          <cell r="BR109">
            <v>0</v>
          </cell>
          <cell r="BT109">
            <v>-10.5</v>
          </cell>
          <cell r="BV109">
            <v>-10.5</v>
          </cell>
          <cell r="BX109">
            <v>0</v>
          </cell>
          <cell r="CD109">
            <v>0</v>
          </cell>
          <cell r="CG109" t="str">
            <v>DEB</v>
          </cell>
          <cell r="CH109">
            <v>20.623837459090865</v>
          </cell>
          <cell r="CJ109">
            <v>163.51229478358738</v>
          </cell>
          <cell r="CL109">
            <v>184.13613224267823</v>
          </cell>
          <cell r="CN109">
            <v>0.28594022052733459</v>
          </cell>
          <cell r="CO109" t="str">
            <v>DEB</v>
          </cell>
          <cell r="CP109">
            <v>20.623837459090865</v>
          </cell>
          <cell r="CR109">
            <v>153.01229478358738</v>
          </cell>
          <cell r="CT109">
            <v>173.63613224267823</v>
          </cell>
          <cell r="CV109">
            <v>0.28594022052733459</v>
          </cell>
          <cell r="CX109">
            <v>0</v>
          </cell>
          <cell r="CZ109">
            <v>-173.63613224267823</v>
          </cell>
          <cell r="DB109">
            <v>-173.63613224267823</v>
          </cell>
          <cell r="DD109">
            <v>0</v>
          </cell>
          <cell r="DF109">
            <v>0</v>
          </cell>
          <cell r="DH109">
            <v>0</v>
          </cell>
        </row>
        <row r="110">
          <cell r="B110" t="str">
            <v>HOU</v>
          </cell>
          <cell r="D110" t="str">
            <v>HOUSING</v>
          </cell>
          <cell r="F110" t="str">
            <v>E9</v>
          </cell>
          <cell r="H110">
            <v>0</v>
          </cell>
          <cell r="J110">
            <v>0</v>
          </cell>
          <cell r="L110">
            <v>0</v>
          </cell>
          <cell r="N110">
            <v>0</v>
          </cell>
          <cell r="O110" t="str">
            <v>HOU</v>
          </cell>
          <cell r="P110">
            <v>0</v>
          </cell>
          <cell r="R110">
            <v>0</v>
          </cell>
          <cell r="T110">
            <v>0</v>
          </cell>
          <cell r="AD110">
            <v>0</v>
          </cell>
          <cell r="AF110">
            <v>0</v>
          </cell>
          <cell r="AH110">
            <v>0</v>
          </cell>
          <cell r="AJ110">
            <v>0</v>
          </cell>
          <cell r="AL110">
            <v>0</v>
          </cell>
          <cell r="AN110">
            <v>0</v>
          </cell>
          <cell r="AP110">
            <v>0</v>
          </cell>
          <cell r="AR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HOU</v>
          </cell>
          <cell r="CH110">
            <v>0</v>
          </cell>
          <cell r="CJ110">
            <v>0</v>
          </cell>
          <cell r="CL110">
            <v>0</v>
          </cell>
          <cell r="CN110">
            <v>0</v>
          </cell>
          <cell r="CO110" t="str">
            <v>HOU</v>
          </cell>
          <cell r="CP110">
            <v>0</v>
          </cell>
          <cell r="CR110">
            <v>0</v>
          </cell>
          <cell r="CT110">
            <v>0</v>
          </cell>
          <cell r="CV110">
            <v>0</v>
          </cell>
          <cell r="CX110">
            <v>0</v>
          </cell>
          <cell r="CZ110">
            <v>0</v>
          </cell>
          <cell r="DB110">
            <v>0</v>
          </cell>
          <cell r="DD110">
            <v>0</v>
          </cell>
          <cell r="DF110">
            <v>0</v>
          </cell>
          <cell r="DH110">
            <v>0</v>
          </cell>
        </row>
        <row r="111">
          <cell r="B111" t="str">
            <v>REG</v>
          </cell>
          <cell r="D111" t="str">
            <v>RESEARCH</v>
          </cell>
          <cell r="F111" t="str">
            <v>F1</v>
          </cell>
          <cell r="H111">
            <v>362288.08401908906</v>
          </cell>
          <cell r="J111">
            <v>44828.75</v>
          </cell>
          <cell r="L111">
            <v>407116.83401908906</v>
          </cell>
          <cell r="N111">
            <v>3.0995192307692307</v>
          </cell>
          <cell r="O111" t="str">
            <v>REG</v>
          </cell>
          <cell r="P111">
            <v>362.3</v>
          </cell>
          <cell r="R111">
            <v>44.8</v>
          </cell>
          <cell r="T111">
            <v>407.1</v>
          </cell>
          <cell r="AD111">
            <v>362.3</v>
          </cell>
          <cell r="AF111">
            <v>44.8</v>
          </cell>
          <cell r="AH111">
            <v>407.1</v>
          </cell>
          <cell r="AJ111">
            <v>3.0995192307692307</v>
          </cell>
          <cell r="AL111">
            <v>0</v>
          </cell>
          <cell r="AN111">
            <v>0</v>
          </cell>
          <cell r="AP111">
            <v>0</v>
          </cell>
          <cell r="AR111">
            <v>0</v>
          </cell>
          <cell r="AT111">
            <v>0</v>
          </cell>
          <cell r="AV111">
            <v>0</v>
          </cell>
          <cell r="AX111">
            <v>0</v>
          </cell>
          <cell r="AZ111">
            <v>0</v>
          </cell>
          <cell r="BB111">
            <v>362.3</v>
          </cell>
          <cell r="BD111">
            <v>44.8</v>
          </cell>
          <cell r="BF111">
            <v>407.1</v>
          </cell>
          <cell r="BH111">
            <v>3.0995192307692307</v>
          </cell>
          <cell r="BJ111">
            <v>0</v>
          </cell>
          <cell r="BN111">
            <v>0</v>
          </cell>
          <cell r="BP111">
            <v>0</v>
          </cell>
          <cell r="BR111">
            <v>362.3</v>
          </cell>
          <cell r="BT111">
            <v>44.8</v>
          </cell>
          <cell r="BV111">
            <v>407.1</v>
          </cell>
          <cell r="BX111">
            <v>3.0995192307692307</v>
          </cell>
          <cell r="CB111">
            <v>3.4656400000000001</v>
          </cell>
          <cell r="CD111">
            <v>3.4656400000000001</v>
          </cell>
          <cell r="CG111" t="str">
            <v>REG</v>
          </cell>
          <cell r="CH111">
            <v>14.426032340948641</v>
          </cell>
          <cell r="CJ111">
            <v>24.310515546076108</v>
          </cell>
          <cell r="CL111">
            <v>38.736547887024749</v>
          </cell>
          <cell r="CN111">
            <v>0.12559994192684615</v>
          </cell>
          <cell r="CO111" t="str">
            <v>REG</v>
          </cell>
          <cell r="CP111">
            <v>380.19167234094868</v>
          </cell>
          <cell r="CR111">
            <v>69.110515546076101</v>
          </cell>
          <cell r="CT111">
            <v>449.30218788702479</v>
          </cell>
          <cell r="CV111">
            <v>3.2251191726960768</v>
          </cell>
          <cell r="CX111">
            <v>34.071510000000004</v>
          </cell>
          <cell r="CZ111">
            <v>-415.2306778870248</v>
          </cell>
          <cell r="DD111">
            <v>-415.2306778870248</v>
          </cell>
          <cell r="DF111">
            <v>-415.2306778870248</v>
          </cell>
          <cell r="DH111">
            <v>0</v>
          </cell>
        </row>
        <row r="112">
          <cell r="B112" t="str">
            <v>RNS</v>
          </cell>
          <cell r="D112" t="str">
            <v>NURSING EDUCATION</v>
          </cell>
          <cell r="F112" t="str">
            <v>F2</v>
          </cell>
          <cell r="H112">
            <v>0</v>
          </cell>
          <cell r="J112">
            <v>0</v>
          </cell>
          <cell r="L112">
            <v>0</v>
          </cell>
          <cell r="N112">
            <v>0</v>
          </cell>
          <cell r="O112" t="str">
            <v>RNS</v>
          </cell>
          <cell r="P112">
            <v>0</v>
          </cell>
          <cell r="R112">
            <v>0</v>
          </cell>
          <cell r="T112">
            <v>0</v>
          </cell>
          <cell r="AD112">
            <v>0</v>
          </cell>
          <cell r="AF112">
            <v>0</v>
          </cell>
          <cell r="AH112">
            <v>0</v>
          </cell>
          <cell r="AJ112">
            <v>0</v>
          </cell>
          <cell r="AL112">
            <v>0</v>
          </cell>
          <cell r="AN112">
            <v>0</v>
          </cell>
          <cell r="AP112">
            <v>0</v>
          </cell>
          <cell r="AR112">
            <v>0</v>
          </cell>
          <cell r="AT112">
            <v>0</v>
          </cell>
          <cell r="AV112">
            <v>0</v>
          </cell>
          <cell r="AX112">
            <v>0</v>
          </cell>
          <cell r="AZ112">
            <v>0</v>
          </cell>
          <cell r="BB112">
            <v>0</v>
          </cell>
          <cell r="BD112">
            <v>0</v>
          </cell>
          <cell r="BF112">
            <v>0</v>
          </cell>
          <cell r="BH112">
            <v>0</v>
          </cell>
          <cell r="BN112">
            <v>0</v>
          </cell>
          <cell r="BR112">
            <v>0</v>
          </cell>
          <cell r="BT112">
            <v>0</v>
          </cell>
          <cell r="BV112">
            <v>0</v>
          </cell>
          <cell r="BX112">
            <v>0</v>
          </cell>
          <cell r="CB112">
            <v>0</v>
          </cell>
          <cell r="CD112">
            <v>0</v>
          </cell>
          <cell r="CG112" t="str">
            <v>RNS</v>
          </cell>
          <cell r="CH112">
            <v>0</v>
          </cell>
          <cell r="CJ112">
            <v>0</v>
          </cell>
          <cell r="CL112">
            <v>0</v>
          </cell>
          <cell r="CN112">
            <v>0</v>
          </cell>
          <cell r="CO112" t="str">
            <v>RNS</v>
          </cell>
          <cell r="CP112">
            <v>0</v>
          </cell>
          <cell r="CR112">
            <v>0</v>
          </cell>
          <cell r="CT112">
            <v>0</v>
          </cell>
          <cell r="CV112">
            <v>0</v>
          </cell>
          <cell r="CX112">
            <v>0</v>
          </cell>
          <cell r="CZ112">
            <v>0</v>
          </cell>
          <cell r="DD112">
            <v>0</v>
          </cell>
          <cell r="DF112">
            <v>0</v>
          </cell>
          <cell r="DH112">
            <v>0</v>
          </cell>
        </row>
        <row r="113">
          <cell r="B113" t="str">
            <v>OHE</v>
          </cell>
          <cell r="D113" t="str">
            <v>OTHER HEALTH PROFESSION EDUC.</v>
          </cell>
          <cell r="F113" t="str">
            <v>F3</v>
          </cell>
          <cell r="H113">
            <v>0</v>
          </cell>
          <cell r="J113">
            <v>0</v>
          </cell>
          <cell r="L113">
            <v>0</v>
          </cell>
          <cell r="N113">
            <v>0</v>
          </cell>
          <cell r="O113" t="str">
            <v>OHE</v>
          </cell>
          <cell r="P113">
            <v>0</v>
          </cell>
          <cell r="R113">
            <v>0</v>
          </cell>
          <cell r="T113">
            <v>0</v>
          </cell>
          <cell r="AD113">
            <v>0</v>
          </cell>
          <cell r="AF113">
            <v>0</v>
          </cell>
          <cell r="AH113">
            <v>0</v>
          </cell>
          <cell r="AJ113">
            <v>0</v>
          </cell>
          <cell r="AL113">
            <v>0</v>
          </cell>
          <cell r="AN113">
            <v>0</v>
          </cell>
          <cell r="AP113">
            <v>0</v>
          </cell>
          <cell r="AR113">
            <v>0</v>
          </cell>
          <cell r="AT113">
            <v>0</v>
          </cell>
          <cell r="AV113">
            <v>0</v>
          </cell>
          <cell r="AX113">
            <v>0</v>
          </cell>
          <cell r="AZ113">
            <v>0</v>
          </cell>
          <cell r="BB113">
            <v>0</v>
          </cell>
          <cell r="BD113">
            <v>0</v>
          </cell>
          <cell r="BF113">
            <v>0</v>
          </cell>
          <cell r="BH113">
            <v>0</v>
          </cell>
          <cell r="BN113">
            <v>0</v>
          </cell>
          <cell r="BR113">
            <v>0</v>
          </cell>
          <cell r="BT113">
            <v>0</v>
          </cell>
          <cell r="BV113">
            <v>0</v>
          </cell>
          <cell r="BX113">
            <v>0</v>
          </cell>
          <cell r="CB113">
            <v>0</v>
          </cell>
          <cell r="CD113">
            <v>0</v>
          </cell>
          <cell r="CG113" t="str">
            <v>OHE</v>
          </cell>
          <cell r="CH113">
            <v>0</v>
          </cell>
          <cell r="CJ113">
            <v>0</v>
          </cell>
          <cell r="CL113">
            <v>0</v>
          </cell>
          <cell r="CN113">
            <v>0</v>
          </cell>
          <cell r="CO113" t="str">
            <v>OHE</v>
          </cell>
          <cell r="CP113">
            <v>0</v>
          </cell>
          <cell r="CR113">
            <v>0</v>
          </cell>
          <cell r="CT113">
            <v>0</v>
          </cell>
          <cell r="CV113">
            <v>0</v>
          </cell>
          <cell r="CX113">
            <v>0</v>
          </cell>
          <cell r="CZ113">
            <v>0</v>
          </cell>
          <cell r="DD113">
            <v>0</v>
          </cell>
          <cell r="DF113">
            <v>0</v>
          </cell>
          <cell r="DH113">
            <v>0</v>
          </cell>
        </row>
        <row r="114">
          <cell r="B114" t="str">
            <v>CHE</v>
          </cell>
          <cell r="D114" t="str">
            <v>COMMUNITY HEALTH EDUCATION</v>
          </cell>
          <cell r="F114" t="str">
            <v>F4</v>
          </cell>
          <cell r="H114">
            <v>907343.67696549464</v>
          </cell>
          <cell r="J114">
            <v>427663.16000000003</v>
          </cell>
          <cell r="L114">
            <v>1335006.8369654948</v>
          </cell>
          <cell r="N114">
            <v>9.4969951923076934</v>
          </cell>
          <cell r="O114" t="str">
            <v>CHE</v>
          </cell>
          <cell r="P114">
            <v>907.3</v>
          </cell>
          <cell r="R114">
            <v>427.7</v>
          </cell>
          <cell r="T114">
            <v>1335</v>
          </cell>
          <cell r="AD114">
            <v>907.3</v>
          </cell>
          <cell r="AF114">
            <v>427.7</v>
          </cell>
          <cell r="AH114">
            <v>1335</v>
          </cell>
          <cell r="AJ114">
            <v>9.4969951923076934</v>
          </cell>
          <cell r="AL114">
            <v>0</v>
          </cell>
          <cell r="AN114">
            <v>0</v>
          </cell>
          <cell r="AP114">
            <v>0</v>
          </cell>
          <cell r="AR114">
            <v>0</v>
          </cell>
          <cell r="AT114">
            <v>0</v>
          </cell>
          <cell r="AV114">
            <v>0</v>
          </cell>
          <cell r="AX114">
            <v>0</v>
          </cell>
          <cell r="AZ114">
            <v>0</v>
          </cell>
          <cell r="BB114">
            <v>907.3</v>
          </cell>
          <cell r="BD114">
            <v>427.7</v>
          </cell>
          <cell r="BF114">
            <v>1335</v>
          </cell>
          <cell r="BH114">
            <v>9.4969951923076934</v>
          </cell>
          <cell r="BN114">
            <v>0</v>
          </cell>
          <cell r="BR114">
            <v>907.3</v>
          </cell>
          <cell r="BT114">
            <v>427.7</v>
          </cell>
          <cell r="BV114">
            <v>1335</v>
          </cell>
          <cell r="BX114">
            <v>9.4969951923076934</v>
          </cell>
          <cell r="CB114">
            <v>10.721170000000001</v>
          </cell>
          <cell r="CD114">
            <v>10.721170000000001</v>
          </cell>
          <cell r="CG114" t="str">
            <v>CHE</v>
          </cell>
          <cell r="CH114">
            <v>51.597313997477002</v>
          </cell>
          <cell r="CJ114">
            <v>82.879835175143796</v>
          </cell>
          <cell r="CL114">
            <v>134.47714917262078</v>
          </cell>
          <cell r="CN114">
            <v>0.48010102679575256</v>
          </cell>
          <cell r="CO114" t="str">
            <v>CHE</v>
          </cell>
          <cell r="CP114">
            <v>969.61848399747703</v>
          </cell>
          <cell r="CR114">
            <v>510.57983517514378</v>
          </cell>
          <cell r="CT114">
            <v>1480.1983191726208</v>
          </cell>
          <cell r="CV114">
            <v>9.977096219103446</v>
          </cell>
          <cell r="CX114">
            <v>35.445999999999998</v>
          </cell>
          <cell r="CZ114">
            <v>-1444.7523191726209</v>
          </cell>
          <cell r="DD114">
            <v>-1444.7523191726209</v>
          </cell>
          <cell r="DF114">
            <v>-1444.7523191726209</v>
          </cell>
          <cell r="DH114">
            <v>0</v>
          </cell>
        </row>
        <row r="115">
          <cell r="B115" t="str">
            <v>FB1</v>
          </cell>
          <cell r="D115" t="str">
            <v>FRINGE BENEFITS</v>
          </cell>
          <cell r="F115" t="str">
            <v>FB1</v>
          </cell>
          <cell r="H115" t="str">
            <v>XXXXXXXXX</v>
          </cell>
          <cell r="J115" t="str">
            <v>XXXXXXXXX</v>
          </cell>
          <cell r="L115">
            <v>0</v>
          </cell>
          <cell r="N115" t="str">
            <v>XXXXXXXXX</v>
          </cell>
          <cell r="O115" t="str">
            <v>FB1</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N115">
            <v>0</v>
          </cell>
          <cell r="BR115">
            <v>0</v>
          </cell>
          <cell r="BT115">
            <v>0</v>
          </cell>
          <cell r="BV115">
            <v>0</v>
          </cell>
          <cell r="BX115">
            <v>0</v>
          </cell>
          <cell r="CD115">
            <v>0</v>
          </cell>
          <cell r="CG115" t="str">
            <v>FB1</v>
          </cell>
          <cell r="CL115">
            <v>0</v>
          </cell>
          <cell r="CO115" t="str">
            <v>FB1</v>
          </cell>
          <cell r="CP115">
            <v>0</v>
          </cell>
          <cell r="CR115">
            <v>0</v>
          </cell>
          <cell r="CT115">
            <v>0</v>
          </cell>
          <cell r="CV115">
            <v>0</v>
          </cell>
        </row>
        <row r="116">
          <cell r="B116" t="str">
            <v>MSV</v>
          </cell>
          <cell r="D116" t="str">
            <v>MEDICAL SERVICES</v>
          </cell>
          <cell r="F116" t="str">
            <v>MS1</v>
          </cell>
          <cell r="H116" t="str">
            <v>XXXXXXXXX</v>
          </cell>
          <cell r="J116" t="str">
            <v>XXXXXXXXX</v>
          </cell>
          <cell r="L116">
            <v>0</v>
          </cell>
          <cell r="N116" t="str">
            <v>XXXXXXXXX</v>
          </cell>
          <cell r="O116" t="str">
            <v>MSV</v>
          </cell>
          <cell r="P116">
            <v>0</v>
          </cell>
          <cell r="R116">
            <v>0</v>
          </cell>
          <cell r="T116">
            <v>0</v>
          </cell>
          <cell r="AD116">
            <v>0</v>
          </cell>
          <cell r="AF116">
            <v>0</v>
          </cell>
          <cell r="AH116">
            <v>0</v>
          </cell>
          <cell r="AJ116">
            <v>0</v>
          </cell>
          <cell r="AT116">
            <v>0</v>
          </cell>
          <cell r="AV116">
            <v>0</v>
          </cell>
          <cell r="AX116">
            <v>0</v>
          </cell>
          <cell r="AZ116">
            <v>0</v>
          </cell>
          <cell r="BB116">
            <v>0</v>
          </cell>
          <cell r="BD116">
            <v>0</v>
          </cell>
          <cell r="BF116">
            <v>0</v>
          </cell>
          <cell r="BH116">
            <v>0</v>
          </cell>
          <cell r="BN116">
            <v>0</v>
          </cell>
          <cell r="BR116">
            <v>0</v>
          </cell>
          <cell r="BT116">
            <v>0</v>
          </cell>
          <cell r="BV116">
            <v>0</v>
          </cell>
          <cell r="BX116">
            <v>0</v>
          </cell>
          <cell r="CD116">
            <v>0</v>
          </cell>
          <cell r="CG116" t="str">
            <v>MSV</v>
          </cell>
          <cell r="CL116">
            <v>0</v>
          </cell>
          <cell r="CO116" t="str">
            <v>MSV</v>
          </cell>
          <cell r="CP116">
            <v>0</v>
          </cell>
          <cell r="CR116">
            <v>0</v>
          </cell>
          <cell r="CT116">
            <v>0</v>
          </cell>
          <cell r="CV116">
            <v>0</v>
          </cell>
        </row>
        <row r="117">
          <cell r="B117" t="str">
            <v>P1</v>
          </cell>
          <cell r="D117" t="str">
            <v>HOSPITAL BASED PHYSICIANS</v>
          </cell>
          <cell r="F117" t="str">
            <v>P01</v>
          </cell>
          <cell r="H117">
            <v>3891386</v>
          </cell>
          <cell r="J117" t="str">
            <v>XXXXXXXXX</v>
          </cell>
          <cell r="L117">
            <v>3891386</v>
          </cell>
          <cell r="N117">
            <v>16.920417969527719</v>
          </cell>
          <cell r="O117" t="str">
            <v>P1</v>
          </cell>
          <cell r="P117">
            <v>3891.4</v>
          </cell>
          <cell r="R117">
            <v>0</v>
          </cell>
          <cell r="T117">
            <v>3891.4</v>
          </cell>
          <cell r="AD117">
            <v>3891.4</v>
          </cell>
          <cell r="AF117">
            <v>0</v>
          </cell>
          <cell r="AH117">
            <v>3891.4</v>
          </cell>
          <cell r="AJ117">
            <v>16.920417969527719</v>
          </cell>
          <cell r="AT117">
            <v>0</v>
          </cell>
          <cell r="AV117">
            <v>0</v>
          </cell>
          <cell r="AX117">
            <v>0</v>
          </cell>
          <cell r="AZ117">
            <v>0</v>
          </cell>
          <cell r="BB117">
            <v>3891.4</v>
          </cell>
          <cell r="BD117">
            <v>0</v>
          </cell>
          <cell r="BF117">
            <v>3891.4</v>
          </cell>
          <cell r="BH117">
            <v>16.920417969527719</v>
          </cell>
          <cell r="BJ117">
            <v>-3891.3855477230186</v>
          </cell>
          <cell r="BN117">
            <v>-3891.3855477230186</v>
          </cell>
          <cell r="BP117">
            <v>-16.920417969527719</v>
          </cell>
          <cell r="BR117">
            <v>1.44522769815012E-2</v>
          </cell>
          <cell r="BT117">
            <v>0</v>
          </cell>
          <cell r="BV117">
            <v>1.44522769815012E-2</v>
          </cell>
          <cell r="BX117">
            <v>0</v>
          </cell>
          <cell r="CD117">
            <v>0</v>
          </cell>
          <cell r="CG117" t="str">
            <v>P1</v>
          </cell>
          <cell r="CL117">
            <v>0</v>
          </cell>
          <cell r="CO117" t="str">
            <v>P1</v>
          </cell>
          <cell r="CP117">
            <v>1.44522769815012E-2</v>
          </cell>
          <cell r="CR117">
            <v>0</v>
          </cell>
          <cell r="CT117">
            <v>1.44522769815012E-2</v>
          </cell>
          <cell r="CV117">
            <v>0</v>
          </cell>
        </row>
        <row r="118">
          <cell r="B118" t="str">
            <v>P2</v>
          </cell>
          <cell r="D118" t="str">
            <v>PHYSICIAN PART B SERVICES</v>
          </cell>
          <cell r="F118" t="str">
            <v>P02</v>
          </cell>
          <cell r="H118" t="str">
            <v>XXXXXXXXX</v>
          </cell>
          <cell r="J118" t="str">
            <v>XXXXXXXXX</v>
          </cell>
          <cell r="L118">
            <v>0</v>
          </cell>
          <cell r="N118" t="str">
            <v>XXXXXXXXX</v>
          </cell>
          <cell r="O118" t="str">
            <v>P2</v>
          </cell>
          <cell r="P118">
            <v>0</v>
          </cell>
          <cell r="R118">
            <v>0</v>
          </cell>
          <cell r="T118">
            <v>0</v>
          </cell>
          <cell r="X118">
            <v>0</v>
          </cell>
          <cell r="Z118">
            <v>0</v>
          </cell>
          <cell r="AD118">
            <v>0</v>
          </cell>
          <cell r="AF118">
            <v>0</v>
          </cell>
          <cell r="AH118">
            <v>0</v>
          </cell>
          <cell r="AJ118">
            <v>0</v>
          </cell>
          <cell r="AT118">
            <v>0</v>
          </cell>
          <cell r="AV118">
            <v>0</v>
          </cell>
          <cell r="AX118">
            <v>0</v>
          </cell>
          <cell r="AZ118">
            <v>0</v>
          </cell>
          <cell r="BB118">
            <v>0</v>
          </cell>
          <cell r="BD118">
            <v>0</v>
          </cell>
          <cell r="BF118">
            <v>0</v>
          </cell>
          <cell r="BH118">
            <v>0</v>
          </cell>
          <cell r="BJ118">
            <v>0</v>
          </cell>
          <cell r="BN118">
            <v>0</v>
          </cell>
          <cell r="BP118">
            <v>0</v>
          </cell>
          <cell r="BR118">
            <v>0</v>
          </cell>
          <cell r="BT118">
            <v>0</v>
          </cell>
          <cell r="BV118">
            <v>0</v>
          </cell>
          <cell r="BX118">
            <v>0</v>
          </cell>
          <cell r="CB118">
            <v>0</v>
          </cell>
          <cell r="CD118">
            <v>0</v>
          </cell>
          <cell r="CG118" t="str">
            <v>P2</v>
          </cell>
          <cell r="CL118">
            <v>0</v>
          </cell>
          <cell r="CO118" t="str">
            <v>P2</v>
          </cell>
          <cell r="CP118">
            <v>0</v>
          </cell>
          <cell r="CR118">
            <v>0</v>
          </cell>
          <cell r="CT118">
            <v>0</v>
          </cell>
          <cell r="CV118">
            <v>0</v>
          </cell>
        </row>
        <row r="119">
          <cell r="B119" t="str">
            <v>P3</v>
          </cell>
          <cell r="D119" t="str">
            <v>PHYSICIAN SUPPORT SERVICES</v>
          </cell>
          <cell r="F119" t="str">
            <v>P03</v>
          </cell>
          <cell r="H119">
            <v>668577</v>
          </cell>
          <cell r="J119" t="str">
            <v>XXXXXXXXX</v>
          </cell>
          <cell r="L119">
            <v>668577</v>
          </cell>
          <cell r="N119">
            <v>4.0580528846153854</v>
          </cell>
          <cell r="O119" t="str">
            <v>P3</v>
          </cell>
          <cell r="P119">
            <v>668.6</v>
          </cell>
          <cell r="R119">
            <v>0</v>
          </cell>
          <cell r="T119">
            <v>668.6</v>
          </cell>
          <cell r="AD119">
            <v>668.6</v>
          </cell>
          <cell r="AF119">
            <v>0</v>
          </cell>
          <cell r="AH119">
            <v>668.6</v>
          </cell>
          <cell r="AJ119">
            <v>4.0580528846153854</v>
          </cell>
          <cell r="AT119">
            <v>0</v>
          </cell>
          <cell r="AV119">
            <v>0</v>
          </cell>
          <cell r="AX119">
            <v>0</v>
          </cell>
          <cell r="AZ119">
            <v>0</v>
          </cell>
          <cell r="BB119">
            <v>668.6</v>
          </cell>
          <cell r="BD119">
            <v>0</v>
          </cell>
          <cell r="BF119">
            <v>668.6</v>
          </cell>
          <cell r="BH119">
            <v>4.0580528846153854</v>
          </cell>
          <cell r="BN119">
            <v>0</v>
          </cell>
          <cell r="BR119">
            <v>668.6</v>
          </cell>
          <cell r="BT119">
            <v>0</v>
          </cell>
          <cell r="BV119">
            <v>668.6</v>
          </cell>
          <cell r="BX119">
            <v>4.0580528846153854</v>
          </cell>
          <cell r="CB119">
            <v>4.36069</v>
          </cell>
          <cell r="CD119">
            <v>4.36069</v>
          </cell>
          <cell r="CG119" t="str">
            <v>P3</v>
          </cell>
          <cell r="CL119">
            <v>0</v>
          </cell>
          <cell r="CO119" t="str">
            <v>P3</v>
          </cell>
          <cell r="CP119">
            <v>672.96069</v>
          </cell>
          <cell r="CR119">
            <v>0</v>
          </cell>
          <cell r="CT119">
            <v>672.96069</v>
          </cell>
          <cell r="CV119">
            <v>4.0580528846153854</v>
          </cell>
        </row>
        <row r="120">
          <cell r="B120" t="str">
            <v>P4</v>
          </cell>
          <cell r="D120" t="str">
            <v>RESIDENT, INTERN SERVICES</v>
          </cell>
          <cell r="F120" t="str">
            <v>P04</v>
          </cell>
          <cell r="H120">
            <v>0</v>
          </cell>
          <cell r="J120">
            <v>0</v>
          </cell>
          <cell r="L120">
            <v>0</v>
          </cell>
          <cell r="N120">
            <v>0</v>
          </cell>
          <cell r="O120" t="str">
            <v>P4</v>
          </cell>
          <cell r="P120">
            <v>0</v>
          </cell>
          <cell r="R120">
            <v>0</v>
          </cell>
          <cell r="T120">
            <v>0</v>
          </cell>
          <cell r="AD120">
            <v>0</v>
          </cell>
          <cell r="AF120">
            <v>0</v>
          </cell>
          <cell r="AH120">
            <v>0</v>
          </cell>
          <cell r="AJ120">
            <v>0</v>
          </cell>
          <cell r="AT120">
            <v>0</v>
          </cell>
          <cell r="AV120">
            <v>0</v>
          </cell>
          <cell r="AX120">
            <v>0</v>
          </cell>
          <cell r="AZ120">
            <v>0</v>
          </cell>
          <cell r="BB120">
            <v>0</v>
          </cell>
          <cell r="BD120">
            <v>0</v>
          </cell>
          <cell r="BF120">
            <v>0</v>
          </cell>
          <cell r="BH120">
            <v>0</v>
          </cell>
          <cell r="BJ120">
            <v>0</v>
          </cell>
          <cell r="BN120">
            <v>0</v>
          </cell>
          <cell r="BP120">
            <v>0</v>
          </cell>
          <cell r="BR120">
            <v>0</v>
          </cell>
          <cell r="BT120">
            <v>0</v>
          </cell>
          <cell r="BV120">
            <v>0</v>
          </cell>
          <cell r="BX120">
            <v>0</v>
          </cell>
          <cell r="CB120">
            <v>0</v>
          </cell>
          <cell r="CD120">
            <v>0</v>
          </cell>
          <cell r="CG120" t="str">
            <v>P4</v>
          </cell>
          <cell r="CL120">
            <v>0</v>
          </cell>
          <cell r="CO120" t="str">
            <v>P4</v>
          </cell>
          <cell r="CP120">
            <v>0</v>
          </cell>
          <cell r="CR120">
            <v>0</v>
          </cell>
          <cell r="CT120">
            <v>0</v>
          </cell>
          <cell r="CV120">
            <v>0</v>
          </cell>
        </row>
        <row r="121">
          <cell r="B121" t="str">
            <v>P5</v>
          </cell>
          <cell r="D121" t="str">
            <v>RESIDENT, INTERN INELIGIBLE</v>
          </cell>
          <cell r="F121" t="str">
            <v>P05</v>
          </cell>
          <cell r="H121">
            <v>0</v>
          </cell>
          <cell r="J121">
            <v>0</v>
          </cell>
          <cell r="L121">
            <v>0</v>
          </cell>
          <cell r="N121">
            <v>0</v>
          </cell>
          <cell r="O121" t="str">
            <v>P5</v>
          </cell>
          <cell r="P121">
            <v>0</v>
          </cell>
          <cell r="R121">
            <v>0</v>
          </cell>
          <cell r="T121">
            <v>0</v>
          </cell>
          <cell r="AD121">
            <v>0</v>
          </cell>
          <cell r="AF121">
            <v>0</v>
          </cell>
          <cell r="AH121">
            <v>0</v>
          </cell>
          <cell r="AJ121">
            <v>0</v>
          </cell>
          <cell r="AT121">
            <v>0</v>
          </cell>
          <cell r="AV121">
            <v>0</v>
          </cell>
          <cell r="AX121">
            <v>0</v>
          </cell>
          <cell r="AZ121">
            <v>0</v>
          </cell>
          <cell r="BB121">
            <v>0</v>
          </cell>
          <cell r="BD121">
            <v>0</v>
          </cell>
          <cell r="BF121">
            <v>0</v>
          </cell>
          <cell r="BH121">
            <v>0</v>
          </cell>
          <cell r="BJ121">
            <v>0</v>
          </cell>
          <cell r="BN121">
            <v>0</v>
          </cell>
          <cell r="BP121">
            <v>0</v>
          </cell>
          <cell r="BR121">
            <v>0</v>
          </cell>
          <cell r="BT121">
            <v>0</v>
          </cell>
          <cell r="BV121">
            <v>0</v>
          </cell>
          <cell r="BX121">
            <v>0</v>
          </cell>
          <cell r="CB121">
            <v>0</v>
          </cell>
          <cell r="CD121">
            <v>0</v>
          </cell>
          <cell r="CG121" t="str">
            <v>P5</v>
          </cell>
          <cell r="CL121">
            <v>0</v>
          </cell>
          <cell r="CO121" t="str">
            <v>P4</v>
          </cell>
          <cell r="CP121">
            <v>0</v>
          </cell>
          <cell r="CR121">
            <v>0</v>
          </cell>
          <cell r="CT121">
            <v>0</v>
          </cell>
          <cell r="CV121">
            <v>0</v>
          </cell>
        </row>
        <row r="122">
          <cell r="B122" t="str">
            <v>MAL</v>
          </cell>
          <cell r="D122" t="str">
            <v>MALPRACTICE</v>
          </cell>
          <cell r="F122" t="str">
            <v>UAMAL</v>
          </cell>
          <cell r="H122">
            <v>0</v>
          </cell>
          <cell r="J122">
            <v>977925.71</v>
          </cell>
          <cell r="L122">
            <v>977925.71</v>
          </cell>
          <cell r="N122">
            <v>0</v>
          </cell>
          <cell r="O122" t="str">
            <v>MAL</v>
          </cell>
          <cell r="P122">
            <v>0</v>
          </cell>
          <cell r="R122">
            <v>977.9</v>
          </cell>
          <cell r="T122">
            <v>977.9</v>
          </cell>
          <cell r="AD122">
            <v>0</v>
          </cell>
          <cell r="AF122">
            <v>977.9</v>
          </cell>
          <cell r="AH122">
            <v>977.9</v>
          </cell>
          <cell r="AJ122">
            <v>0</v>
          </cell>
          <cell r="AT122">
            <v>0</v>
          </cell>
          <cell r="AV122">
            <v>0</v>
          </cell>
          <cell r="AX122">
            <v>0</v>
          </cell>
          <cell r="AZ122">
            <v>0</v>
          </cell>
          <cell r="BB122">
            <v>0</v>
          </cell>
          <cell r="BD122">
            <v>977.9</v>
          </cell>
          <cell r="BF122">
            <v>977.9</v>
          </cell>
          <cell r="BH122">
            <v>0</v>
          </cell>
          <cell r="BN122">
            <v>0</v>
          </cell>
          <cell r="BR122">
            <v>0</v>
          </cell>
          <cell r="BT122">
            <v>977.9</v>
          </cell>
          <cell r="BV122">
            <v>977.9</v>
          </cell>
          <cell r="BX122">
            <v>0</v>
          </cell>
          <cell r="CD122">
            <v>0</v>
          </cell>
          <cell r="CG122" t="str">
            <v>MAL</v>
          </cell>
          <cell r="CH122">
            <v>0</v>
          </cell>
          <cell r="CJ122">
            <v>0</v>
          </cell>
          <cell r="CL122">
            <v>0</v>
          </cell>
          <cell r="CN122">
            <v>0</v>
          </cell>
          <cell r="CO122" t="str">
            <v>MAL</v>
          </cell>
          <cell r="CP122">
            <v>0</v>
          </cell>
          <cell r="CR122">
            <v>977.9</v>
          </cell>
          <cell r="CT122">
            <v>977.9</v>
          </cell>
          <cell r="CV122">
            <v>0</v>
          </cell>
        </row>
        <row r="123">
          <cell r="B123" t="str">
            <v>OIN</v>
          </cell>
          <cell r="D123" t="str">
            <v>OTHER INSURANCE</v>
          </cell>
          <cell r="F123" t="str">
            <v>UAOIN</v>
          </cell>
          <cell r="H123">
            <v>0</v>
          </cell>
          <cell r="J123">
            <v>0</v>
          </cell>
          <cell r="L123">
            <v>0</v>
          </cell>
          <cell r="N123">
            <v>0</v>
          </cell>
          <cell r="O123" t="str">
            <v>OIN</v>
          </cell>
          <cell r="P123">
            <v>0</v>
          </cell>
          <cell r="R123">
            <v>0</v>
          </cell>
          <cell r="T123">
            <v>0</v>
          </cell>
          <cell r="AD123">
            <v>0</v>
          </cell>
          <cell r="AF123">
            <v>0</v>
          </cell>
          <cell r="AH123">
            <v>0</v>
          </cell>
          <cell r="AJ123">
            <v>0</v>
          </cell>
          <cell r="AT123">
            <v>0</v>
          </cell>
          <cell r="AV123">
            <v>0</v>
          </cell>
          <cell r="AX123">
            <v>0</v>
          </cell>
          <cell r="AZ123">
            <v>0</v>
          </cell>
          <cell r="BB123">
            <v>0</v>
          </cell>
          <cell r="BD123">
            <v>0</v>
          </cell>
          <cell r="BF123">
            <v>0</v>
          </cell>
          <cell r="BH123">
            <v>0</v>
          </cell>
          <cell r="BN123">
            <v>0</v>
          </cell>
          <cell r="BR123">
            <v>0</v>
          </cell>
          <cell r="BT123">
            <v>0</v>
          </cell>
          <cell r="BV123">
            <v>0</v>
          </cell>
          <cell r="BX123">
            <v>0</v>
          </cell>
          <cell r="CD123">
            <v>0</v>
          </cell>
          <cell r="CG123" t="str">
            <v>OIN</v>
          </cell>
          <cell r="CH123">
            <v>0</v>
          </cell>
          <cell r="CJ123">
            <v>0</v>
          </cell>
          <cell r="CL123">
            <v>0</v>
          </cell>
          <cell r="CN123">
            <v>0</v>
          </cell>
          <cell r="CO123" t="str">
            <v>OIN</v>
          </cell>
          <cell r="CP123">
            <v>0</v>
          </cell>
          <cell r="CR123">
            <v>0</v>
          </cell>
          <cell r="CT123">
            <v>0</v>
          </cell>
          <cell r="CV123">
            <v>0</v>
          </cell>
        </row>
        <row r="124">
          <cell r="B124" t="str">
            <v>MCR</v>
          </cell>
          <cell r="D124" t="str">
            <v>MEDICAL CARE REVIEW</v>
          </cell>
          <cell r="F124" t="str">
            <v>UAMCR</v>
          </cell>
          <cell r="H124">
            <v>2468592.1470983606</v>
          </cell>
          <cell r="J124">
            <v>285280.0127087328</v>
          </cell>
          <cell r="L124">
            <v>2753872.1598070934</v>
          </cell>
          <cell r="N124">
            <v>22.674999999999997</v>
          </cell>
          <cell r="O124" t="str">
            <v>MCR</v>
          </cell>
          <cell r="P124">
            <v>2468.6</v>
          </cell>
          <cell r="R124">
            <v>285.3</v>
          </cell>
          <cell r="T124">
            <v>2753.9</v>
          </cell>
          <cell r="AD124">
            <v>2468.6</v>
          </cell>
          <cell r="AF124">
            <v>285.3</v>
          </cell>
          <cell r="AH124">
            <v>2753.9</v>
          </cell>
          <cell r="AJ124">
            <v>22.674999999999997</v>
          </cell>
          <cell r="AT124">
            <v>0</v>
          </cell>
          <cell r="AV124">
            <v>0</v>
          </cell>
          <cell r="AX124">
            <v>0</v>
          </cell>
          <cell r="AZ124">
            <v>0</v>
          </cell>
          <cell r="BB124">
            <v>2468.6</v>
          </cell>
          <cell r="BD124">
            <v>285.3</v>
          </cell>
          <cell r="BF124">
            <v>2753.9</v>
          </cell>
          <cell r="BH124">
            <v>22.674999999999997</v>
          </cell>
          <cell r="BJ124">
            <v>422.95379068330408</v>
          </cell>
          <cell r="BN124">
            <v>422.95379068330408</v>
          </cell>
          <cell r="BP124">
            <v>0</v>
          </cell>
          <cell r="BR124">
            <v>2891.5537906833042</v>
          </cell>
          <cell r="BT124">
            <v>285.3</v>
          </cell>
          <cell r="BV124">
            <v>3176.8537906833044</v>
          </cell>
          <cell r="BX124">
            <v>22.674999999999997</v>
          </cell>
          <cell r="CD124">
            <v>0</v>
          </cell>
          <cell r="CG124" t="str">
            <v>MCR</v>
          </cell>
          <cell r="CH124">
            <v>0</v>
          </cell>
          <cell r="CJ124">
            <v>0</v>
          </cell>
          <cell r="CL124">
            <v>0</v>
          </cell>
          <cell r="CN124">
            <v>0</v>
          </cell>
          <cell r="CO124" t="str">
            <v>MCR</v>
          </cell>
          <cell r="CP124">
            <v>2891.5537906833042</v>
          </cell>
          <cell r="CR124">
            <v>285.3</v>
          </cell>
          <cell r="CT124">
            <v>3176.8537906833044</v>
          </cell>
          <cell r="CV124">
            <v>22.674999999999997</v>
          </cell>
        </row>
        <row r="125">
          <cell r="B125" t="str">
            <v>DEP</v>
          </cell>
          <cell r="D125" t="str">
            <v>DEPRECIATION</v>
          </cell>
          <cell r="F125" t="str">
            <v>UADEP</v>
          </cell>
          <cell r="H125">
            <v>0</v>
          </cell>
          <cell r="J125">
            <v>13285937.189999999</v>
          </cell>
          <cell r="L125">
            <v>13285937.189999999</v>
          </cell>
          <cell r="N125">
            <v>0</v>
          </cell>
          <cell r="O125" t="str">
            <v>DEP</v>
          </cell>
          <cell r="P125">
            <v>0</v>
          </cell>
          <cell r="R125">
            <v>13285.9</v>
          </cell>
          <cell r="T125">
            <v>13285.9</v>
          </cell>
          <cell r="AD125">
            <v>0</v>
          </cell>
          <cell r="AF125">
            <v>13285.9</v>
          </cell>
          <cell r="AH125">
            <v>13285.9</v>
          </cell>
          <cell r="AJ125">
            <v>0</v>
          </cell>
          <cell r="AT125">
            <v>0</v>
          </cell>
          <cell r="AV125">
            <v>0</v>
          </cell>
          <cell r="AX125">
            <v>0</v>
          </cell>
          <cell r="AZ125">
            <v>0</v>
          </cell>
          <cell r="BB125">
            <v>0</v>
          </cell>
          <cell r="BD125">
            <v>13285.9</v>
          </cell>
          <cell r="BF125">
            <v>13285.9</v>
          </cell>
          <cell r="BH125">
            <v>0</v>
          </cell>
          <cell r="BN125">
            <v>0</v>
          </cell>
          <cell r="BR125">
            <v>0</v>
          </cell>
          <cell r="BT125">
            <v>13285.9</v>
          </cell>
          <cell r="BV125">
            <v>13285.9</v>
          </cell>
          <cell r="BX125">
            <v>0</v>
          </cell>
          <cell r="CD125">
            <v>0</v>
          </cell>
          <cell r="CG125" t="str">
            <v>DEP</v>
          </cell>
          <cell r="CH125">
            <v>0</v>
          </cell>
          <cell r="CJ125">
            <v>-306.15415148351599</v>
          </cell>
          <cell r="CL125">
            <v>-306.15415148351599</v>
          </cell>
          <cell r="CN125">
            <v>0</v>
          </cell>
          <cell r="CO125" t="str">
            <v>DEP</v>
          </cell>
          <cell r="CP125">
            <v>0</v>
          </cell>
          <cell r="CR125">
            <v>12979.745848516484</v>
          </cell>
          <cell r="CT125">
            <v>12979.745848516484</v>
          </cell>
          <cell r="CV125">
            <v>0</v>
          </cell>
        </row>
        <row r="126">
          <cell r="B126" t="str">
            <v>LEA</v>
          </cell>
          <cell r="D126" t="str">
            <v>LEASES &amp; RENTALS</v>
          </cell>
          <cell r="F126" t="str">
            <v>UALEASE</v>
          </cell>
          <cell r="H126">
            <v>0.38073660706064782</v>
          </cell>
          <cell r="J126">
            <v>5221218.2799999993</v>
          </cell>
          <cell r="L126">
            <v>5221218.6607366065</v>
          </cell>
          <cell r="N126">
            <v>0</v>
          </cell>
          <cell r="O126" t="str">
            <v>LEA</v>
          </cell>
          <cell r="P126">
            <v>0</v>
          </cell>
          <cell r="R126">
            <v>5221.2</v>
          </cell>
          <cell r="T126">
            <v>5221.2</v>
          </cell>
          <cell r="AD126">
            <v>0</v>
          </cell>
          <cell r="AF126">
            <v>5221.2</v>
          </cell>
          <cell r="AH126">
            <v>5221.2</v>
          </cell>
          <cell r="AJ126">
            <v>0</v>
          </cell>
          <cell r="AT126">
            <v>0</v>
          </cell>
          <cell r="AV126">
            <v>0</v>
          </cell>
          <cell r="AX126">
            <v>0</v>
          </cell>
          <cell r="AZ126">
            <v>0</v>
          </cell>
          <cell r="BB126">
            <v>0</v>
          </cell>
          <cell r="BD126">
            <v>5221.2</v>
          </cell>
          <cell r="BF126">
            <v>5221.2</v>
          </cell>
          <cell r="BH126">
            <v>0</v>
          </cell>
          <cell r="BN126">
            <v>0</v>
          </cell>
          <cell r="BR126">
            <v>0</v>
          </cell>
          <cell r="BT126">
            <v>5221.2</v>
          </cell>
          <cell r="BV126">
            <v>5221.2</v>
          </cell>
          <cell r="BX126">
            <v>0</v>
          </cell>
          <cell r="CD126">
            <v>0</v>
          </cell>
          <cell r="CG126" t="str">
            <v>LEA</v>
          </cell>
          <cell r="CH126">
            <v>0</v>
          </cell>
          <cell r="CJ126">
            <v>-2002.4093499999999</v>
          </cell>
          <cell r="CL126">
            <v>-2002.4093499999999</v>
          </cell>
          <cell r="CN126">
            <v>0</v>
          </cell>
          <cell r="CO126" t="str">
            <v>LEA</v>
          </cell>
          <cell r="CP126">
            <v>0</v>
          </cell>
          <cell r="CR126">
            <v>3218.7906499999999</v>
          </cell>
          <cell r="CT126">
            <v>3218.7906499999999</v>
          </cell>
          <cell r="CV126">
            <v>0</v>
          </cell>
        </row>
        <row r="127">
          <cell r="B127" t="str">
            <v>LIC</v>
          </cell>
          <cell r="D127" t="str">
            <v>LICENSE &amp; TAXES</v>
          </cell>
          <cell r="F127" t="str">
            <v>UALIC</v>
          </cell>
          <cell r="H127">
            <v>0</v>
          </cell>
          <cell r="J127">
            <v>406866.33</v>
          </cell>
          <cell r="L127">
            <v>406866.33</v>
          </cell>
          <cell r="M127" t="str">
            <v>Allocate</v>
          </cell>
          <cell r="N127">
            <v>0</v>
          </cell>
          <cell r="O127" t="str">
            <v>LIC</v>
          </cell>
          <cell r="P127">
            <v>0</v>
          </cell>
          <cell r="R127">
            <v>406.9</v>
          </cell>
          <cell r="T127">
            <v>406.9</v>
          </cell>
          <cell r="AD127">
            <v>0</v>
          </cell>
          <cell r="AF127">
            <v>406.9</v>
          </cell>
          <cell r="AH127">
            <v>406.9</v>
          </cell>
          <cell r="AJ127">
            <v>0</v>
          </cell>
          <cell r="AT127">
            <v>0</v>
          </cell>
          <cell r="AV127">
            <v>0</v>
          </cell>
          <cell r="AX127">
            <v>0</v>
          </cell>
          <cell r="AZ127">
            <v>0</v>
          </cell>
          <cell r="BB127">
            <v>0</v>
          </cell>
          <cell r="BD127">
            <v>406.9</v>
          </cell>
          <cell r="BF127">
            <v>406.9</v>
          </cell>
          <cell r="BH127">
            <v>0</v>
          </cell>
          <cell r="BN127">
            <v>0</v>
          </cell>
          <cell r="BR127">
            <v>0</v>
          </cell>
          <cell r="BT127">
            <v>406.9</v>
          </cell>
          <cell r="BV127">
            <v>406.9</v>
          </cell>
          <cell r="BX127">
            <v>0</v>
          </cell>
          <cell r="CD127">
            <v>0</v>
          </cell>
          <cell r="CG127" t="str">
            <v>LIC</v>
          </cell>
          <cell r="CH127">
            <v>0</v>
          </cell>
          <cell r="CJ127">
            <v>0</v>
          </cell>
          <cell r="CL127">
            <v>0</v>
          </cell>
          <cell r="CN127">
            <v>0</v>
          </cell>
          <cell r="CO127" t="str">
            <v>LIC</v>
          </cell>
          <cell r="CP127">
            <v>0</v>
          </cell>
          <cell r="CR127">
            <v>406.9</v>
          </cell>
          <cell r="CT127">
            <v>406.9</v>
          </cell>
          <cell r="CV127">
            <v>0</v>
          </cell>
        </row>
        <row r="128">
          <cell r="B128" t="str">
            <v>IST</v>
          </cell>
          <cell r="D128" t="str">
            <v>INTEREST SHORT TERM</v>
          </cell>
          <cell r="F128" t="str">
            <v>UAIST</v>
          </cell>
          <cell r="H128">
            <v>0</v>
          </cell>
          <cell r="J128">
            <v>0</v>
          </cell>
          <cell r="L128">
            <v>0</v>
          </cell>
          <cell r="M128" t="str">
            <v>Loss as</v>
          </cell>
          <cell r="N128">
            <v>0</v>
          </cell>
          <cell r="O128" t="str">
            <v>IST</v>
          </cell>
          <cell r="P128">
            <v>0</v>
          </cell>
          <cell r="R128">
            <v>0</v>
          </cell>
          <cell r="T128">
            <v>0</v>
          </cell>
          <cell r="AD128">
            <v>0</v>
          </cell>
          <cell r="AF128">
            <v>0</v>
          </cell>
          <cell r="AH128">
            <v>0</v>
          </cell>
          <cell r="AJ128">
            <v>0</v>
          </cell>
          <cell r="AT128">
            <v>0</v>
          </cell>
          <cell r="AV128">
            <v>0</v>
          </cell>
          <cell r="AX128">
            <v>0</v>
          </cell>
          <cell r="AZ128">
            <v>0</v>
          </cell>
          <cell r="BB128">
            <v>0</v>
          </cell>
          <cell r="BD128">
            <v>0</v>
          </cell>
          <cell r="BF128">
            <v>0</v>
          </cell>
          <cell r="BH128">
            <v>0</v>
          </cell>
          <cell r="BN128">
            <v>0</v>
          </cell>
          <cell r="BR128">
            <v>0</v>
          </cell>
          <cell r="BT128">
            <v>0</v>
          </cell>
          <cell r="BV128">
            <v>0</v>
          </cell>
          <cell r="BX128">
            <v>0</v>
          </cell>
          <cell r="CD128">
            <v>0</v>
          </cell>
          <cell r="CG128" t="str">
            <v>IST</v>
          </cell>
          <cell r="CH128">
            <v>0</v>
          </cell>
          <cell r="CJ128">
            <v>0</v>
          </cell>
          <cell r="CL128">
            <v>0</v>
          </cell>
          <cell r="CN128">
            <v>0</v>
          </cell>
          <cell r="CO128" t="str">
            <v>IST</v>
          </cell>
          <cell r="CP128">
            <v>0</v>
          </cell>
          <cell r="CR128">
            <v>0</v>
          </cell>
          <cell r="CT128">
            <v>0</v>
          </cell>
          <cell r="CV128">
            <v>0</v>
          </cell>
        </row>
        <row r="129">
          <cell r="B129" t="str">
            <v>ILT</v>
          </cell>
          <cell r="D129" t="str">
            <v>INTEREST LONG TERM</v>
          </cell>
          <cell r="F129" t="str">
            <v>UAILT</v>
          </cell>
          <cell r="H129">
            <v>0</v>
          </cell>
          <cell r="J129">
            <v>8851974.9900000002</v>
          </cell>
          <cell r="L129">
            <v>8851974.9900000002</v>
          </cell>
          <cell r="M129" t="str">
            <v>Fringe?</v>
          </cell>
          <cell r="N129">
            <v>0</v>
          </cell>
          <cell r="O129" t="str">
            <v>ILT</v>
          </cell>
          <cell r="P129">
            <v>0</v>
          </cell>
          <cell r="R129">
            <v>8852</v>
          </cell>
          <cell r="T129">
            <v>8852</v>
          </cell>
          <cell r="AD129">
            <v>0</v>
          </cell>
          <cell r="AF129">
            <v>8852</v>
          </cell>
          <cell r="AH129">
            <v>8852</v>
          </cell>
          <cell r="AJ129">
            <v>0</v>
          </cell>
          <cell r="AT129">
            <v>0</v>
          </cell>
          <cell r="AV129">
            <v>0</v>
          </cell>
          <cell r="AX129">
            <v>0</v>
          </cell>
          <cell r="AZ129">
            <v>0</v>
          </cell>
          <cell r="BB129">
            <v>0</v>
          </cell>
          <cell r="BD129">
            <v>8852</v>
          </cell>
          <cell r="BF129">
            <v>8852</v>
          </cell>
          <cell r="BH129">
            <v>0</v>
          </cell>
          <cell r="BN129">
            <v>0</v>
          </cell>
          <cell r="BR129">
            <v>0</v>
          </cell>
          <cell r="BT129">
            <v>8852</v>
          </cell>
          <cell r="BV129">
            <v>8852</v>
          </cell>
          <cell r="BX129">
            <v>0</v>
          </cell>
          <cell r="CD129">
            <v>0</v>
          </cell>
          <cell r="CG129" t="str">
            <v>ILT</v>
          </cell>
          <cell r="CH129">
            <v>0</v>
          </cell>
          <cell r="CJ129">
            <v>0</v>
          </cell>
          <cell r="CL129">
            <v>0</v>
          </cell>
          <cell r="CN129">
            <v>0</v>
          </cell>
          <cell r="CO129" t="str">
            <v>ILT</v>
          </cell>
          <cell r="CP129">
            <v>0</v>
          </cell>
          <cell r="CR129">
            <v>8852</v>
          </cell>
          <cell r="CT129">
            <v>8852</v>
          </cell>
          <cell r="CV129">
            <v>0</v>
          </cell>
        </row>
        <row r="130">
          <cell r="B130" t="str">
            <v>FSC1</v>
          </cell>
          <cell r="D130" t="str">
            <v>FREE STANDING CLINIC SERVICES</v>
          </cell>
          <cell r="F130" t="str">
            <v>UR1</v>
          </cell>
          <cell r="H130">
            <v>0</v>
          </cell>
          <cell r="J130">
            <v>0</v>
          </cell>
          <cell r="L130">
            <v>0</v>
          </cell>
          <cell r="N130">
            <v>0</v>
          </cell>
          <cell r="O130" t="str">
            <v>FSC1</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FSC1</v>
          </cell>
          <cell r="CH130">
            <v>0</v>
          </cell>
          <cell r="CJ130">
            <v>0</v>
          </cell>
          <cell r="CL130">
            <v>0</v>
          </cell>
          <cell r="CN130">
            <v>0</v>
          </cell>
          <cell r="CO130" t="str">
            <v>FSC</v>
          </cell>
          <cell r="CP130">
            <v>0</v>
          </cell>
          <cell r="CR130">
            <v>0</v>
          </cell>
          <cell r="CT130">
            <v>0</v>
          </cell>
          <cell r="CV130">
            <v>0</v>
          </cell>
          <cell r="CX130">
            <v>0</v>
          </cell>
          <cell r="CZ130">
            <v>0</v>
          </cell>
        </row>
        <row r="131">
          <cell r="B131" t="str">
            <v>HHC</v>
          </cell>
          <cell r="D131" t="str">
            <v>HOME HEALTH CARE</v>
          </cell>
          <cell r="F131" t="str">
            <v>UR2</v>
          </cell>
          <cell r="H131">
            <v>0</v>
          </cell>
          <cell r="J131">
            <v>0</v>
          </cell>
          <cell r="L131">
            <v>0</v>
          </cell>
          <cell r="N131">
            <v>0</v>
          </cell>
          <cell r="O131" t="str">
            <v>HHC</v>
          </cell>
          <cell r="P131">
            <v>0</v>
          </cell>
          <cell r="R131">
            <v>0</v>
          </cell>
          <cell r="T131">
            <v>0</v>
          </cell>
          <cell r="AD131">
            <v>0</v>
          </cell>
          <cell r="AF131">
            <v>0</v>
          </cell>
          <cell r="AH131">
            <v>0</v>
          </cell>
          <cell r="AJ131">
            <v>0</v>
          </cell>
          <cell r="AL131">
            <v>0</v>
          </cell>
          <cell r="AN131">
            <v>0</v>
          </cell>
          <cell r="AP131">
            <v>0</v>
          </cell>
          <cell r="AR131">
            <v>0</v>
          </cell>
          <cell r="AT131">
            <v>0</v>
          </cell>
          <cell r="AV131">
            <v>0</v>
          </cell>
          <cell r="AX131">
            <v>0</v>
          </cell>
          <cell r="AZ131">
            <v>0</v>
          </cell>
          <cell r="BB131">
            <v>0</v>
          </cell>
          <cell r="BD131">
            <v>0</v>
          </cell>
          <cell r="BF131">
            <v>0</v>
          </cell>
          <cell r="BH131">
            <v>0</v>
          </cell>
          <cell r="BN131">
            <v>0</v>
          </cell>
          <cell r="BR131">
            <v>0</v>
          </cell>
          <cell r="BT131">
            <v>0</v>
          </cell>
          <cell r="BV131">
            <v>0</v>
          </cell>
          <cell r="BX131">
            <v>0</v>
          </cell>
          <cell r="CB131">
            <v>0</v>
          </cell>
          <cell r="CD131">
            <v>0</v>
          </cell>
          <cell r="CG131" t="str">
            <v>HHC</v>
          </cell>
          <cell r="CH131">
            <v>0</v>
          </cell>
          <cell r="CJ131">
            <v>0</v>
          </cell>
          <cell r="CL131">
            <v>0</v>
          </cell>
          <cell r="CN131">
            <v>0</v>
          </cell>
          <cell r="CO131" t="str">
            <v>HHC</v>
          </cell>
          <cell r="CP131">
            <v>0</v>
          </cell>
          <cell r="CR131">
            <v>0</v>
          </cell>
          <cell r="CT131">
            <v>0</v>
          </cell>
          <cell r="CV131">
            <v>0</v>
          </cell>
          <cell r="CX131">
            <v>0</v>
          </cell>
          <cell r="CZ131">
            <v>0</v>
          </cell>
        </row>
        <row r="132">
          <cell r="B132" t="str">
            <v>ORD</v>
          </cell>
          <cell r="D132" t="str">
            <v>OUTPATIENT RENAL DIALYSIS</v>
          </cell>
          <cell r="F132" t="str">
            <v>UR3</v>
          </cell>
          <cell r="H132">
            <v>0</v>
          </cell>
          <cell r="J132">
            <v>0</v>
          </cell>
          <cell r="L132">
            <v>0</v>
          </cell>
          <cell r="N132">
            <v>0</v>
          </cell>
          <cell r="O132" t="str">
            <v>ORD</v>
          </cell>
          <cell r="P132">
            <v>0</v>
          </cell>
          <cell r="R132">
            <v>0</v>
          </cell>
          <cell r="T132">
            <v>0</v>
          </cell>
          <cell r="AD132">
            <v>0</v>
          </cell>
          <cell r="AF132">
            <v>0</v>
          </cell>
          <cell r="AH132">
            <v>0</v>
          </cell>
          <cell r="AJ132">
            <v>0</v>
          </cell>
          <cell r="AL132">
            <v>0</v>
          </cell>
          <cell r="AN132">
            <v>0</v>
          </cell>
          <cell r="AP132">
            <v>0</v>
          </cell>
          <cell r="AR132">
            <v>0</v>
          </cell>
          <cell r="AT132">
            <v>0</v>
          </cell>
          <cell r="AV132">
            <v>0</v>
          </cell>
          <cell r="AX132">
            <v>0</v>
          </cell>
          <cell r="AZ132">
            <v>0</v>
          </cell>
          <cell r="BB132">
            <v>0</v>
          </cell>
          <cell r="BD132">
            <v>0</v>
          </cell>
          <cell r="BF132">
            <v>0</v>
          </cell>
          <cell r="BH132">
            <v>0</v>
          </cell>
          <cell r="BN132">
            <v>0</v>
          </cell>
          <cell r="BR132">
            <v>0</v>
          </cell>
          <cell r="BT132">
            <v>0</v>
          </cell>
          <cell r="BV132">
            <v>0</v>
          </cell>
          <cell r="BX132">
            <v>0</v>
          </cell>
          <cell r="CB132">
            <v>0</v>
          </cell>
          <cell r="CD132">
            <v>0</v>
          </cell>
          <cell r="CG132" t="str">
            <v>ORD</v>
          </cell>
          <cell r="CH132">
            <v>0</v>
          </cell>
          <cell r="CJ132">
            <v>0</v>
          </cell>
          <cell r="CL132">
            <v>0</v>
          </cell>
          <cell r="CN132">
            <v>0</v>
          </cell>
          <cell r="CO132" t="str">
            <v>ORD</v>
          </cell>
          <cell r="CP132">
            <v>0</v>
          </cell>
          <cell r="CR132">
            <v>0</v>
          </cell>
          <cell r="CT132">
            <v>0</v>
          </cell>
          <cell r="CV132">
            <v>0</v>
          </cell>
          <cell r="CX132">
            <v>0</v>
          </cell>
          <cell r="CZ132">
            <v>0</v>
          </cell>
        </row>
        <row r="133">
          <cell r="B133" t="str">
            <v>ECF1</v>
          </cell>
          <cell r="D133" t="str">
            <v>SKILLED NURSING CARE</v>
          </cell>
          <cell r="F133" t="str">
            <v>UR4</v>
          </cell>
          <cell r="H133">
            <v>0</v>
          </cell>
          <cell r="J133">
            <v>0</v>
          </cell>
          <cell r="L133">
            <v>0</v>
          </cell>
          <cell r="N133">
            <v>0</v>
          </cell>
          <cell r="O133" t="str">
            <v>ECF1</v>
          </cell>
          <cell r="P133">
            <v>0</v>
          </cell>
          <cell r="R133">
            <v>0</v>
          </cell>
          <cell r="T133">
            <v>0</v>
          </cell>
          <cell r="AD133">
            <v>0</v>
          </cell>
          <cell r="AF133">
            <v>0</v>
          </cell>
          <cell r="AH133">
            <v>0</v>
          </cell>
          <cell r="AJ133">
            <v>0</v>
          </cell>
          <cell r="AL133">
            <v>0</v>
          </cell>
          <cell r="AN133">
            <v>0</v>
          </cell>
          <cell r="AP133">
            <v>0</v>
          </cell>
          <cell r="AR133">
            <v>0</v>
          </cell>
          <cell r="AT133">
            <v>0</v>
          </cell>
          <cell r="AV133">
            <v>0</v>
          </cell>
          <cell r="AX133">
            <v>0</v>
          </cell>
          <cell r="AZ133">
            <v>0</v>
          </cell>
          <cell r="BB133">
            <v>0</v>
          </cell>
          <cell r="BD133">
            <v>0</v>
          </cell>
          <cell r="BF133">
            <v>0</v>
          </cell>
          <cell r="BH133">
            <v>0</v>
          </cell>
          <cell r="BN133">
            <v>0</v>
          </cell>
          <cell r="BR133">
            <v>0</v>
          </cell>
          <cell r="BT133">
            <v>0</v>
          </cell>
          <cell r="BV133">
            <v>0</v>
          </cell>
          <cell r="BX133">
            <v>0</v>
          </cell>
          <cell r="CB133">
            <v>0</v>
          </cell>
          <cell r="CD133">
            <v>0</v>
          </cell>
          <cell r="CG133" t="str">
            <v>ECF1</v>
          </cell>
          <cell r="CH133">
            <v>0</v>
          </cell>
          <cell r="CJ133">
            <v>0</v>
          </cell>
          <cell r="CL133">
            <v>0</v>
          </cell>
          <cell r="CN133">
            <v>0</v>
          </cell>
          <cell r="CO133" t="str">
            <v>ECF</v>
          </cell>
          <cell r="CP133">
            <v>0</v>
          </cell>
          <cell r="CR133">
            <v>0</v>
          </cell>
          <cell r="CT133">
            <v>0</v>
          </cell>
          <cell r="CV133">
            <v>0</v>
          </cell>
          <cell r="CX133">
            <v>0</v>
          </cell>
          <cell r="CZ133">
            <v>0</v>
          </cell>
        </row>
        <row r="134">
          <cell r="B134" t="str">
            <v>ULB</v>
          </cell>
          <cell r="D134" t="str">
            <v>LAB NON-PATIENT</v>
          </cell>
          <cell r="F134" t="str">
            <v>UR5</v>
          </cell>
          <cell r="H134">
            <v>1688175.8031052698</v>
          </cell>
          <cell r="J134">
            <v>1232597.9816904822</v>
          </cell>
          <cell r="L134">
            <v>2920773.7847957518</v>
          </cell>
          <cell r="N134">
            <v>24.275772676796858</v>
          </cell>
          <cell r="O134" t="str">
            <v>ULB</v>
          </cell>
          <cell r="P134">
            <v>1688.2</v>
          </cell>
          <cell r="R134">
            <v>1232.5999999999999</v>
          </cell>
          <cell r="T134">
            <v>2920.8</v>
          </cell>
          <cell r="AD134">
            <v>1688.2</v>
          </cell>
          <cell r="AF134">
            <v>1232.5999999999999</v>
          </cell>
          <cell r="AH134">
            <v>2920.8</v>
          </cell>
          <cell r="AJ134">
            <v>24.275772676796858</v>
          </cell>
          <cell r="AL134">
            <v>0</v>
          </cell>
          <cell r="AN134">
            <v>0</v>
          </cell>
          <cell r="AP134">
            <v>0</v>
          </cell>
          <cell r="AR134">
            <v>0</v>
          </cell>
          <cell r="AT134">
            <v>0</v>
          </cell>
          <cell r="AV134">
            <v>0</v>
          </cell>
          <cell r="AX134">
            <v>0</v>
          </cell>
          <cell r="AZ134">
            <v>0</v>
          </cell>
          <cell r="BB134">
            <v>1688.2</v>
          </cell>
          <cell r="BD134">
            <v>1232.5999999999999</v>
          </cell>
          <cell r="BF134">
            <v>2920.8</v>
          </cell>
          <cell r="BH134">
            <v>24.275772676796858</v>
          </cell>
          <cell r="BN134">
            <v>0</v>
          </cell>
          <cell r="BR134">
            <v>1688.2</v>
          </cell>
          <cell r="BT134">
            <v>1232.5999999999999</v>
          </cell>
          <cell r="BV134">
            <v>2920.8</v>
          </cell>
          <cell r="BX134">
            <v>24.275772676796858</v>
          </cell>
          <cell r="CB134">
            <v>0</v>
          </cell>
          <cell r="CD134">
            <v>0</v>
          </cell>
          <cell r="CG134" t="str">
            <v>ULB</v>
          </cell>
          <cell r="CH134">
            <v>117.38802582595271</v>
          </cell>
          <cell r="CJ134">
            <v>287.49004707468299</v>
          </cell>
          <cell r="CL134">
            <v>404.87807290063569</v>
          </cell>
          <cell r="CN134">
            <v>1.1213907861360046</v>
          </cell>
          <cell r="CO134" t="str">
            <v>ULB</v>
          </cell>
          <cell r="CP134">
            <v>1805.5880258259529</v>
          </cell>
          <cell r="CR134">
            <v>1520.0900470746828</v>
          </cell>
          <cell r="CT134">
            <v>3325.6780729006359</v>
          </cell>
          <cell r="CV134">
            <v>25.397163462932863</v>
          </cell>
          <cell r="CX134">
            <v>3769.6938500000001</v>
          </cell>
          <cell r="CZ134">
            <v>444.01577709936419</v>
          </cell>
        </row>
        <row r="135">
          <cell r="B135" t="str">
            <v>UPB</v>
          </cell>
          <cell r="D135" t="str">
            <v>PHYSICIANS PART B SERVICES</v>
          </cell>
          <cell r="F135" t="str">
            <v>UR6</v>
          </cell>
          <cell r="H135">
            <v>206789.11383578976</v>
          </cell>
          <cell r="J135">
            <v>12511376.001431117</v>
          </cell>
          <cell r="L135">
            <v>12718165.115266906</v>
          </cell>
          <cell r="N135">
            <v>7.5556490384615387</v>
          </cell>
          <cell r="O135" t="str">
            <v>UPB</v>
          </cell>
          <cell r="P135">
            <v>206.8</v>
          </cell>
          <cell r="R135">
            <v>12511.4</v>
          </cell>
          <cell r="T135">
            <v>12718.199999999999</v>
          </cell>
          <cell r="X135">
            <v>0</v>
          </cell>
          <cell r="Z135">
            <v>0</v>
          </cell>
          <cell r="AD135">
            <v>206.8</v>
          </cell>
          <cell r="AF135">
            <v>12511.4</v>
          </cell>
          <cell r="AH135">
            <v>12718.199999999999</v>
          </cell>
          <cell r="AJ135">
            <v>7.5556490384615387</v>
          </cell>
          <cell r="AL135">
            <v>0</v>
          </cell>
          <cell r="AN135">
            <v>0</v>
          </cell>
          <cell r="AP135">
            <v>0</v>
          </cell>
          <cell r="AR135">
            <v>0</v>
          </cell>
          <cell r="AT135">
            <v>0</v>
          </cell>
          <cell r="AV135">
            <v>0</v>
          </cell>
          <cell r="AX135">
            <v>0</v>
          </cell>
          <cell r="AZ135">
            <v>0</v>
          </cell>
          <cell r="BB135">
            <v>206.8</v>
          </cell>
          <cell r="BD135">
            <v>12511.4</v>
          </cell>
          <cell r="BF135">
            <v>12718.199999999999</v>
          </cell>
          <cell r="BH135">
            <v>7.5556490384615387</v>
          </cell>
          <cell r="BN135">
            <v>0</v>
          </cell>
          <cell r="BR135">
            <v>206.8</v>
          </cell>
          <cell r="BT135">
            <v>12511.4</v>
          </cell>
          <cell r="BV135">
            <v>12718.199999999999</v>
          </cell>
          <cell r="BX135">
            <v>7.5556490384615387</v>
          </cell>
          <cell r="CB135">
            <v>0</v>
          </cell>
          <cell r="CD135">
            <v>0</v>
          </cell>
          <cell r="CG135" t="str">
            <v>UPB</v>
          </cell>
          <cell r="CH135">
            <v>371.62083823813214</v>
          </cell>
          <cell r="CJ135">
            <v>895.82083321378309</v>
          </cell>
          <cell r="CL135">
            <v>1267.4416714519152</v>
          </cell>
          <cell r="CN135">
            <v>2.2135676886156759</v>
          </cell>
          <cell r="CO135" t="str">
            <v>UPB</v>
          </cell>
          <cell r="CP135">
            <v>578.42083823813209</v>
          </cell>
          <cell r="CR135">
            <v>13407.220833213783</v>
          </cell>
          <cell r="CT135">
            <v>13985.641671451915</v>
          </cell>
          <cell r="CV135">
            <v>9.7692167270772146</v>
          </cell>
          <cell r="CX135">
            <v>-229.87644999999975</v>
          </cell>
          <cell r="CZ135">
            <v>-14215.518121451914</v>
          </cell>
        </row>
        <row r="136">
          <cell r="B136" t="str">
            <v>CNA</v>
          </cell>
          <cell r="D136" t="str">
            <v>CERTIFIED NURSE ANESTHETIST</v>
          </cell>
          <cell r="F136" t="str">
            <v>UR7</v>
          </cell>
          <cell r="H136">
            <v>0</v>
          </cell>
          <cell r="J136">
            <v>0</v>
          </cell>
          <cell r="L136">
            <v>0</v>
          </cell>
          <cell r="N136">
            <v>0</v>
          </cell>
          <cell r="O136" t="str">
            <v>CNA</v>
          </cell>
          <cell r="P136">
            <v>0</v>
          </cell>
          <cell r="R136">
            <v>0</v>
          </cell>
          <cell r="T136">
            <v>0</v>
          </cell>
          <cell r="AD136">
            <v>0</v>
          </cell>
          <cell r="AF136">
            <v>0</v>
          </cell>
          <cell r="AH136">
            <v>0</v>
          </cell>
          <cell r="AJ136">
            <v>0</v>
          </cell>
          <cell r="AL136">
            <v>0</v>
          </cell>
          <cell r="AN136">
            <v>0</v>
          </cell>
          <cell r="AP136">
            <v>0</v>
          </cell>
          <cell r="AR136">
            <v>0</v>
          </cell>
          <cell r="AT136">
            <v>0</v>
          </cell>
          <cell r="AV136">
            <v>0</v>
          </cell>
          <cell r="AX136">
            <v>0</v>
          </cell>
          <cell r="AZ136">
            <v>0</v>
          </cell>
          <cell r="BB136">
            <v>0</v>
          </cell>
          <cell r="BD136">
            <v>0</v>
          </cell>
          <cell r="BF136">
            <v>0</v>
          </cell>
          <cell r="BH136">
            <v>0</v>
          </cell>
          <cell r="BN136">
            <v>0</v>
          </cell>
          <cell r="BR136">
            <v>0</v>
          </cell>
          <cell r="BT136">
            <v>0</v>
          </cell>
          <cell r="BV136">
            <v>0</v>
          </cell>
          <cell r="BX136">
            <v>0</v>
          </cell>
          <cell r="CB136">
            <v>0</v>
          </cell>
          <cell r="CD136">
            <v>0</v>
          </cell>
          <cell r="CG136" t="str">
            <v>CNA</v>
          </cell>
          <cell r="CH136">
            <v>0</v>
          </cell>
          <cell r="CJ136">
            <v>0</v>
          </cell>
          <cell r="CL136">
            <v>0</v>
          </cell>
          <cell r="CN136">
            <v>0</v>
          </cell>
          <cell r="CO136" t="str">
            <v>UPB</v>
          </cell>
          <cell r="CP136">
            <v>0</v>
          </cell>
          <cell r="CR136">
            <v>0</v>
          </cell>
          <cell r="CT136">
            <v>0</v>
          </cell>
          <cell r="CV136">
            <v>0</v>
          </cell>
          <cell r="CX136">
            <v>0</v>
          </cell>
          <cell r="CZ136">
            <v>0</v>
          </cell>
        </row>
        <row r="137">
          <cell r="B137" t="str">
            <v>PSS</v>
          </cell>
          <cell r="D137" t="str">
            <v>Billable Mid Level Providers</v>
          </cell>
          <cell r="F137" t="str">
            <v>UR8</v>
          </cell>
          <cell r="H137">
            <v>93481.982850840257</v>
          </cell>
          <cell r="J137">
            <v>210.9</v>
          </cell>
          <cell r="L137">
            <v>93692.882850840251</v>
          </cell>
          <cell r="N137">
            <v>0.49074519230769231</v>
          </cell>
          <cell r="O137" t="str">
            <v>PSS</v>
          </cell>
          <cell r="P137">
            <v>93.5</v>
          </cell>
          <cell r="R137">
            <v>0.2</v>
          </cell>
          <cell r="T137">
            <v>93.7</v>
          </cell>
          <cell r="AD137">
            <v>93.5</v>
          </cell>
          <cell r="AF137">
            <v>0.2</v>
          </cell>
          <cell r="AH137">
            <v>93.7</v>
          </cell>
          <cell r="AJ137">
            <v>0.49074519230769231</v>
          </cell>
          <cell r="AL137">
            <v>0</v>
          </cell>
          <cell r="AN137">
            <v>0</v>
          </cell>
          <cell r="AP137">
            <v>0</v>
          </cell>
          <cell r="AR137">
            <v>0</v>
          </cell>
          <cell r="AT137">
            <v>0</v>
          </cell>
          <cell r="AV137">
            <v>0</v>
          </cell>
          <cell r="AX137">
            <v>0</v>
          </cell>
          <cell r="AZ137">
            <v>0</v>
          </cell>
          <cell r="BB137">
            <v>93.5</v>
          </cell>
          <cell r="BD137">
            <v>0.2</v>
          </cell>
          <cell r="BF137">
            <v>93.7</v>
          </cell>
          <cell r="BH137">
            <v>0.49074519230769231</v>
          </cell>
          <cell r="BN137">
            <v>0</v>
          </cell>
          <cell r="BR137">
            <v>93.5</v>
          </cell>
          <cell r="BT137">
            <v>0.2</v>
          </cell>
          <cell r="BV137">
            <v>93.7</v>
          </cell>
          <cell r="BX137">
            <v>0.49074519230769231</v>
          </cell>
          <cell r="CB137">
            <v>0</v>
          </cell>
          <cell r="CD137">
            <v>0</v>
          </cell>
          <cell r="CG137" t="str">
            <v>PSS</v>
          </cell>
          <cell r="CH137">
            <v>3.255458683498456</v>
          </cell>
          <cell r="CJ137">
            <v>17.830042915128097</v>
          </cell>
          <cell r="CL137">
            <v>21.085501598626553</v>
          </cell>
          <cell r="CN137">
            <v>1.617334399594594E-2</v>
          </cell>
          <cell r="CO137" t="str">
            <v>UPB</v>
          </cell>
          <cell r="CP137">
            <v>96.75545868349846</v>
          </cell>
          <cell r="CR137">
            <v>18.030042915128096</v>
          </cell>
          <cell r="CT137">
            <v>114.78550159862655</v>
          </cell>
          <cell r="CV137">
            <v>0.50691853630363826</v>
          </cell>
          <cell r="CX137">
            <v>0</v>
          </cell>
          <cell r="CZ137">
            <v>-114.78550159862655</v>
          </cell>
        </row>
        <row r="138">
          <cell r="B138" t="str">
            <v>TBA2</v>
          </cell>
          <cell r="D138" t="str">
            <v>Lactation Center Program</v>
          </cell>
          <cell r="F138" t="str">
            <v>UR9</v>
          </cell>
          <cell r="H138">
            <v>131240.00280973062</v>
          </cell>
          <cell r="J138">
            <v>470</v>
          </cell>
          <cell r="L138">
            <v>131710.00280973062</v>
          </cell>
          <cell r="N138">
            <v>1.5075721153846153</v>
          </cell>
          <cell r="O138" t="str">
            <v>TBA2</v>
          </cell>
          <cell r="P138">
            <v>131.19999999999999</v>
          </cell>
          <cell r="R138">
            <v>0.5</v>
          </cell>
          <cell r="T138">
            <v>131.69999999999999</v>
          </cell>
          <cell r="AD138">
            <v>131.19999999999999</v>
          </cell>
          <cell r="AF138">
            <v>0.5</v>
          </cell>
          <cell r="AH138">
            <v>131.69999999999999</v>
          </cell>
          <cell r="AJ138">
            <v>1.5075721153846153</v>
          </cell>
          <cell r="AL138">
            <v>0</v>
          </cell>
          <cell r="AN138">
            <v>0</v>
          </cell>
          <cell r="AP138">
            <v>0</v>
          </cell>
          <cell r="AR138">
            <v>0</v>
          </cell>
          <cell r="AT138">
            <v>0</v>
          </cell>
          <cell r="AV138">
            <v>0</v>
          </cell>
          <cell r="AX138">
            <v>0</v>
          </cell>
          <cell r="AZ138">
            <v>0</v>
          </cell>
          <cell r="BB138">
            <v>131.19999999999999</v>
          </cell>
          <cell r="BD138">
            <v>0.5</v>
          </cell>
          <cell r="BF138">
            <v>131.69999999999999</v>
          </cell>
          <cell r="BH138">
            <v>1.5075721153846153</v>
          </cell>
          <cell r="BN138">
            <v>0</v>
          </cell>
          <cell r="BR138">
            <v>131.19999999999999</v>
          </cell>
          <cell r="BT138">
            <v>0.5</v>
          </cell>
          <cell r="BV138">
            <v>131.69999999999999</v>
          </cell>
          <cell r="BX138">
            <v>1.5075721153846153</v>
          </cell>
          <cell r="CB138">
            <v>0</v>
          </cell>
          <cell r="CD138">
            <v>0</v>
          </cell>
          <cell r="CG138" t="str">
            <v>TBA2</v>
          </cell>
          <cell r="CH138">
            <v>0</v>
          </cell>
          <cell r="CJ138">
            <v>0</v>
          </cell>
          <cell r="CL138">
            <v>0</v>
          </cell>
          <cell r="CN138">
            <v>0</v>
          </cell>
          <cell r="CO138" t="str">
            <v>UPB</v>
          </cell>
          <cell r="CP138">
            <v>131.19999999999999</v>
          </cell>
          <cell r="CR138">
            <v>0.5</v>
          </cell>
          <cell r="CT138">
            <v>131.69999999999999</v>
          </cell>
          <cell r="CV138">
            <v>1.5075721153846153</v>
          </cell>
          <cell r="CX138">
            <v>0</v>
          </cell>
          <cell r="CZ138">
            <v>-131.69999999999999</v>
          </cell>
        </row>
        <row r="139">
          <cell r="B139" t="str">
            <v>TBA3</v>
          </cell>
          <cell r="F139" t="str">
            <v>UR10</v>
          </cell>
          <cell r="H139">
            <v>0</v>
          </cell>
          <cell r="J139">
            <v>0</v>
          </cell>
          <cell r="L139">
            <v>0</v>
          </cell>
          <cell r="N139">
            <v>0</v>
          </cell>
          <cell r="O139" t="str">
            <v>TBA3</v>
          </cell>
          <cell r="P139">
            <v>0</v>
          </cell>
          <cell r="R139">
            <v>0</v>
          </cell>
          <cell r="T139">
            <v>0</v>
          </cell>
          <cell r="AD139">
            <v>0</v>
          </cell>
          <cell r="AF139">
            <v>0</v>
          </cell>
          <cell r="AH139">
            <v>0</v>
          </cell>
          <cell r="AJ139">
            <v>0</v>
          </cell>
          <cell r="AL139">
            <v>0</v>
          </cell>
          <cell r="AN139">
            <v>0</v>
          </cell>
          <cell r="AP139">
            <v>0</v>
          </cell>
          <cell r="AR139">
            <v>0</v>
          </cell>
          <cell r="AT139">
            <v>0</v>
          </cell>
          <cell r="AV139">
            <v>0</v>
          </cell>
          <cell r="AX139">
            <v>0</v>
          </cell>
          <cell r="AZ139">
            <v>0</v>
          </cell>
          <cell r="BB139">
            <v>0</v>
          </cell>
          <cell r="BD139">
            <v>0</v>
          </cell>
          <cell r="BF139">
            <v>0</v>
          </cell>
          <cell r="BH139">
            <v>0</v>
          </cell>
          <cell r="BN139">
            <v>0</v>
          </cell>
          <cell r="BR139">
            <v>0</v>
          </cell>
          <cell r="BT139">
            <v>0</v>
          </cell>
          <cell r="BV139">
            <v>0</v>
          </cell>
          <cell r="BX139">
            <v>0</v>
          </cell>
          <cell r="CB139">
            <v>0</v>
          </cell>
          <cell r="CD139">
            <v>0</v>
          </cell>
          <cell r="CG139" t="str">
            <v>TBA3</v>
          </cell>
          <cell r="CH139">
            <v>0</v>
          </cell>
          <cell r="CJ139">
            <v>0</v>
          </cell>
          <cell r="CL139">
            <v>0</v>
          </cell>
          <cell r="CN139">
            <v>0</v>
          </cell>
          <cell r="CO139" t="str">
            <v>UPB</v>
          </cell>
          <cell r="CP139">
            <v>0</v>
          </cell>
          <cell r="CR139">
            <v>0</v>
          </cell>
          <cell r="CT139">
            <v>0</v>
          </cell>
          <cell r="CV139">
            <v>0</v>
          </cell>
          <cell r="CX139">
            <v>0</v>
          </cell>
          <cell r="CZ139">
            <v>0</v>
          </cell>
        </row>
        <row r="140">
          <cell r="B140" t="str">
            <v>TBA4</v>
          </cell>
          <cell r="F140" t="str">
            <v>UR11</v>
          </cell>
          <cell r="H140">
            <v>0</v>
          </cell>
          <cell r="J140">
            <v>0</v>
          </cell>
          <cell r="L140">
            <v>0</v>
          </cell>
          <cell r="N140">
            <v>0</v>
          </cell>
          <cell r="O140" t="str">
            <v>TBA4</v>
          </cell>
          <cell r="P140">
            <v>0</v>
          </cell>
          <cell r="R140">
            <v>0</v>
          </cell>
          <cell r="T140">
            <v>0</v>
          </cell>
          <cell r="AD140">
            <v>0</v>
          </cell>
          <cell r="AF140">
            <v>0</v>
          </cell>
          <cell r="AH140">
            <v>0</v>
          </cell>
          <cell r="AJ140">
            <v>0</v>
          </cell>
          <cell r="AL140">
            <v>0</v>
          </cell>
          <cell r="AN140">
            <v>0</v>
          </cell>
          <cell r="AP140">
            <v>0</v>
          </cell>
          <cell r="AR140">
            <v>0</v>
          </cell>
          <cell r="AT140">
            <v>0</v>
          </cell>
          <cell r="AV140">
            <v>0</v>
          </cell>
          <cell r="AX140">
            <v>0</v>
          </cell>
          <cell r="AZ140">
            <v>0</v>
          </cell>
          <cell r="BB140">
            <v>0</v>
          </cell>
          <cell r="BD140">
            <v>0</v>
          </cell>
          <cell r="BF140">
            <v>0</v>
          </cell>
          <cell r="BH140">
            <v>0</v>
          </cell>
          <cell r="BN140">
            <v>0</v>
          </cell>
          <cell r="BR140">
            <v>0</v>
          </cell>
          <cell r="BT140">
            <v>0</v>
          </cell>
          <cell r="BV140">
            <v>0</v>
          </cell>
          <cell r="BX140">
            <v>0</v>
          </cell>
          <cell r="CB140">
            <v>0</v>
          </cell>
          <cell r="CD140">
            <v>0</v>
          </cell>
          <cell r="CG140" t="str">
            <v>TBA4</v>
          </cell>
          <cell r="CH140">
            <v>0</v>
          </cell>
          <cell r="CJ140">
            <v>0</v>
          </cell>
          <cell r="CL140">
            <v>0</v>
          </cell>
          <cell r="CN140">
            <v>0</v>
          </cell>
          <cell r="CO140" t="str">
            <v>UPB</v>
          </cell>
          <cell r="CP140">
            <v>0</v>
          </cell>
          <cell r="CR140">
            <v>0</v>
          </cell>
          <cell r="CT140">
            <v>0</v>
          </cell>
          <cell r="CV140">
            <v>0</v>
          </cell>
          <cell r="CX140">
            <v>0</v>
          </cell>
          <cell r="CZ140">
            <v>0</v>
          </cell>
        </row>
        <row r="141">
          <cell r="B141" t="str">
            <v>TBA5</v>
          </cell>
          <cell r="F141" t="str">
            <v>UR12</v>
          </cell>
          <cell r="H141">
            <v>0</v>
          </cell>
          <cell r="J141">
            <v>0</v>
          </cell>
          <cell r="L141">
            <v>0</v>
          </cell>
          <cell r="N141">
            <v>0</v>
          </cell>
          <cell r="O141" t="str">
            <v>TBA5</v>
          </cell>
          <cell r="P141">
            <v>0</v>
          </cell>
          <cell r="R141">
            <v>0</v>
          </cell>
          <cell r="T141">
            <v>0</v>
          </cell>
          <cell r="AD141">
            <v>0</v>
          </cell>
          <cell r="AF141">
            <v>0</v>
          </cell>
          <cell r="AH141">
            <v>0</v>
          </cell>
          <cell r="AJ141">
            <v>0</v>
          </cell>
          <cell r="AL141">
            <v>0</v>
          </cell>
          <cell r="AN141">
            <v>0</v>
          </cell>
          <cell r="AP141">
            <v>0</v>
          </cell>
          <cell r="AR141">
            <v>0</v>
          </cell>
          <cell r="AT141">
            <v>0</v>
          </cell>
          <cell r="AV141">
            <v>0</v>
          </cell>
          <cell r="AX141">
            <v>0</v>
          </cell>
          <cell r="AZ141">
            <v>0</v>
          </cell>
          <cell r="BB141">
            <v>0</v>
          </cell>
          <cell r="BD141">
            <v>0</v>
          </cell>
          <cell r="BF141">
            <v>0</v>
          </cell>
          <cell r="BH141">
            <v>0</v>
          </cell>
          <cell r="BN141">
            <v>0</v>
          </cell>
          <cell r="BR141">
            <v>0</v>
          </cell>
          <cell r="BT141">
            <v>0</v>
          </cell>
          <cell r="BV141">
            <v>0</v>
          </cell>
          <cell r="BX141">
            <v>0</v>
          </cell>
          <cell r="CB141">
            <v>0</v>
          </cell>
          <cell r="CD141">
            <v>0</v>
          </cell>
          <cell r="CG141" t="str">
            <v>TBA5</v>
          </cell>
          <cell r="CH141">
            <v>0</v>
          </cell>
          <cell r="CJ141">
            <v>0</v>
          </cell>
          <cell r="CL141">
            <v>0</v>
          </cell>
          <cell r="CN141">
            <v>0</v>
          </cell>
          <cell r="CO141" t="str">
            <v>UPB</v>
          </cell>
          <cell r="CP141">
            <v>0</v>
          </cell>
          <cell r="CR141">
            <v>0</v>
          </cell>
          <cell r="CT141">
            <v>0</v>
          </cell>
          <cell r="CV141">
            <v>0</v>
          </cell>
          <cell r="CX141">
            <v>0</v>
          </cell>
          <cell r="CZ141">
            <v>0</v>
          </cell>
        </row>
        <row r="142">
          <cell r="B142" t="str">
            <v>TBA6</v>
          </cell>
          <cell r="F142" t="str">
            <v>UR13</v>
          </cell>
          <cell r="H142">
            <v>0</v>
          </cell>
          <cell r="J142">
            <v>0</v>
          </cell>
          <cell r="L142">
            <v>0</v>
          </cell>
          <cell r="N142">
            <v>0</v>
          </cell>
          <cell r="O142" t="str">
            <v>TBA6</v>
          </cell>
          <cell r="P142">
            <v>0</v>
          </cell>
          <cell r="R142">
            <v>0</v>
          </cell>
          <cell r="T142">
            <v>0</v>
          </cell>
          <cell r="AD142">
            <v>0</v>
          </cell>
          <cell r="AF142">
            <v>0</v>
          </cell>
          <cell r="AH142">
            <v>0</v>
          </cell>
          <cell r="AJ142">
            <v>0</v>
          </cell>
          <cell r="AL142">
            <v>0</v>
          </cell>
          <cell r="AN142">
            <v>0</v>
          </cell>
          <cell r="AP142">
            <v>0</v>
          </cell>
          <cell r="AR142">
            <v>0</v>
          </cell>
          <cell r="AT142">
            <v>0</v>
          </cell>
          <cell r="AV142">
            <v>0</v>
          </cell>
          <cell r="AX142">
            <v>0</v>
          </cell>
          <cell r="AZ142">
            <v>0</v>
          </cell>
          <cell r="BB142">
            <v>0</v>
          </cell>
          <cell r="BD142">
            <v>0</v>
          </cell>
          <cell r="BF142">
            <v>0</v>
          </cell>
          <cell r="BH142">
            <v>0</v>
          </cell>
          <cell r="BN142">
            <v>0</v>
          </cell>
          <cell r="BR142">
            <v>0</v>
          </cell>
          <cell r="BT142">
            <v>0</v>
          </cell>
          <cell r="BV142">
            <v>0</v>
          </cell>
          <cell r="BX142">
            <v>0</v>
          </cell>
          <cell r="CB142">
            <v>0</v>
          </cell>
          <cell r="CD142">
            <v>0</v>
          </cell>
          <cell r="CG142" t="str">
            <v>TBA6</v>
          </cell>
          <cell r="CH142">
            <v>0</v>
          </cell>
          <cell r="CJ142">
            <v>0</v>
          </cell>
          <cell r="CL142">
            <v>0</v>
          </cell>
          <cell r="CN142">
            <v>0</v>
          </cell>
          <cell r="CO142" t="str">
            <v>UPB</v>
          </cell>
          <cell r="CP142">
            <v>0</v>
          </cell>
          <cell r="CR142">
            <v>0</v>
          </cell>
          <cell r="CT142">
            <v>0</v>
          </cell>
          <cell r="CV142">
            <v>0</v>
          </cell>
          <cell r="CX142">
            <v>0</v>
          </cell>
          <cell r="CZ142">
            <v>0</v>
          </cell>
        </row>
        <row r="143">
          <cell r="B143" t="str">
            <v>TBA7</v>
          </cell>
          <cell r="F143" t="str">
            <v>UR14</v>
          </cell>
          <cell r="H143">
            <v>0</v>
          </cell>
          <cell r="J143">
            <v>0</v>
          </cell>
          <cell r="L143">
            <v>0</v>
          </cell>
          <cell r="N143">
            <v>0</v>
          </cell>
          <cell r="O143" t="str">
            <v>TBA7</v>
          </cell>
          <cell r="P143">
            <v>0</v>
          </cell>
          <cell r="R143">
            <v>0</v>
          </cell>
          <cell r="T143">
            <v>0</v>
          </cell>
          <cell r="AD143">
            <v>0</v>
          </cell>
          <cell r="AF143">
            <v>0</v>
          </cell>
          <cell r="AH143">
            <v>0</v>
          </cell>
          <cell r="AJ143">
            <v>0</v>
          </cell>
          <cell r="AL143">
            <v>0</v>
          </cell>
          <cell r="AN143">
            <v>0</v>
          </cell>
          <cell r="AP143">
            <v>0</v>
          </cell>
          <cell r="AR143">
            <v>0</v>
          </cell>
          <cell r="AT143">
            <v>0</v>
          </cell>
          <cell r="AV143">
            <v>0</v>
          </cell>
          <cell r="AX143">
            <v>0</v>
          </cell>
          <cell r="AZ143">
            <v>0</v>
          </cell>
          <cell r="BB143">
            <v>0</v>
          </cell>
          <cell r="BD143">
            <v>0</v>
          </cell>
          <cell r="BF143">
            <v>0</v>
          </cell>
          <cell r="BH143">
            <v>0</v>
          </cell>
          <cell r="BN143">
            <v>0</v>
          </cell>
          <cell r="BR143">
            <v>0</v>
          </cell>
          <cell r="BT143">
            <v>0</v>
          </cell>
          <cell r="BV143">
            <v>0</v>
          </cell>
          <cell r="BX143">
            <v>0</v>
          </cell>
          <cell r="CB143">
            <v>0</v>
          </cell>
          <cell r="CD143">
            <v>0</v>
          </cell>
          <cell r="CG143" t="str">
            <v>TBA7</v>
          </cell>
          <cell r="CH143">
            <v>0</v>
          </cell>
          <cell r="CJ143">
            <v>0</v>
          </cell>
          <cell r="CL143">
            <v>0</v>
          </cell>
          <cell r="CN143">
            <v>0</v>
          </cell>
          <cell r="CO143" t="str">
            <v>UPB</v>
          </cell>
          <cell r="CP143">
            <v>0</v>
          </cell>
          <cell r="CR143">
            <v>0</v>
          </cell>
          <cell r="CT143">
            <v>0</v>
          </cell>
          <cell r="CV143">
            <v>0</v>
          </cell>
          <cell r="CX143">
            <v>0</v>
          </cell>
          <cell r="CZ143">
            <v>0</v>
          </cell>
        </row>
        <row r="144">
          <cell r="B144" t="str">
            <v>TBA8</v>
          </cell>
          <cell r="F144" t="str">
            <v>UR15</v>
          </cell>
          <cell r="H144">
            <v>0</v>
          </cell>
          <cell r="J144">
            <v>0</v>
          </cell>
          <cell r="L144">
            <v>0</v>
          </cell>
          <cell r="N144">
            <v>0</v>
          </cell>
          <cell r="O144" t="str">
            <v>TBA8</v>
          </cell>
          <cell r="P144">
            <v>0</v>
          </cell>
          <cell r="R144">
            <v>0</v>
          </cell>
          <cell r="T144">
            <v>0</v>
          </cell>
          <cell r="AD144">
            <v>0</v>
          </cell>
          <cell r="AF144">
            <v>0</v>
          </cell>
          <cell r="AH144">
            <v>0</v>
          </cell>
          <cell r="AJ144">
            <v>0</v>
          </cell>
          <cell r="AL144">
            <v>0</v>
          </cell>
          <cell r="AN144">
            <v>0</v>
          </cell>
          <cell r="AP144">
            <v>0</v>
          </cell>
          <cell r="AR144">
            <v>0</v>
          </cell>
          <cell r="AT144">
            <v>0</v>
          </cell>
          <cell r="AV144">
            <v>0</v>
          </cell>
          <cell r="AX144">
            <v>0</v>
          </cell>
          <cell r="AZ144">
            <v>0</v>
          </cell>
          <cell r="BB144">
            <v>0</v>
          </cell>
          <cell r="BD144">
            <v>0</v>
          </cell>
          <cell r="BF144">
            <v>0</v>
          </cell>
          <cell r="BH144">
            <v>0</v>
          </cell>
          <cell r="BN144">
            <v>0</v>
          </cell>
          <cell r="BR144">
            <v>0</v>
          </cell>
          <cell r="BT144">
            <v>0</v>
          </cell>
          <cell r="BV144">
            <v>0</v>
          </cell>
          <cell r="BX144">
            <v>0</v>
          </cell>
          <cell r="CB144">
            <v>0</v>
          </cell>
          <cell r="CD144">
            <v>0</v>
          </cell>
          <cell r="CG144" t="str">
            <v>TBA8</v>
          </cell>
          <cell r="CH144">
            <v>0</v>
          </cell>
          <cell r="CJ144">
            <v>0</v>
          </cell>
          <cell r="CL144">
            <v>0</v>
          </cell>
          <cell r="CN144">
            <v>0</v>
          </cell>
          <cell r="CO144" t="str">
            <v>UPB</v>
          </cell>
          <cell r="CP144">
            <v>0</v>
          </cell>
          <cell r="CR144">
            <v>0</v>
          </cell>
          <cell r="CT144">
            <v>0</v>
          </cell>
          <cell r="CV144">
            <v>0</v>
          </cell>
          <cell r="CX144">
            <v>0</v>
          </cell>
          <cell r="CZ144">
            <v>0</v>
          </cell>
        </row>
        <row r="145">
          <cell r="B145" t="str">
            <v>GRT</v>
          </cell>
          <cell r="D145" t="str">
            <v>GRANTS</v>
          </cell>
          <cell r="F145" t="str">
            <v>ZZ1</v>
          </cell>
          <cell r="H145" t="str">
            <v>XXXXXXXXX</v>
          </cell>
          <cell r="J145" t="str">
            <v>XXXXXXXXX</v>
          </cell>
          <cell r="L145">
            <v>0</v>
          </cell>
          <cell r="N145" t="str">
            <v>XXXXXXXXX</v>
          </cell>
          <cell r="O145" t="str">
            <v>GRT</v>
          </cell>
          <cell r="P145">
            <v>0</v>
          </cell>
          <cell r="R145">
            <v>0</v>
          </cell>
          <cell r="T145">
            <v>0</v>
          </cell>
          <cell r="AD145">
            <v>0</v>
          </cell>
          <cell r="AF145">
            <v>0</v>
          </cell>
          <cell r="AH145">
            <v>0</v>
          </cell>
          <cell r="AJ145">
            <v>0</v>
          </cell>
          <cell r="AT145">
            <v>0</v>
          </cell>
          <cell r="AV145">
            <v>0</v>
          </cell>
          <cell r="AX145">
            <v>0</v>
          </cell>
          <cell r="AZ145">
            <v>0</v>
          </cell>
          <cell r="BB145">
            <v>0</v>
          </cell>
          <cell r="BD145">
            <v>0</v>
          </cell>
          <cell r="BF145">
            <v>0</v>
          </cell>
          <cell r="BH145">
            <v>0</v>
          </cell>
          <cell r="BN145">
            <v>0</v>
          </cell>
          <cell r="BR145">
            <v>0</v>
          </cell>
          <cell r="BT145">
            <v>0</v>
          </cell>
          <cell r="BV145">
            <v>0</v>
          </cell>
          <cell r="BX145">
            <v>0</v>
          </cell>
          <cell r="CD145">
            <v>0</v>
          </cell>
          <cell r="CG145" t="str">
            <v>GRT</v>
          </cell>
          <cell r="CL145">
            <v>0</v>
          </cell>
          <cell r="CO145" t="str">
            <v>GRT</v>
          </cell>
          <cell r="CP145">
            <v>0</v>
          </cell>
          <cell r="CR145">
            <v>0</v>
          </cell>
          <cell r="CT145">
            <v>0</v>
          </cell>
          <cell r="CV145">
            <v>0</v>
          </cell>
        </row>
        <row r="146">
          <cell r="B146" t="str">
            <v>ADM</v>
          </cell>
          <cell r="D146" t="str">
            <v>ADMISSIONS DEPARTMENT</v>
          </cell>
          <cell r="F146" t="str">
            <v>ZZZ</v>
          </cell>
          <cell r="H146" t="str">
            <v>XXXXXXXXX</v>
          </cell>
          <cell r="J146" t="str">
            <v>XXXXXXXXX</v>
          </cell>
          <cell r="L146">
            <v>0</v>
          </cell>
          <cell r="N146" t="str">
            <v>XXXXXXXXX</v>
          </cell>
          <cell r="O146" t="str">
            <v>ADM</v>
          </cell>
          <cell r="P146">
            <v>0</v>
          </cell>
          <cell r="R146">
            <v>0</v>
          </cell>
          <cell r="T146">
            <v>0</v>
          </cell>
          <cell r="AD146">
            <v>0</v>
          </cell>
          <cell r="AF146">
            <v>0</v>
          </cell>
          <cell r="AH146">
            <v>0</v>
          </cell>
          <cell r="AJ146">
            <v>0</v>
          </cell>
          <cell r="AT146">
            <v>0</v>
          </cell>
          <cell r="AV146">
            <v>0</v>
          </cell>
          <cell r="AX146">
            <v>0</v>
          </cell>
          <cell r="AZ146">
            <v>0</v>
          </cell>
          <cell r="BB146">
            <v>0</v>
          </cell>
          <cell r="BD146">
            <v>0</v>
          </cell>
          <cell r="BF146">
            <v>0</v>
          </cell>
          <cell r="BH146">
            <v>0</v>
          </cell>
          <cell r="BN146">
            <v>0</v>
          </cell>
          <cell r="BR146">
            <v>0</v>
          </cell>
          <cell r="BT146">
            <v>0</v>
          </cell>
          <cell r="BV146">
            <v>0</v>
          </cell>
          <cell r="BX146">
            <v>0</v>
          </cell>
          <cell r="CD146">
            <v>0</v>
          </cell>
          <cell r="CG146" t="str">
            <v>ADM</v>
          </cell>
          <cell r="CL146">
            <v>0</v>
          </cell>
          <cell r="CO146" t="str">
            <v>IHC</v>
          </cell>
          <cell r="CP146">
            <v>0</v>
          </cell>
          <cell r="CR146">
            <v>0</v>
          </cell>
          <cell r="CT146">
            <v>0</v>
          </cell>
          <cell r="CV146">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
          <cell r="A13" t="str">
            <v>MSG</v>
          </cell>
          <cell r="C13">
            <v>51197932.594653182</v>
          </cell>
          <cell r="E13">
            <v>44103.226899999994</v>
          </cell>
          <cell r="K13">
            <v>1160.8659092165701</v>
          </cell>
        </row>
        <row r="14">
          <cell r="A14" t="str">
            <v>PED</v>
          </cell>
          <cell r="C14">
            <v>0</v>
          </cell>
          <cell r="E14">
            <v>0</v>
          </cell>
          <cell r="K14">
            <v>0</v>
          </cell>
        </row>
        <row r="15">
          <cell r="A15" t="str">
            <v>PSY</v>
          </cell>
          <cell r="C15">
            <v>5892311.9872732144</v>
          </cell>
          <cell r="E15">
            <v>5527.8809999999994</v>
          </cell>
          <cell r="K15">
            <v>1065.9259827180099</v>
          </cell>
        </row>
        <row r="16">
          <cell r="A16" t="str">
            <v>OBS</v>
          </cell>
          <cell r="C16">
            <v>4004297.2183084167</v>
          </cell>
          <cell r="E16">
            <v>5601.3846999999996</v>
          </cell>
          <cell r="K16">
            <v>714.87630876494109</v>
          </cell>
        </row>
        <row r="17">
          <cell r="A17" t="str">
            <v>DEF</v>
          </cell>
          <cell r="C17">
            <v>0</v>
          </cell>
          <cell r="E17">
            <v>0</v>
          </cell>
          <cell r="K17">
            <v>0</v>
          </cell>
        </row>
        <row r="18">
          <cell r="A18" t="str">
            <v>MIS</v>
          </cell>
          <cell r="C18">
            <v>13749834.012933904</v>
          </cell>
          <cell r="E18">
            <v>5473.5083999999997</v>
          </cell>
          <cell r="K18">
            <v>2512.0695919520113</v>
          </cell>
        </row>
        <row r="19">
          <cell r="A19" t="str">
            <v>CCU</v>
          </cell>
          <cell r="C19">
            <v>0</v>
          </cell>
          <cell r="E19">
            <v>0</v>
          </cell>
          <cell r="K19">
            <v>0</v>
          </cell>
        </row>
        <row r="20">
          <cell r="A20" t="str">
            <v>PIC</v>
          </cell>
          <cell r="C20">
            <v>0</v>
          </cell>
          <cell r="E20">
            <v>0</v>
          </cell>
          <cell r="K20">
            <v>0</v>
          </cell>
        </row>
        <row r="21">
          <cell r="A21" t="str">
            <v>NEO</v>
          </cell>
          <cell r="C21">
            <v>6051484.5339589156</v>
          </cell>
          <cell r="E21">
            <v>3243.2248999999997</v>
          </cell>
          <cell r="K21">
            <v>1865.8849511049684</v>
          </cell>
        </row>
        <row r="22">
          <cell r="A22" t="str">
            <v>BUR</v>
          </cell>
          <cell r="C22">
            <v>0</v>
          </cell>
          <cell r="E22">
            <v>0</v>
          </cell>
          <cell r="K22">
            <v>0</v>
          </cell>
        </row>
        <row r="23">
          <cell r="A23" t="str">
            <v>PSI</v>
          </cell>
          <cell r="C23">
            <v>0</v>
          </cell>
          <cell r="E23">
            <v>0</v>
          </cell>
          <cell r="K23">
            <v>0</v>
          </cell>
        </row>
        <row r="24">
          <cell r="A24" t="str">
            <v>TRM</v>
          </cell>
          <cell r="C24">
            <v>0</v>
          </cell>
          <cell r="E24">
            <v>0</v>
          </cell>
          <cell r="K24">
            <v>0</v>
          </cell>
        </row>
        <row r="25">
          <cell r="A25" t="str">
            <v>ONC</v>
          </cell>
          <cell r="C25">
            <v>0</v>
          </cell>
          <cell r="E25">
            <v>0</v>
          </cell>
          <cell r="K25">
            <v>0</v>
          </cell>
        </row>
        <row r="26">
          <cell r="A26" t="str">
            <v>NUR</v>
          </cell>
          <cell r="C26">
            <v>1684047.4957746589</v>
          </cell>
          <cell r="E26">
            <v>4414.2495999999992</v>
          </cell>
          <cell r="K26">
            <v>381.50255385981325</v>
          </cell>
        </row>
        <row r="27">
          <cell r="A27" t="str">
            <v>PRE</v>
          </cell>
          <cell r="C27">
            <v>0</v>
          </cell>
          <cell r="E27">
            <v>0</v>
          </cell>
          <cell r="K27">
            <v>0</v>
          </cell>
        </row>
        <row r="28">
          <cell r="A28" t="str">
            <v>ECF</v>
          </cell>
          <cell r="C28">
            <v>0</v>
          </cell>
          <cell r="E28">
            <v>0</v>
          </cell>
          <cell r="K28">
            <v>0</v>
          </cell>
        </row>
        <row r="29">
          <cell r="A29" t="str">
            <v>CHR</v>
          </cell>
          <cell r="C29">
            <v>0</v>
          </cell>
          <cell r="E29">
            <v>0</v>
          </cell>
          <cell r="K29">
            <v>0</v>
          </cell>
        </row>
        <row r="30">
          <cell r="A30" t="str">
            <v>EMG</v>
          </cell>
          <cell r="C30">
            <v>17854678.974394519</v>
          </cell>
          <cell r="E30">
            <v>490357.27929999994</v>
          </cell>
          <cell r="K30">
            <v>36.411571170887115</v>
          </cell>
        </row>
        <row r="31">
          <cell r="A31" t="str">
            <v>CL</v>
          </cell>
          <cell r="C31">
            <v>10885063.118178509</v>
          </cell>
          <cell r="E31">
            <v>259642.25469999996</v>
          </cell>
          <cell r="K31">
            <v>41.923311483932011</v>
          </cell>
        </row>
        <row r="32">
          <cell r="A32" t="str">
            <v>PDC</v>
          </cell>
          <cell r="C32">
            <v>444258.41093330219</v>
          </cell>
          <cell r="E32">
            <v>1747.9783999999997</v>
          </cell>
          <cell r="K32">
            <v>254.15554959563704</v>
          </cell>
        </row>
        <row r="33">
          <cell r="A33" t="str">
            <v>AMS</v>
          </cell>
          <cell r="C33">
            <v>0</v>
          </cell>
          <cell r="E33">
            <v>0</v>
          </cell>
          <cell r="G33">
            <v>1</v>
          </cell>
          <cell r="K33">
            <v>0</v>
          </cell>
        </row>
        <row r="34">
          <cell r="A34" t="str">
            <v>SDS</v>
          </cell>
          <cell r="C34">
            <v>3649665.6571436771</v>
          </cell>
          <cell r="E34">
            <v>5561.1086999999998</v>
          </cell>
          <cell r="K34">
            <v>656.28381929374575</v>
          </cell>
        </row>
        <row r="35">
          <cell r="A35" t="str">
            <v>DEL</v>
          </cell>
          <cell r="C35">
            <v>8774712.5227459483</v>
          </cell>
          <cell r="E35">
            <v>97967.342399999994</v>
          </cell>
          <cell r="K35">
            <v>89.567730508794014</v>
          </cell>
        </row>
        <row r="36">
          <cell r="A36" t="str">
            <v>OR</v>
          </cell>
          <cell r="C36">
            <v>42126342.785677962</v>
          </cell>
          <cell r="E36">
            <v>1298068.2936999998</v>
          </cell>
          <cell r="K36">
            <v>32.453102036412503</v>
          </cell>
        </row>
        <row r="37">
          <cell r="A37" t="str">
            <v>ORC</v>
          </cell>
          <cell r="C37">
            <v>28009.713408623764</v>
          </cell>
          <cell r="E37">
            <v>4222.9385999999995</v>
          </cell>
          <cell r="K37">
            <v>6.6327541225969444</v>
          </cell>
        </row>
        <row r="38">
          <cell r="A38" t="str">
            <v>ANS</v>
          </cell>
          <cell r="C38">
            <v>2451824.1741557489</v>
          </cell>
          <cell r="E38">
            <v>1150230.2011999998</v>
          </cell>
          <cell r="K38">
            <v>2.1315943292028292</v>
          </cell>
        </row>
        <row r="39">
          <cell r="A39" t="str">
            <v>LAB</v>
          </cell>
          <cell r="C39">
            <v>21866939.695387281</v>
          </cell>
          <cell r="E39">
            <v>11772368.702399999</v>
          </cell>
          <cell r="K39">
            <v>1.8574800236191491</v>
          </cell>
        </row>
        <row r="40">
          <cell r="A40" t="str">
            <v>BB</v>
          </cell>
          <cell r="C40">
            <v>0</v>
          </cell>
          <cell r="E40">
            <v>0</v>
          </cell>
          <cell r="K40">
            <v>0</v>
          </cell>
        </row>
        <row r="41">
          <cell r="A41" t="str">
            <v>EKG</v>
          </cell>
          <cell r="C41">
            <v>2574458.0063404627</v>
          </cell>
          <cell r="E41">
            <v>757739.57429999998</v>
          </cell>
          <cell r="K41">
            <v>3.3975498887183604</v>
          </cell>
        </row>
        <row r="42">
          <cell r="A42" t="str">
            <v>IRC</v>
          </cell>
          <cell r="C42">
            <v>18901143.514070634</v>
          </cell>
          <cell r="E42">
            <v>180981.21289999998</v>
          </cell>
          <cell r="K42">
            <v>104.43704742168094</v>
          </cell>
        </row>
        <row r="43">
          <cell r="A43" t="str">
            <v>RAD</v>
          </cell>
          <cell r="C43">
            <v>11661783.286999183</v>
          </cell>
          <cell r="E43">
            <v>391784.79</v>
          </cell>
          <cell r="K43">
            <v>29.765788730591566</v>
          </cell>
        </row>
        <row r="44">
          <cell r="A44" t="str">
            <v>CAT</v>
          </cell>
          <cell r="C44">
            <v>3087035.7617182778</v>
          </cell>
          <cell r="E44">
            <v>587476.81189999997</v>
          </cell>
          <cell r="K44">
            <v>5.2547363558644617</v>
          </cell>
        </row>
        <row r="45">
          <cell r="A45" t="str">
            <v>RAT</v>
          </cell>
          <cell r="C45">
            <v>11514218.886008348</v>
          </cell>
          <cell r="E45">
            <v>363252.26469999994</v>
          </cell>
          <cell r="K45">
            <v>31.697583208511102</v>
          </cell>
        </row>
        <row r="46">
          <cell r="A46" t="str">
            <v>NUC</v>
          </cell>
          <cell r="C46">
            <v>6346635.7143062064</v>
          </cell>
          <cell r="E46">
            <v>182262.99659999998</v>
          </cell>
          <cell r="K46">
            <v>34.821306752871678</v>
          </cell>
        </row>
        <row r="47">
          <cell r="A47" t="str">
            <v>RES</v>
          </cell>
          <cell r="C47">
            <v>5295540.7733069388</v>
          </cell>
          <cell r="E47">
            <v>3131508.3380999998</v>
          </cell>
          <cell r="K47">
            <v>1.6910511490191134</v>
          </cell>
        </row>
        <row r="48">
          <cell r="A48" t="str">
            <v>PUL</v>
          </cell>
          <cell r="C48">
            <v>463986.99168198503</v>
          </cell>
          <cell r="E48">
            <v>98702.379399999991</v>
          </cell>
          <cell r="K48">
            <v>4.700869366093368</v>
          </cell>
        </row>
        <row r="49">
          <cell r="A49" t="str">
            <v>EEG</v>
          </cell>
          <cell r="C49">
            <v>1395005.5091121099</v>
          </cell>
          <cell r="E49">
            <v>111103.35979999999</v>
          </cell>
          <cell r="K49">
            <v>12.555925505972953</v>
          </cell>
        </row>
        <row r="50">
          <cell r="A50" t="str">
            <v>PTH</v>
          </cell>
          <cell r="C50">
            <v>2938218.9365646327</v>
          </cell>
          <cell r="E50">
            <v>350103.15759999998</v>
          </cell>
          <cell r="K50">
            <v>8.3924376938113987</v>
          </cell>
        </row>
        <row r="51">
          <cell r="A51" t="str">
            <v>OTH</v>
          </cell>
          <cell r="C51">
            <v>2329677.4674216202</v>
          </cell>
          <cell r="E51">
            <v>320183.12409999996</v>
          </cell>
          <cell r="K51">
            <v>7.2760782566854232</v>
          </cell>
        </row>
        <row r="52">
          <cell r="A52" t="str">
            <v>STH</v>
          </cell>
          <cell r="C52">
            <v>299095.02665904333</v>
          </cell>
          <cell r="E52">
            <v>35916.123</v>
          </cell>
          <cell r="K52">
            <v>8.3275977938666532</v>
          </cell>
        </row>
        <row r="53">
          <cell r="A53" t="str">
            <v>REC</v>
          </cell>
          <cell r="C53">
            <v>0</v>
          </cell>
          <cell r="E53">
            <v>0</v>
          </cell>
          <cell r="K53">
            <v>0</v>
          </cell>
        </row>
        <row r="54">
          <cell r="A54" t="str">
            <v>AUD</v>
          </cell>
          <cell r="C54">
            <v>145436.95441862743</v>
          </cell>
          <cell r="E54">
            <v>8514.3463999999985</v>
          </cell>
          <cell r="I54">
            <v>1</v>
          </cell>
          <cell r="K54">
            <v>17.081399744157398</v>
          </cell>
        </row>
        <row r="55">
          <cell r="A55" t="str">
            <v>OPM</v>
          </cell>
          <cell r="C55">
            <v>0</v>
          </cell>
          <cell r="E55">
            <v>0</v>
          </cell>
          <cell r="K55">
            <v>0</v>
          </cell>
        </row>
        <row r="56">
          <cell r="A56" t="str">
            <v>RDL</v>
          </cell>
          <cell r="C56">
            <v>703971.93646628631</v>
          </cell>
          <cell r="E56">
            <v>1006.8999999999999</v>
          </cell>
          <cell r="I56">
            <v>1</v>
          </cell>
          <cell r="K56">
            <v>699.14781653221416</v>
          </cell>
        </row>
        <row r="57">
          <cell r="A57" t="str">
            <v>AOR</v>
          </cell>
          <cell r="C57">
            <v>0</v>
          </cell>
          <cell r="E57">
            <v>0</v>
          </cell>
          <cell r="K57">
            <v>0</v>
          </cell>
        </row>
        <row r="58">
          <cell r="A58" t="str">
            <v>LEU</v>
          </cell>
          <cell r="C58">
            <v>0</v>
          </cell>
          <cell r="E58">
            <v>0</v>
          </cell>
          <cell r="K58">
            <v>0</v>
          </cell>
        </row>
        <row r="59">
          <cell r="A59" t="str">
            <v>HYP</v>
          </cell>
          <cell r="C59">
            <v>0</v>
          </cell>
          <cell r="E59">
            <v>0</v>
          </cell>
          <cell r="K59">
            <v>0</v>
          </cell>
        </row>
        <row r="60">
          <cell r="A60" t="str">
            <v>FSE</v>
          </cell>
          <cell r="C60">
            <v>0</v>
          </cell>
          <cell r="E60">
            <v>0</v>
          </cell>
          <cell r="K60">
            <v>0</v>
          </cell>
        </row>
        <row r="61">
          <cell r="A61" t="str">
            <v>OPM</v>
          </cell>
          <cell r="C61">
            <v>0</v>
          </cell>
          <cell r="E61">
            <v>0</v>
          </cell>
          <cell r="K61">
            <v>0</v>
          </cell>
        </row>
        <row r="62">
          <cell r="A62" t="str">
            <v>MRI</v>
          </cell>
          <cell r="C62">
            <v>1472945.5812056714</v>
          </cell>
          <cell r="E62">
            <v>28211.324199999999</v>
          </cell>
          <cell r="K62">
            <v>52.21114651561345</v>
          </cell>
        </row>
        <row r="63">
          <cell r="A63" t="str">
            <v>ADD</v>
          </cell>
          <cell r="C63">
            <v>0</v>
          </cell>
          <cell r="E63">
            <v>0</v>
          </cell>
          <cell r="K63">
            <v>0</v>
          </cell>
        </row>
        <row r="64">
          <cell r="A64" t="str">
            <v>LIT</v>
          </cell>
          <cell r="C64">
            <v>47007.605981429449</v>
          </cell>
          <cell r="E64">
            <v>21.1449</v>
          </cell>
          <cell r="K64">
            <v>2223.117914079965</v>
          </cell>
        </row>
        <row r="65">
          <cell r="A65" t="str">
            <v>RHB</v>
          </cell>
          <cell r="C65">
            <v>0</v>
          </cell>
          <cell r="E65">
            <v>0</v>
          </cell>
          <cell r="K65">
            <v>0</v>
          </cell>
        </row>
        <row r="66">
          <cell r="A66" t="str">
            <v>OBV</v>
          </cell>
          <cell r="C66">
            <v>3449944.2224039244</v>
          </cell>
          <cell r="E66">
            <v>45678.018499999998</v>
          </cell>
          <cell r="K66">
            <v>75.52744921288398</v>
          </cell>
        </row>
        <row r="67">
          <cell r="A67" t="str">
            <v>AMR</v>
          </cell>
          <cell r="C67">
            <v>9.5766912968901377</v>
          </cell>
          <cell r="E67">
            <v>1.0068999999999999</v>
          </cell>
          <cell r="I67">
            <v>1</v>
          </cell>
          <cell r="K67">
            <v>9.5110649487438064</v>
          </cell>
        </row>
        <row r="68">
          <cell r="A68" t="str">
            <v>TMT</v>
          </cell>
          <cell r="C68">
            <v>5051.1726207041638</v>
          </cell>
          <cell r="E68">
            <v>1.0068999999999999</v>
          </cell>
          <cell r="I68">
            <v>1</v>
          </cell>
          <cell r="K68">
            <v>5016.5583679652045</v>
          </cell>
        </row>
        <row r="69">
          <cell r="A69" t="str">
            <v>OCL</v>
          </cell>
          <cell r="C69">
            <v>0</v>
          </cell>
          <cell r="E69">
            <v>0</v>
          </cell>
          <cell r="K69">
            <v>0</v>
          </cell>
        </row>
        <row r="70">
          <cell r="A70" t="str">
            <v>TNA</v>
          </cell>
          <cell r="C70">
            <v>5021.378470002729</v>
          </cell>
          <cell r="E70">
            <v>1.0068999999999999</v>
          </cell>
          <cell r="I70">
            <v>1</v>
          </cell>
          <cell r="K70">
            <v>4986.9683881246692</v>
          </cell>
        </row>
        <row r="71">
          <cell r="A71" t="str">
            <v>PAD</v>
          </cell>
          <cell r="C71">
            <v>0</v>
          </cell>
          <cell r="E71">
            <v>0</v>
          </cell>
          <cell r="K71">
            <v>0</v>
          </cell>
        </row>
        <row r="72">
          <cell r="A72" t="str">
            <v>PCD</v>
          </cell>
          <cell r="C72">
            <v>0</v>
          </cell>
          <cell r="E72">
            <v>0</v>
          </cell>
          <cell r="K72">
            <v>0</v>
          </cell>
        </row>
        <row r="73">
          <cell r="A73" t="str">
            <v>PSG</v>
          </cell>
          <cell r="C73">
            <v>0</v>
          </cell>
          <cell r="E73">
            <v>0</v>
          </cell>
          <cell r="K73">
            <v>0</v>
          </cell>
        </row>
        <row r="74">
          <cell r="A74" t="str">
            <v>ITH</v>
          </cell>
          <cell r="C74">
            <v>0</v>
          </cell>
          <cell r="E74">
            <v>0</v>
          </cell>
          <cell r="K74">
            <v>0</v>
          </cell>
        </row>
        <row r="75">
          <cell r="A75" t="str">
            <v>GTH</v>
          </cell>
          <cell r="C75">
            <v>0</v>
          </cell>
          <cell r="E75">
            <v>0</v>
          </cell>
          <cell r="K75">
            <v>0</v>
          </cell>
        </row>
        <row r="76">
          <cell r="A76" t="str">
            <v>FTH</v>
          </cell>
          <cell r="C76">
            <v>0</v>
          </cell>
          <cell r="E76">
            <v>0</v>
          </cell>
          <cell r="K76">
            <v>0</v>
          </cell>
        </row>
        <row r="77">
          <cell r="A77" t="str">
            <v>PST</v>
          </cell>
          <cell r="C77">
            <v>0</v>
          </cell>
          <cell r="E77">
            <v>0</v>
          </cell>
          <cell r="K77">
            <v>0</v>
          </cell>
        </row>
        <row r="78">
          <cell r="A78" t="str">
            <v>PSE</v>
          </cell>
          <cell r="C78">
            <v>0</v>
          </cell>
          <cell r="E78">
            <v>0</v>
          </cell>
          <cell r="K78">
            <v>0</v>
          </cell>
        </row>
        <row r="79">
          <cell r="A79" t="str">
            <v>OPT</v>
          </cell>
          <cell r="C79">
            <v>0</v>
          </cell>
          <cell r="E79">
            <v>0</v>
          </cell>
          <cell r="K79">
            <v>0</v>
          </cell>
        </row>
        <row r="80">
          <cell r="A80" t="str">
            <v>ETH</v>
          </cell>
          <cell r="C80">
            <v>0</v>
          </cell>
          <cell r="E80">
            <v>0</v>
          </cell>
          <cell r="K80">
            <v>0</v>
          </cell>
        </row>
        <row r="81">
          <cell r="A81" t="str">
            <v>ATH</v>
          </cell>
          <cell r="C81">
            <v>0</v>
          </cell>
          <cell r="E81">
            <v>0</v>
          </cell>
          <cell r="K81">
            <v>0</v>
          </cell>
        </row>
        <row r="82">
          <cell r="A82" t="str">
            <v>AMB</v>
          </cell>
          <cell r="C82">
            <v>0</v>
          </cell>
          <cell r="E82">
            <v>0</v>
          </cell>
          <cell r="K82">
            <v>0</v>
          </cell>
        </row>
        <row r="83">
          <cell r="A83" t="str">
            <v>ADM</v>
          </cell>
          <cell r="C83">
            <v>1251328.1126899107</v>
          </cell>
          <cell r="E83">
            <v>15214.258999999998</v>
          </cell>
          <cell r="K83">
            <v>82.247062620000804</v>
          </cell>
        </row>
        <row r="84">
          <cell r="A84" t="str">
            <v>MSS</v>
          </cell>
          <cell r="C84">
            <v>67682878.018238693</v>
          </cell>
          <cell r="E84">
            <v>46702535</v>
          </cell>
          <cell r="K84">
            <v>1.4492334948892751</v>
          </cell>
        </row>
        <row r="85">
          <cell r="A85" t="str">
            <v>CDS</v>
          </cell>
          <cell r="C85">
            <v>37255961.829509526</v>
          </cell>
          <cell r="E85">
            <v>20578761</v>
          </cell>
          <cell r="K85">
            <v>1.8104084026006</v>
          </cell>
        </row>
        <row r="86">
          <cell r="A86" t="str">
            <v>OA</v>
          </cell>
          <cell r="C86">
            <v>0</v>
          </cell>
          <cell r="E86">
            <v>0</v>
          </cell>
          <cell r="K86">
            <v>0</v>
          </cell>
        </row>
      </sheetData>
      <sheetData sheetId="19" refreshError="1"/>
      <sheetData sheetId="20" refreshError="1"/>
      <sheetData sheetId="21" refreshError="1"/>
      <sheetData sheetId="22" refreshError="1"/>
      <sheetData sheetId="23" refreshError="1"/>
      <sheetData sheetId="24" refreshError="1"/>
      <sheetData sheetId="25">
        <row r="1">
          <cell r="A1" t="str">
            <v>INPUT - Supplemental Births Schedule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02">
          <cell r="J102">
            <v>3891.3855477230186</v>
          </cell>
        </row>
      </sheetData>
      <sheetData sheetId="39">
        <row r="245">
          <cell r="J245">
            <v>0</v>
          </cell>
        </row>
      </sheetData>
      <sheetData sheetId="40">
        <row r="83">
          <cell r="F83">
            <v>672.93815990542339</v>
          </cell>
        </row>
      </sheetData>
      <sheetData sheetId="41">
        <row r="283">
          <cell r="J283">
            <v>0</v>
          </cell>
        </row>
      </sheetData>
      <sheetData sheetId="42">
        <row r="284">
          <cell r="J284">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17">
          <cell r="C1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4">
          <cell r="B4" t="str">
            <v>UNITS</v>
          </cell>
          <cell r="D4" t="str">
            <v>PAT CARE</v>
          </cell>
          <cell r="E4" t="str">
            <v>OTHER</v>
          </cell>
          <cell r="G4" t="str">
            <v>PHYSICIAN</v>
          </cell>
          <cell r="H4" t="str">
            <v>RESIDENT</v>
          </cell>
          <cell r="J4" t="str">
            <v>-------- C F A --------</v>
          </cell>
          <cell r="Q4" t="str">
            <v>-------- O F C --------</v>
          </cell>
          <cell r="T4" t="str">
            <v>PAYOR</v>
          </cell>
          <cell r="Y4" t="str">
            <v>ADJUST</v>
          </cell>
        </row>
        <row r="5">
          <cell r="B5" t="str">
            <v>OF</v>
          </cell>
          <cell r="C5" t="str">
            <v>DIRECT</v>
          </cell>
          <cell r="D5" t="str">
            <v>OVERHEAD</v>
          </cell>
          <cell r="E5" t="str">
            <v>OVERHEAD</v>
          </cell>
          <cell r="F5" t="str">
            <v>N/A</v>
          </cell>
          <cell r="G5" t="str">
            <v>SUPPORT</v>
          </cell>
          <cell r="H5" t="str">
            <v>INTERN</v>
          </cell>
          <cell r="I5" t="str">
            <v>LEVEL</v>
          </cell>
          <cell r="J5" t="str">
            <v>BLDG &amp; GENRL</v>
          </cell>
          <cell r="K5" t="str">
            <v>DEPART-</v>
          </cell>
          <cell r="L5" t="str">
            <v>LEVEL</v>
          </cell>
          <cell r="S5" t="str">
            <v>LEVEL</v>
          </cell>
          <cell r="T5" t="str">
            <v>DIFFER-</v>
          </cell>
          <cell r="U5" t="str">
            <v>LEVEL</v>
          </cell>
          <cell r="V5" t="str">
            <v>CROSS</v>
          </cell>
          <cell r="W5" t="str">
            <v>MISC</v>
          </cell>
          <cell r="X5" t="str">
            <v>HSCRC</v>
          </cell>
          <cell r="Y5" t="str">
            <v>LEVEL</v>
          </cell>
          <cell r="Z5" t="str">
            <v>AVERAGE</v>
          </cell>
        </row>
        <row r="6">
          <cell r="B6" t="str">
            <v>MEASURE</v>
          </cell>
          <cell r="C6" t="str">
            <v>EXPENSES</v>
          </cell>
          <cell r="D6" t="str">
            <v>EXPENSES</v>
          </cell>
          <cell r="E6" t="str">
            <v>EXPENSES</v>
          </cell>
          <cell r="G6" t="str">
            <v>EXPENSES</v>
          </cell>
          <cell r="H6" t="str">
            <v>EXPENSES</v>
          </cell>
          <cell r="I6" t="str">
            <v>I</v>
          </cell>
          <cell r="J6" t="str">
            <v>EQUIPMENT</v>
          </cell>
          <cell r="K6" t="str">
            <v>MENTAL</v>
          </cell>
          <cell r="L6" t="str">
            <v>II</v>
          </cell>
          <cell r="Q6" t="str">
            <v>DIRECT</v>
          </cell>
          <cell r="R6" t="str">
            <v>PERCENTAGE</v>
          </cell>
          <cell r="S6" t="str">
            <v>III</v>
          </cell>
          <cell r="T6" t="str">
            <v>ENTIAL</v>
          </cell>
          <cell r="U6" t="str">
            <v>IV</v>
          </cell>
          <cell r="V6" t="str">
            <v>SUBSIDY</v>
          </cell>
          <cell r="W6" t="str">
            <v>ADJ</v>
          </cell>
          <cell r="X6" t="str">
            <v>ADJ</v>
          </cell>
          <cell r="Y6" t="str">
            <v>IV</v>
          </cell>
          <cell r="Z6" t="str">
            <v>RATES</v>
          </cell>
        </row>
        <row r="8">
          <cell r="A8" t="str">
            <v>CODE</v>
          </cell>
          <cell r="B8" t="str">
            <v>COL 1</v>
          </cell>
          <cell r="C8" t="str">
            <v>COL 2</v>
          </cell>
          <cell r="D8" t="str">
            <v>COL 3</v>
          </cell>
          <cell r="E8" t="str">
            <v>COL 4</v>
          </cell>
          <cell r="F8" t="str">
            <v>COL 5</v>
          </cell>
          <cell r="G8" t="str">
            <v>COL 6</v>
          </cell>
          <cell r="H8" t="str">
            <v>COL 7</v>
          </cell>
          <cell r="I8" t="str">
            <v>COL 8</v>
          </cell>
          <cell r="J8" t="str">
            <v>COL 9</v>
          </cell>
          <cell r="K8" t="str">
            <v>COL 10</v>
          </cell>
          <cell r="L8" t="str">
            <v>COL 11</v>
          </cell>
          <cell r="O8" t="str">
            <v>DESCRIPTION</v>
          </cell>
          <cell r="P8" t="str">
            <v>CODE</v>
          </cell>
          <cell r="Q8" t="str">
            <v>COL 1</v>
          </cell>
          <cell r="R8" t="str">
            <v>COL 2</v>
          </cell>
          <cell r="S8" t="str">
            <v>COL 3</v>
          </cell>
          <cell r="T8" t="str">
            <v>COL 4</v>
          </cell>
          <cell r="U8" t="str">
            <v>COL 5</v>
          </cell>
          <cell r="V8" t="str">
            <v>COL 6</v>
          </cell>
          <cell r="W8" t="str">
            <v>COL 7</v>
          </cell>
          <cell r="X8" t="str">
            <v>COL 8</v>
          </cell>
          <cell r="Y8" t="str">
            <v>COL 9</v>
          </cell>
          <cell r="Z8" t="str">
            <v>COL 10</v>
          </cell>
        </row>
        <row r="9">
          <cell r="A9" t="str">
            <v>MSG</v>
          </cell>
          <cell r="B9">
            <v>43801</v>
          </cell>
          <cell r="C9">
            <v>27547.702819874721</v>
          </cell>
          <cell r="D9">
            <v>7621.1544327530046</v>
          </cell>
          <cell r="E9">
            <v>8637.2075233668711</v>
          </cell>
          <cell r="F9" t="str">
            <v xml:space="preserve"> /////////</v>
          </cell>
          <cell r="G9">
            <v>466.72997993071078</v>
          </cell>
          <cell r="H9">
            <v>0</v>
          </cell>
          <cell r="I9">
            <v>44272.794755925308</v>
          </cell>
          <cell r="J9">
            <v>5331.9</v>
          </cell>
          <cell r="K9">
            <v>14.799999999999999</v>
          </cell>
          <cell r="L9">
            <v>49619.494755925312</v>
          </cell>
          <cell r="M9">
            <v>0</v>
          </cell>
          <cell r="N9" t="str">
            <v>A1</v>
          </cell>
          <cell r="O9" t="str">
            <v>Med/Surg Acute</v>
          </cell>
          <cell r="P9" t="str">
            <v>MSG</v>
          </cell>
          <cell r="Q9">
            <v>0</v>
          </cell>
          <cell r="R9">
            <v>-1952.95</v>
          </cell>
          <cell r="S9">
            <v>47666.544755925315</v>
          </cell>
          <cell r="T9">
            <v>4794.7</v>
          </cell>
          <cell r="U9">
            <v>52461.244755925312</v>
          </cell>
          <cell r="V9">
            <v>0</v>
          </cell>
          <cell r="W9">
            <v>0</v>
          </cell>
          <cell r="X9">
            <v>0</v>
          </cell>
          <cell r="Y9">
            <v>52461.244755925312</v>
          </cell>
          <cell r="Z9">
            <v>1197.7179689031143</v>
          </cell>
        </row>
        <row r="10">
          <cell r="A10" t="str">
            <v>PED</v>
          </cell>
          <cell r="B10">
            <v>0</v>
          </cell>
          <cell r="C10">
            <v>0</v>
          </cell>
          <cell r="D10">
            <v>0</v>
          </cell>
          <cell r="E10">
            <v>0</v>
          </cell>
          <cell r="F10" t="str">
            <v xml:space="preserve"> /////////</v>
          </cell>
          <cell r="G10">
            <v>0</v>
          </cell>
          <cell r="H10">
            <v>0</v>
          </cell>
          <cell r="I10">
            <v>0</v>
          </cell>
          <cell r="J10">
            <v>0</v>
          </cell>
          <cell r="K10">
            <v>0</v>
          </cell>
          <cell r="L10">
            <v>0</v>
          </cell>
          <cell r="M10">
            <v>0</v>
          </cell>
          <cell r="N10">
            <v>2</v>
          </cell>
          <cell r="O10" t="str">
            <v>Pediatric Acute</v>
          </cell>
          <cell r="P10" t="str">
            <v>PED</v>
          </cell>
          <cell r="Q10">
            <v>0</v>
          </cell>
          <cell r="R10">
            <v>0</v>
          </cell>
          <cell r="S10">
            <v>0</v>
          </cell>
          <cell r="T10">
            <v>0</v>
          </cell>
          <cell r="U10">
            <v>0</v>
          </cell>
          <cell r="V10">
            <v>0</v>
          </cell>
          <cell r="W10">
            <v>0</v>
          </cell>
          <cell r="X10">
            <v>0</v>
          </cell>
          <cell r="Y10">
            <v>0</v>
          </cell>
          <cell r="Z10">
            <v>0</v>
          </cell>
        </row>
        <row r="11">
          <cell r="A11" t="str">
            <v>PSY</v>
          </cell>
          <cell r="B11">
            <v>5490</v>
          </cell>
          <cell r="C11">
            <v>3239.0422893270052</v>
          </cell>
          <cell r="D11">
            <v>890.01961784726507</v>
          </cell>
          <cell r="E11">
            <v>1015.3528015196043</v>
          </cell>
          <cell r="F11" t="str">
            <v xml:space="preserve"> /////////</v>
          </cell>
          <cell r="G11">
            <v>0</v>
          </cell>
          <cell r="H11">
            <v>0</v>
          </cell>
          <cell r="I11">
            <v>5144.4147086938747</v>
          </cell>
          <cell r="J11">
            <v>564.29999999999995</v>
          </cell>
          <cell r="K11">
            <v>1.96</v>
          </cell>
          <cell r="L11">
            <v>5710.6747086938749</v>
          </cell>
          <cell r="M11">
            <v>0</v>
          </cell>
          <cell r="N11">
            <v>3</v>
          </cell>
          <cell r="O11" t="str">
            <v>Psychiatric Acute</v>
          </cell>
          <cell r="P11" t="str">
            <v>PSY</v>
          </cell>
          <cell r="Q11">
            <v>0</v>
          </cell>
          <cell r="R11">
            <v>-224.76400000000001</v>
          </cell>
          <cell r="S11">
            <v>5485.9107086938748</v>
          </cell>
          <cell r="T11">
            <v>551.79999999999995</v>
          </cell>
          <cell r="U11">
            <v>6037.7107086938749</v>
          </cell>
          <cell r="V11">
            <v>0</v>
          </cell>
          <cell r="W11">
            <v>0</v>
          </cell>
          <cell r="X11">
            <v>0</v>
          </cell>
          <cell r="Y11">
            <v>6037.7107086938749</v>
          </cell>
          <cell r="Z11">
            <v>1099.765156410542</v>
          </cell>
        </row>
        <row r="12">
          <cell r="A12" t="str">
            <v>OBS</v>
          </cell>
          <cell r="B12">
            <v>5563</v>
          </cell>
          <cell r="C12">
            <v>1937.8835006195845</v>
          </cell>
          <cell r="D12">
            <v>784.08116274256099</v>
          </cell>
          <cell r="E12">
            <v>615.96367050484162</v>
          </cell>
          <cell r="F12" t="str">
            <v xml:space="preserve"> /////////</v>
          </cell>
          <cell r="G12">
            <v>0</v>
          </cell>
          <cell r="H12">
            <v>0</v>
          </cell>
          <cell r="I12">
            <v>3337.928333866987</v>
          </cell>
          <cell r="J12">
            <v>541.29999999999995</v>
          </cell>
          <cell r="K12">
            <v>1.6400000000000001</v>
          </cell>
          <cell r="L12">
            <v>3880.8683338669866</v>
          </cell>
          <cell r="M12">
            <v>0</v>
          </cell>
          <cell r="N12">
            <v>4</v>
          </cell>
          <cell r="O12" t="str">
            <v>Obstetrics Acute</v>
          </cell>
          <cell r="P12" t="str">
            <v>OBS</v>
          </cell>
          <cell r="Q12">
            <v>0</v>
          </cell>
          <cell r="R12">
            <v>-152.745</v>
          </cell>
          <cell r="S12">
            <v>3728.1233338669867</v>
          </cell>
          <cell r="T12">
            <v>375</v>
          </cell>
          <cell r="U12">
            <v>4103.1233338669863</v>
          </cell>
          <cell r="V12">
            <v>0</v>
          </cell>
          <cell r="W12">
            <v>0</v>
          </cell>
          <cell r="X12">
            <v>0</v>
          </cell>
          <cell r="Y12">
            <v>4103.1233338669863</v>
          </cell>
          <cell r="Z12">
            <v>737.57385113553585</v>
          </cell>
        </row>
        <row r="13">
          <cell r="A13" t="str">
            <v>DEF</v>
          </cell>
          <cell r="B13">
            <v>0</v>
          </cell>
          <cell r="C13">
            <v>0</v>
          </cell>
          <cell r="D13">
            <v>0</v>
          </cell>
          <cell r="E13">
            <v>0</v>
          </cell>
          <cell r="F13" t="str">
            <v xml:space="preserve"> /////////</v>
          </cell>
          <cell r="G13">
            <v>0</v>
          </cell>
          <cell r="H13">
            <v>0</v>
          </cell>
          <cell r="I13">
            <v>0</v>
          </cell>
          <cell r="J13">
            <v>0</v>
          </cell>
          <cell r="K13">
            <v>0</v>
          </cell>
          <cell r="L13">
            <v>0</v>
          </cell>
          <cell r="M13">
            <v>0</v>
          </cell>
          <cell r="N13">
            <v>5</v>
          </cell>
          <cell r="O13" t="str">
            <v>Definitive Observation</v>
          </cell>
          <cell r="P13" t="str">
            <v>DEF</v>
          </cell>
          <cell r="Q13">
            <v>0</v>
          </cell>
          <cell r="R13">
            <v>0</v>
          </cell>
          <cell r="S13">
            <v>0</v>
          </cell>
          <cell r="T13">
            <v>0</v>
          </cell>
          <cell r="U13">
            <v>0</v>
          </cell>
          <cell r="V13">
            <v>0</v>
          </cell>
          <cell r="W13">
            <v>0</v>
          </cell>
          <cell r="X13">
            <v>0</v>
          </cell>
          <cell r="Y13">
            <v>0</v>
          </cell>
          <cell r="Z13">
            <v>0</v>
          </cell>
        </row>
        <row r="14">
          <cell r="A14" t="str">
            <v>MIS</v>
          </cell>
          <cell r="B14">
            <v>5436</v>
          </cell>
          <cell r="C14">
            <v>7789.4403556329953</v>
          </cell>
          <cell r="D14">
            <v>1488.7581337189581</v>
          </cell>
          <cell r="E14">
            <v>2419.7937001470655</v>
          </cell>
          <cell r="F14" t="str">
            <v xml:space="preserve"> /////////</v>
          </cell>
          <cell r="G14">
            <v>0</v>
          </cell>
          <cell r="H14">
            <v>0</v>
          </cell>
          <cell r="I14">
            <v>11697.992189499018</v>
          </cell>
          <cell r="J14">
            <v>1356.9</v>
          </cell>
          <cell r="K14">
            <v>270.956795</v>
          </cell>
          <cell r="L14">
            <v>13325.848984499018</v>
          </cell>
          <cell r="M14">
            <v>0</v>
          </cell>
          <cell r="N14">
            <v>6</v>
          </cell>
          <cell r="O14" t="str">
            <v>Med/Surg Intensive Care</v>
          </cell>
          <cell r="P14" t="str">
            <v>MIS</v>
          </cell>
          <cell r="Q14">
            <v>0</v>
          </cell>
          <cell r="R14">
            <v>-524.48599999999999</v>
          </cell>
          <cell r="S14">
            <v>12801.362984499017</v>
          </cell>
          <cell r="T14">
            <v>1287.7</v>
          </cell>
          <cell r="U14">
            <v>14089.062984499018</v>
          </cell>
          <cell r="V14">
            <v>0</v>
          </cell>
          <cell r="W14">
            <v>0</v>
          </cell>
          <cell r="X14">
            <v>0</v>
          </cell>
          <cell r="Y14">
            <v>14089.062984499018</v>
          </cell>
          <cell r="Z14">
            <v>2591.8070243743596</v>
          </cell>
        </row>
        <row r="15">
          <cell r="A15" t="str">
            <v>CCU</v>
          </cell>
          <cell r="B15">
            <v>0</v>
          </cell>
          <cell r="C15">
            <v>0</v>
          </cell>
          <cell r="D15">
            <v>0</v>
          </cell>
          <cell r="E15">
            <v>0</v>
          </cell>
          <cell r="F15" t="str">
            <v xml:space="preserve"> /////////</v>
          </cell>
          <cell r="G15">
            <v>0</v>
          </cell>
          <cell r="H15">
            <v>0</v>
          </cell>
          <cell r="I15">
            <v>0</v>
          </cell>
          <cell r="J15">
            <v>0</v>
          </cell>
          <cell r="K15">
            <v>0</v>
          </cell>
          <cell r="L15">
            <v>0</v>
          </cell>
          <cell r="M15">
            <v>0</v>
          </cell>
          <cell r="N15">
            <v>7</v>
          </cell>
          <cell r="O15" t="str">
            <v>Coronary Care</v>
          </cell>
          <cell r="P15" t="str">
            <v>CCU</v>
          </cell>
          <cell r="Q15">
            <v>0</v>
          </cell>
          <cell r="R15">
            <v>0</v>
          </cell>
          <cell r="S15">
            <v>0</v>
          </cell>
          <cell r="T15">
            <v>0</v>
          </cell>
          <cell r="U15">
            <v>0</v>
          </cell>
          <cell r="V15">
            <v>0</v>
          </cell>
          <cell r="W15">
            <v>0</v>
          </cell>
          <cell r="X15">
            <v>0</v>
          </cell>
          <cell r="Y15">
            <v>0</v>
          </cell>
          <cell r="Z15">
            <v>0</v>
          </cell>
        </row>
        <row r="16">
          <cell r="A16" t="str">
            <v>PIC</v>
          </cell>
          <cell r="B16">
            <v>0</v>
          </cell>
          <cell r="C16">
            <v>0</v>
          </cell>
          <cell r="D16">
            <v>0</v>
          </cell>
          <cell r="E16">
            <v>0</v>
          </cell>
          <cell r="F16" t="str">
            <v xml:space="preserve"> /////////</v>
          </cell>
          <cell r="G16">
            <v>0</v>
          </cell>
          <cell r="H16">
            <v>0</v>
          </cell>
          <cell r="I16">
            <v>0</v>
          </cell>
          <cell r="J16">
            <v>0</v>
          </cell>
          <cell r="K16">
            <v>0</v>
          </cell>
          <cell r="L16">
            <v>0</v>
          </cell>
          <cell r="M16">
            <v>0</v>
          </cell>
          <cell r="N16">
            <v>8</v>
          </cell>
          <cell r="O16" t="str">
            <v>Pediatric Intensive Care</v>
          </cell>
          <cell r="P16" t="str">
            <v>PIC</v>
          </cell>
          <cell r="Q16">
            <v>0</v>
          </cell>
          <cell r="R16">
            <v>0</v>
          </cell>
          <cell r="S16">
            <v>0</v>
          </cell>
          <cell r="T16">
            <v>0</v>
          </cell>
          <cell r="U16">
            <v>0</v>
          </cell>
          <cell r="V16">
            <v>0</v>
          </cell>
          <cell r="W16">
            <v>0</v>
          </cell>
          <cell r="X16">
            <v>0</v>
          </cell>
          <cell r="Y16">
            <v>0</v>
          </cell>
          <cell r="Z16">
            <v>0</v>
          </cell>
        </row>
        <row r="17">
          <cell r="A17" t="str">
            <v>NEO</v>
          </cell>
          <cell r="B17">
            <v>3221</v>
          </cell>
          <cell r="C17">
            <v>3949.5717497429428</v>
          </cell>
          <cell r="D17">
            <v>297.98910124194708</v>
          </cell>
          <cell r="E17">
            <v>1211.5207041412007</v>
          </cell>
          <cell r="F17" t="str">
            <v xml:space="preserve"> /////////</v>
          </cell>
          <cell r="G17">
            <v>2.0318942785368561</v>
          </cell>
          <cell r="H17">
            <v>0</v>
          </cell>
          <cell r="I17">
            <v>5461.1134494046273</v>
          </cell>
          <cell r="J17">
            <v>337.2</v>
          </cell>
          <cell r="K17">
            <v>66.591200000000001</v>
          </cell>
          <cell r="L17">
            <v>5864.904649404627</v>
          </cell>
          <cell r="M17">
            <v>0</v>
          </cell>
          <cell r="N17">
            <v>9</v>
          </cell>
          <cell r="O17" t="str">
            <v>Neo-Natal Intensive Care</v>
          </cell>
          <cell r="P17" t="str">
            <v>NEO</v>
          </cell>
          <cell r="Q17">
            <v>0</v>
          </cell>
          <cell r="R17">
            <v>-230.834</v>
          </cell>
          <cell r="S17">
            <v>5634.0706494046271</v>
          </cell>
          <cell r="T17">
            <v>566.70000000000005</v>
          </cell>
          <cell r="U17">
            <v>6200.770649404627</v>
          </cell>
          <cell r="V17">
            <v>0</v>
          </cell>
          <cell r="W17">
            <v>0</v>
          </cell>
          <cell r="X17">
            <v>0</v>
          </cell>
          <cell r="Y17">
            <v>6200.770649404627</v>
          </cell>
          <cell r="Z17">
            <v>1925.107311209136</v>
          </cell>
        </row>
        <row r="18">
          <cell r="A18" t="str">
            <v>BUR</v>
          </cell>
          <cell r="B18">
            <v>0</v>
          </cell>
          <cell r="C18">
            <v>0</v>
          </cell>
          <cell r="D18">
            <v>0</v>
          </cell>
          <cell r="E18">
            <v>0</v>
          </cell>
          <cell r="F18" t="str">
            <v xml:space="preserve"> /////////</v>
          </cell>
          <cell r="G18">
            <v>0</v>
          </cell>
          <cell r="H18">
            <v>0</v>
          </cell>
          <cell r="I18">
            <v>0</v>
          </cell>
          <cell r="J18">
            <v>0</v>
          </cell>
          <cell r="K18">
            <v>0</v>
          </cell>
          <cell r="L18">
            <v>0</v>
          </cell>
          <cell r="M18">
            <v>0</v>
          </cell>
          <cell r="N18">
            <v>10</v>
          </cell>
          <cell r="O18" t="str">
            <v>Burn Care</v>
          </cell>
          <cell r="P18" t="str">
            <v>BUR</v>
          </cell>
          <cell r="Q18">
            <v>0</v>
          </cell>
          <cell r="R18">
            <v>0</v>
          </cell>
          <cell r="S18">
            <v>0</v>
          </cell>
          <cell r="T18">
            <v>0</v>
          </cell>
          <cell r="U18">
            <v>0</v>
          </cell>
          <cell r="V18">
            <v>0</v>
          </cell>
          <cell r="W18">
            <v>0</v>
          </cell>
          <cell r="X18">
            <v>0</v>
          </cell>
          <cell r="Y18">
            <v>0</v>
          </cell>
          <cell r="Z18">
            <v>0</v>
          </cell>
        </row>
        <row r="19">
          <cell r="A19" t="str">
            <v>TRM</v>
          </cell>
          <cell r="B19">
            <v>0</v>
          </cell>
          <cell r="C19">
            <v>0</v>
          </cell>
          <cell r="D19">
            <v>0</v>
          </cell>
          <cell r="E19">
            <v>0</v>
          </cell>
          <cell r="F19" t="str">
            <v xml:space="preserve"> /////////</v>
          </cell>
          <cell r="G19">
            <v>0</v>
          </cell>
          <cell r="H19">
            <v>0</v>
          </cell>
          <cell r="I19">
            <v>0</v>
          </cell>
          <cell r="J19">
            <v>0</v>
          </cell>
          <cell r="K19">
            <v>0</v>
          </cell>
          <cell r="L19">
            <v>0</v>
          </cell>
          <cell r="M19">
            <v>0</v>
          </cell>
          <cell r="N19">
            <v>11</v>
          </cell>
          <cell r="O19" t="str">
            <v>Shock Trauma</v>
          </cell>
          <cell r="P19" t="str">
            <v>TRM</v>
          </cell>
          <cell r="Q19">
            <v>0</v>
          </cell>
          <cell r="R19">
            <v>0</v>
          </cell>
          <cell r="S19">
            <v>0</v>
          </cell>
          <cell r="T19">
            <v>0</v>
          </cell>
          <cell r="U19">
            <v>0</v>
          </cell>
          <cell r="V19">
            <v>0</v>
          </cell>
          <cell r="W19">
            <v>0</v>
          </cell>
          <cell r="X19">
            <v>0</v>
          </cell>
          <cell r="Y19">
            <v>0</v>
          </cell>
          <cell r="Z19">
            <v>0</v>
          </cell>
        </row>
        <row r="20">
          <cell r="A20" t="str">
            <v>ONC</v>
          </cell>
          <cell r="B20">
            <v>0</v>
          </cell>
          <cell r="C20">
            <v>0</v>
          </cell>
          <cell r="D20">
            <v>0</v>
          </cell>
          <cell r="E20">
            <v>0</v>
          </cell>
          <cell r="F20" t="str">
            <v xml:space="preserve"> /////////</v>
          </cell>
          <cell r="G20">
            <v>0</v>
          </cell>
          <cell r="H20">
            <v>0</v>
          </cell>
          <cell r="I20">
            <v>0</v>
          </cell>
          <cell r="J20">
            <v>0</v>
          </cell>
          <cell r="K20">
            <v>0</v>
          </cell>
          <cell r="L20">
            <v>0</v>
          </cell>
          <cell r="M20">
            <v>0</v>
          </cell>
          <cell r="N20">
            <v>12</v>
          </cell>
          <cell r="O20" t="str">
            <v>Oncology</v>
          </cell>
          <cell r="P20" t="str">
            <v>ONC</v>
          </cell>
          <cell r="Q20">
            <v>0</v>
          </cell>
          <cell r="R20">
            <v>0</v>
          </cell>
          <cell r="S20">
            <v>0</v>
          </cell>
          <cell r="T20">
            <v>0</v>
          </cell>
          <cell r="U20">
            <v>0</v>
          </cell>
          <cell r="V20">
            <v>0</v>
          </cell>
          <cell r="W20">
            <v>0</v>
          </cell>
          <cell r="X20">
            <v>0</v>
          </cell>
          <cell r="Y20">
            <v>0</v>
          </cell>
          <cell r="Z20">
            <v>0</v>
          </cell>
        </row>
        <row r="21">
          <cell r="A21" t="str">
            <v>NUR</v>
          </cell>
          <cell r="B21">
            <v>4384</v>
          </cell>
          <cell r="C21">
            <v>1216.09121</v>
          </cell>
          <cell r="D21">
            <v>16.676014187722195</v>
          </cell>
          <cell r="E21">
            <v>370.49954787797304</v>
          </cell>
          <cell r="F21" t="str">
            <v xml:space="preserve"> /////////</v>
          </cell>
          <cell r="G21">
            <v>0</v>
          </cell>
          <cell r="H21">
            <v>0</v>
          </cell>
          <cell r="I21">
            <v>1603.2667720656952</v>
          </cell>
          <cell r="J21">
            <v>28.9</v>
          </cell>
          <cell r="K21">
            <v>0</v>
          </cell>
          <cell r="L21">
            <v>1632.1667720656953</v>
          </cell>
          <cell r="M21">
            <v>0</v>
          </cell>
          <cell r="N21">
            <v>13</v>
          </cell>
          <cell r="O21" t="str">
            <v>Newborn Nursery</v>
          </cell>
          <cell r="P21" t="str">
            <v>NUR</v>
          </cell>
          <cell r="Q21">
            <v>0</v>
          </cell>
          <cell r="R21">
            <v>-64.239999999999995</v>
          </cell>
          <cell r="S21">
            <v>1567.9267720656953</v>
          </cell>
          <cell r="T21">
            <v>157.69999999999999</v>
          </cell>
          <cell r="U21">
            <v>1725.6267720656954</v>
          </cell>
          <cell r="V21">
            <v>0</v>
          </cell>
          <cell r="W21">
            <v>0</v>
          </cell>
          <cell r="X21">
            <v>0</v>
          </cell>
          <cell r="Y21">
            <v>1725.6267720656954</v>
          </cell>
          <cell r="Z21">
            <v>393.61924545294147</v>
          </cell>
        </row>
        <row r="22">
          <cell r="A22" t="str">
            <v>PRE</v>
          </cell>
          <cell r="B22">
            <v>0</v>
          </cell>
          <cell r="C22">
            <v>0</v>
          </cell>
          <cell r="D22">
            <v>0</v>
          </cell>
          <cell r="E22">
            <v>0</v>
          </cell>
          <cell r="F22" t="str">
            <v xml:space="preserve"> /////////</v>
          </cell>
          <cell r="G22">
            <v>0</v>
          </cell>
          <cell r="H22">
            <v>0</v>
          </cell>
          <cell r="I22">
            <v>0</v>
          </cell>
          <cell r="J22">
            <v>0</v>
          </cell>
          <cell r="K22">
            <v>0</v>
          </cell>
          <cell r="L22">
            <v>0</v>
          </cell>
          <cell r="M22">
            <v>0</v>
          </cell>
          <cell r="N22">
            <v>14</v>
          </cell>
          <cell r="O22" t="str">
            <v>Premature Nursery</v>
          </cell>
          <cell r="P22" t="str">
            <v>PRE</v>
          </cell>
          <cell r="Q22">
            <v>0</v>
          </cell>
          <cell r="R22">
            <v>0</v>
          </cell>
          <cell r="S22">
            <v>0</v>
          </cell>
          <cell r="T22">
            <v>0</v>
          </cell>
          <cell r="U22">
            <v>0</v>
          </cell>
          <cell r="V22">
            <v>0</v>
          </cell>
          <cell r="W22">
            <v>0</v>
          </cell>
          <cell r="X22">
            <v>0</v>
          </cell>
          <cell r="Y22">
            <v>0</v>
          </cell>
          <cell r="Z22">
            <v>0</v>
          </cell>
        </row>
        <row r="23">
          <cell r="A23" t="str">
            <v>CHR</v>
          </cell>
          <cell r="B23">
            <v>0</v>
          </cell>
          <cell r="C23">
            <v>0</v>
          </cell>
          <cell r="D23">
            <v>0</v>
          </cell>
          <cell r="E23">
            <v>0</v>
          </cell>
          <cell r="F23" t="str">
            <v xml:space="preserve"> /////////</v>
          </cell>
          <cell r="G23">
            <v>0</v>
          </cell>
          <cell r="H23">
            <v>0</v>
          </cell>
          <cell r="I23">
            <v>0</v>
          </cell>
          <cell r="J23">
            <v>0</v>
          </cell>
          <cell r="K23">
            <v>0</v>
          </cell>
          <cell r="L23">
            <v>0</v>
          </cell>
          <cell r="M23">
            <v>0</v>
          </cell>
          <cell r="N23">
            <v>15</v>
          </cell>
          <cell r="O23" t="str">
            <v>Intermediate Care</v>
          </cell>
          <cell r="P23" t="str">
            <v>ICC</v>
          </cell>
          <cell r="Q23">
            <v>0</v>
          </cell>
          <cell r="R23">
            <v>0</v>
          </cell>
          <cell r="S23">
            <v>0</v>
          </cell>
          <cell r="T23">
            <v>0</v>
          </cell>
          <cell r="U23">
            <v>0</v>
          </cell>
          <cell r="V23">
            <v>0</v>
          </cell>
          <cell r="W23">
            <v>0</v>
          </cell>
          <cell r="X23">
            <v>0</v>
          </cell>
          <cell r="Y23">
            <v>0</v>
          </cell>
          <cell r="Z23">
            <v>0</v>
          </cell>
        </row>
        <row r="24">
          <cell r="A24" t="str">
            <v>EMG</v>
          </cell>
          <cell r="B24">
            <v>486997</v>
          </cell>
          <cell r="C24">
            <v>9472.0940932641788</v>
          </cell>
          <cell r="D24">
            <v>1242.2166772502644</v>
          </cell>
          <cell r="E24">
            <v>3077.2870134523064</v>
          </cell>
          <cell r="F24" t="str">
            <v xml:space="preserve"> /////////</v>
          </cell>
          <cell r="G24">
            <v>0</v>
          </cell>
          <cell r="H24">
            <v>0</v>
          </cell>
          <cell r="I24">
            <v>13791.59778396675</v>
          </cell>
          <cell r="J24">
            <v>1256.7</v>
          </cell>
          <cell r="K24">
            <v>0.24000000000000002</v>
          </cell>
          <cell r="L24">
            <v>15048.537783966751</v>
          </cell>
          <cell r="M24">
            <v>0</v>
          </cell>
          <cell r="N24">
            <v>16</v>
          </cell>
          <cell r="O24" t="str">
            <v>Emergency Services</v>
          </cell>
          <cell r="P24" t="str">
            <v>EMG</v>
          </cell>
          <cell r="Q24">
            <v>0</v>
          </cell>
          <cell r="R24">
            <v>-592.28800000000001</v>
          </cell>
          <cell r="S24">
            <v>14456.24978396675</v>
          </cell>
          <cell r="T24">
            <v>1454.1</v>
          </cell>
          <cell r="U24">
            <v>15910.349783966751</v>
          </cell>
          <cell r="V24">
            <v>0</v>
          </cell>
          <cell r="W24">
            <v>0</v>
          </cell>
          <cell r="X24">
            <v>0</v>
          </cell>
          <cell r="Y24">
            <v>15910.349783966751</v>
          </cell>
          <cell r="Z24">
            <v>32.670324014248031</v>
          </cell>
        </row>
        <row r="25">
          <cell r="A25" t="str">
            <v>CL</v>
          </cell>
          <cell r="B25">
            <v>257863</v>
          </cell>
          <cell r="C25">
            <v>6276.5276017304577</v>
          </cell>
          <cell r="D25">
            <v>822.16894701876913</v>
          </cell>
          <cell r="E25">
            <v>2072.1915038225407</v>
          </cell>
          <cell r="F25" t="str">
            <v xml:space="preserve"> /////////</v>
          </cell>
          <cell r="G25">
            <v>0</v>
          </cell>
          <cell r="H25">
            <v>0</v>
          </cell>
          <cell r="I25">
            <v>9170.8880525717686</v>
          </cell>
          <cell r="J25">
            <v>859.3</v>
          </cell>
          <cell r="K25">
            <v>0.01</v>
          </cell>
          <cell r="L25">
            <v>10030.198052571768</v>
          </cell>
          <cell r="M25">
            <v>0</v>
          </cell>
          <cell r="N25">
            <v>17</v>
          </cell>
          <cell r="O25" t="str">
            <v>Clinical Services</v>
          </cell>
          <cell r="P25" t="str">
            <v>CL</v>
          </cell>
          <cell r="Q25">
            <v>0</v>
          </cell>
          <cell r="R25">
            <v>-394.774</v>
          </cell>
          <cell r="S25">
            <v>9635.4240525717687</v>
          </cell>
          <cell r="T25">
            <v>969.2</v>
          </cell>
          <cell r="U25">
            <v>10604.624052571769</v>
          </cell>
          <cell r="V25">
            <v>0</v>
          </cell>
          <cell r="W25">
            <v>0</v>
          </cell>
          <cell r="X25">
            <v>0</v>
          </cell>
          <cell r="Y25">
            <v>10604.624052571769</v>
          </cell>
          <cell r="Z25">
            <v>41.12503171285438</v>
          </cell>
        </row>
        <row r="26">
          <cell r="A26" t="str">
            <v>PDC</v>
          </cell>
          <cell r="B26">
            <v>1736</v>
          </cell>
          <cell r="C26">
            <v>234.61896250000001</v>
          </cell>
          <cell r="D26">
            <v>14.260386978501545</v>
          </cell>
          <cell r="E26">
            <v>77.552275900601984</v>
          </cell>
          <cell r="F26" t="str">
            <v xml:space="preserve"> /////////</v>
          </cell>
          <cell r="G26">
            <v>0</v>
          </cell>
          <cell r="H26">
            <v>0</v>
          </cell>
          <cell r="I26">
            <v>326.43162537910354</v>
          </cell>
          <cell r="J26">
            <v>18.600000000000001</v>
          </cell>
          <cell r="K26">
            <v>0</v>
          </cell>
          <cell r="L26">
            <v>345.03162537910356</v>
          </cell>
          <cell r="M26">
            <v>0</v>
          </cell>
          <cell r="N26">
            <v>18</v>
          </cell>
          <cell r="O26" t="str">
            <v>Psych. Day &amp; Night Care</v>
          </cell>
          <cell r="P26" t="str">
            <v>PDC</v>
          </cell>
          <cell r="Q26">
            <v>0</v>
          </cell>
          <cell r="R26">
            <v>-13.58</v>
          </cell>
          <cell r="S26">
            <v>331.45162537910358</v>
          </cell>
          <cell r="T26">
            <v>33.299999999999997</v>
          </cell>
          <cell r="U26">
            <v>364.75162537910359</v>
          </cell>
          <cell r="V26">
            <v>0</v>
          </cell>
          <cell r="W26">
            <v>0</v>
          </cell>
          <cell r="X26">
            <v>0</v>
          </cell>
          <cell r="Y26">
            <v>364.75162537910359</v>
          </cell>
          <cell r="Z26">
            <v>210.11038328289376</v>
          </cell>
        </row>
        <row r="27">
          <cell r="A27" t="str">
            <v>SDS</v>
          </cell>
          <cell r="B27">
            <v>5523</v>
          </cell>
          <cell r="C27">
            <v>1868.32448</v>
          </cell>
          <cell r="D27">
            <v>214.0682834360467</v>
          </cell>
          <cell r="E27">
            <v>575.57034416671445</v>
          </cell>
          <cell r="F27" t="str">
            <v xml:space="preserve"> /////////</v>
          </cell>
          <cell r="G27">
            <v>0</v>
          </cell>
          <cell r="H27">
            <v>0</v>
          </cell>
          <cell r="I27">
            <v>2657.9631076027608</v>
          </cell>
          <cell r="J27">
            <v>176.6</v>
          </cell>
          <cell r="K27">
            <v>0</v>
          </cell>
          <cell r="L27">
            <v>2834.5631076027607</v>
          </cell>
          <cell r="M27">
            <v>0</v>
          </cell>
          <cell r="N27">
            <v>19</v>
          </cell>
          <cell r="O27" t="str">
            <v>Same Day Surgery</v>
          </cell>
          <cell r="P27" t="str">
            <v>SDS</v>
          </cell>
          <cell r="Q27">
            <v>0</v>
          </cell>
          <cell r="R27">
            <v>-111.56399999999999</v>
          </cell>
          <cell r="S27">
            <v>2722.9991076027609</v>
          </cell>
          <cell r="T27">
            <v>273.89999999999998</v>
          </cell>
          <cell r="U27">
            <v>2996.899107602761</v>
          </cell>
          <cell r="V27">
            <v>0</v>
          </cell>
          <cell r="W27">
            <v>0</v>
          </cell>
          <cell r="X27">
            <v>0</v>
          </cell>
          <cell r="Y27">
            <v>2996.899107602761</v>
          </cell>
          <cell r="Z27">
            <v>542.62160195595891</v>
          </cell>
        </row>
        <row r="28">
          <cell r="A28" t="str">
            <v>DEL</v>
          </cell>
          <cell r="B28">
            <v>97296</v>
          </cell>
          <cell r="C28">
            <v>4211.2879685443313</v>
          </cell>
          <cell r="D28">
            <v>579.16378101559064</v>
          </cell>
          <cell r="E28">
            <v>1408.2553519949056</v>
          </cell>
          <cell r="F28" t="str">
            <v xml:space="preserve"> /////////</v>
          </cell>
          <cell r="G28">
            <v>0</v>
          </cell>
          <cell r="H28">
            <v>0</v>
          </cell>
          <cell r="I28">
            <v>6198.7071015548281</v>
          </cell>
          <cell r="J28">
            <v>616.29999999999995</v>
          </cell>
          <cell r="K28">
            <v>0.06</v>
          </cell>
          <cell r="L28">
            <v>6815.0671015548287</v>
          </cell>
          <cell r="M28">
            <v>0</v>
          </cell>
          <cell r="N28">
            <v>20</v>
          </cell>
          <cell r="O28" t="str">
            <v>Labor &amp; Delivery Services</v>
          </cell>
          <cell r="P28" t="str">
            <v>DEL</v>
          </cell>
          <cell r="Q28">
            <v>0</v>
          </cell>
          <cell r="R28">
            <v>-268.23099999999999</v>
          </cell>
          <cell r="S28">
            <v>6546.8361015548289</v>
          </cell>
          <cell r="T28">
            <v>658.5</v>
          </cell>
          <cell r="U28">
            <v>7205.3361015548289</v>
          </cell>
          <cell r="V28">
            <v>0</v>
          </cell>
          <cell r="W28">
            <v>0</v>
          </cell>
          <cell r="X28">
            <v>0</v>
          </cell>
          <cell r="Y28">
            <v>7205.3361015548289</v>
          </cell>
          <cell r="Z28">
            <v>74.05583067705588</v>
          </cell>
        </row>
        <row r="29">
          <cell r="A29" t="str">
            <v>OR</v>
          </cell>
          <cell r="B29">
            <v>1190372</v>
          </cell>
          <cell r="C29">
            <v>15891.246628009467</v>
          </cell>
          <cell r="D29">
            <v>3272.2986088437638</v>
          </cell>
          <cell r="E29">
            <v>5754.2755295842599</v>
          </cell>
          <cell r="F29" t="str">
            <v xml:space="preserve"> /////////</v>
          </cell>
          <cell r="G29">
            <v>389.00670070521306</v>
          </cell>
          <cell r="H29">
            <v>0</v>
          </cell>
          <cell r="I29">
            <v>25306.827467142706</v>
          </cell>
          <cell r="J29">
            <v>3485.2</v>
          </cell>
          <cell r="K29">
            <v>1418.5443459999999</v>
          </cell>
          <cell r="L29">
            <v>30210.571813142706</v>
          </cell>
          <cell r="M29">
            <v>0</v>
          </cell>
          <cell r="N29">
            <v>21</v>
          </cell>
          <cell r="O29" t="str">
            <v>Operating Room</v>
          </cell>
          <cell r="P29" t="str">
            <v>OR</v>
          </cell>
          <cell r="Q29">
            <v>0</v>
          </cell>
          <cell r="R29">
            <v>-1189.0440000000001</v>
          </cell>
          <cell r="S29">
            <v>29021.527813142704</v>
          </cell>
          <cell r="T29">
            <v>2919.2</v>
          </cell>
          <cell r="U29">
            <v>31940.727813142705</v>
          </cell>
          <cell r="V29">
            <v>0</v>
          </cell>
          <cell r="W29">
            <v>0</v>
          </cell>
          <cell r="X29">
            <v>0</v>
          </cell>
          <cell r="Y29">
            <v>31940.727813142705</v>
          </cell>
          <cell r="Z29">
            <v>26.832559748669077</v>
          </cell>
        </row>
        <row r="30">
          <cell r="A30" t="str">
            <v>ORC</v>
          </cell>
          <cell r="B30">
            <v>4194</v>
          </cell>
          <cell r="C30">
            <v>11.43825</v>
          </cell>
          <cell r="D30">
            <v>2.5538971847254448</v>
          </cell>
          <cell r="E30">
            <v>4.8335195059979874</v>
          </cell>
          <cell r="F30" t="str">
            <v xml:space="preserve"> /////////</v>
          </cell>
          <cell r="G30">
            <v>0</v>
          </cell>
          <cell r="H30">
            <v>0</v>
          </cell>
          <cell r="I30">
            <v>18.82566669072343</v>
          </cell>
          <cell r="J30">
            <v>2.9</v>
          </cell>
          <cell r="K30">
            <v>0</v>
          </cell>
          <cell r="L30">
            <v>21.725666690723429</v>
          </cell>
          <cell r="M30">
            <v>0</v>
          </cell>
          <cell r="N30">
            <v>22</v>
          </cell>
          <cell r="O30" t="str">
            <v>Operating Room Clinic</v>
          </cell>
          <cell r="P30" t="str">
            <v>ORC</v>
          </cell>
          <cell r="Q30">
            <v>0</v>
          </cell>
          <cell r="R30">
            <v>-0.85499999999999998</v>
          </cell>
          <cell r="S30">
            <v>20.870666690723429</v>
          </cell>
          <cell r="T30">
            <v>2.1</v>
          </cell>
          <cell r="U30">
            <v>22.97066669072343</v>
          </cell>
          <cell r="V30">
            <v>0</v>
          </cell>
          <cell r="W30">
            <v>0</v>
          </cell>
          <cell r="X30">
            <v>0</v>
          </cell>
          <cell r="Y30">
            <v>22.97066669072343</v>
          </cell>
          <cell r="Z30">
            <v>5.4770306844834113</v>
          </cell>
        </row>
        <row r="31">
          <cell r="A31" t="str">
            <v>ANS</v>
          </cell>
          <cell r="B31">
            <v>1142348</v>
          </cell>
          <cell r="C31">
            <v>1283.6281209672156</v>
          </cell>
          <cell r="D31">
            <v>93.132725593592113</v>
          </cell>
          <cell r="E31">
            <v>451.5306629353687</v>
          </cell>
          <cell r="F31" t="str">
            <v xml:space="preserve"> /////////</v>
          </cell>
          <cell r="G31">
            <v>0</v>
          </cell>
          <cell r="H31">
            <v>0</v>
          </cell>
          <cell r="I31">
            <v>1828.2915094961763</v>
          </cell>
          <cell r="J31">
            <v>76</v>
          </cell>
          <cell r="K31">
            <v>0</v>
          </cell>
          <cell r="L31">
            <v>1904.2915094961763</v>
          </cell>
          <cell r="M31">
            <v>0</v>
          </cell>
          <cell r="N31">
            <v>23</v>
          </cell>
          <cell r="O31" t="str">
            <v>Anesthesiology</v>
          </cell>
          <cell r="P31" t="str">
            <v>ANS</v>
          </cell>
          <cell r="Q31">
            <v>0</v>
          </cell>
          <cell r="R31">
            <v>-74.95</v>
          </cell>
          <cell r="S31">
            <v>1829.3415094961763</v>
          </cell>
          <cell r="T31">
            <v>184</v>
          </cell>
          <cell r="U31">
            <v>2013.3415094961763</v>
          </cell>
          <cell r="V31">
            <v>0</v>
          </cell>
          <cell r="W31">
            <v>0</v>
          </cell>
          <cell r="X31">
            <v>0</v>
          </cell>
          <cell r="Y31">
            <v>2013.3415094961763</v>
          </cell>
          <cell r="Z31">
            <v>1.7624589962920023</v>
          </cell>
        </row>
        <row r="32">
          <cell r="A32" t="str">
            <v>LAB</v>
          </cell>
          <cell r="B32">
            <v>11691696</v>
          </cell>
          <cell r="C32">
            <v>10543.677055394794</v>
          </cell>
          <cell r="D32">
            <v>1394.7923830741233</v>
          </cell>
          <cell r="E32">
            <v>3733.8139409373548</v>
          </cell>
          <cell r="F32" t="str">
            <v xml:space="preserve"> /////////</v>
          </cell>
          <cell r="G32">
            <v>0</v>
          </cell>
          <cell r="H32">
            <v>0</v>
          </cell>
          <cell r="I32">
            <v>15672.283379406272</v>
          </cell>
          <cell r="J32">
            <v>1113.5999999999999</v>
          </cell>
          <cell r="K32">
            <v>197.38654700000001</v>
          </cell>
          <cell r="L32">
            <v>16983.269926406268</v>
          </cell>
          <cell r="M32">
            <v>0</v>
          </cell>
          <cell r="N32">
            <v>24</v>
          </cell>
          <cell r="O32" t="str">
            <v>Laboratory Services</v>
          </cell>
          <cell r="P32" t="str">
            <v>LAB</v>
          </cell>
          <cell r="Q32">
            <v>0</v>
          </cell>
          <cell r="R32">
            <v>-668.43700000000001</v>
          </cell>
          <cell r="S32">
            <v>16314.832926406269</v>
          </cell>
          <cell r="T32">
            <v>1641.1</v>
          </cell>
          <cell r="U32">
            <v>17955.932926406269</v>
          </cell>
          <cell r="V32">
            <v>0</v>
          </cell>
          <cell r="W32">
            <v>0</v>
          </cell>
          <cell r="X32">
            <v>0</v>
          </cell>
          <cell r="Y32">
            <v>17955.932926406269</v>
          </cell>
          <cell r="Z32">
            <v>1.5357851355702601</v>
          </cell>
        </row>
        <row r="33">
          <cell r="A33" t="str">
            <v>EKG</v>
          </cell>
          <cell r="B33">
            <v>752547</v>
          </cell>
          <cell r="C33">
            <v>989.82997607410675</v>
          </cell>
          <cell r="D33">
            <v>301.20026624583488</v>
          </cell>
          <cell r="E33">
            <v>363.7701946117291</v>
          </cell>
          <cell r="F33" t="str">
            <v xml:space="preserve"> /////////</v>
          </cell>
          <cell r="G33">
            <v>0.70195985556695129</v>
          </cell>
          <cell r="H33">
            <v>0</v>
          </cell>
          <cell r="I33">
            <v>1655.5023967872376</v>
          </cell>
          <cell r="J33">
            <v>344</v>
          </cell>
          <cell r="K33">
            <v>0</v>
          </cell>
          <cell r="L33">
            <v>1999.5023967872376</v>
          </cell>
          <cell r="M33">
            <v>0</v>
          </cell>
          <cell r="N33">
            <v>25</v>
          </cell>
          <cell r="O33" t="str">
            <v>Electrocardiography</v>
          </cell>
          <cell r="P33" t="str">
            <v>EKG</v>
          </cell>
          <cell r="Q33">
            <v>0</v>
          </cell>
          <cell r="R33">
            <v>-78.697000000000003</v>
          </cell>
          <cell r="S33">
            <v>1920.8053967872374</v>
          </cell>
          <cell r="T33">
            <v>193.2</v>
          </cell>
          <cell r="U33">
            <v>2114.0053967872373</v>
          </cell>
          <cell r="V33">
            <v>0</v>
          </cell>
          <cell r="W33">
            <v>0</v>
          </cell>
          <cell r="X33">
            <v>0</v>
          </cell>
          <cell r="Y33">
            <v>2114.0053967872373</v>
          </cell>
          <cell r="Z33">
            <v>2.8091340431723699</v>
          </cell>
        </row>
        <row r="34">
          <cell r="A34" t="str">
            <v>IRC</v>
          </cell>
          <cell r="B34">
            <v>130721</v>
          </cell>
          <cell r="C34">
            <v>5618.5887744248394</v>
          </cell>
          <cell r="D34">
            <v>1209.036140238318</v>
          </cell>
          <cell r="E34">
            <v>1977.9599831598819</v>
          </cell>
          <cell r="F34" t="str">
            <v xml:space="preserve"> /////////</v>
          </cell>
          <cell r="G34">
            <v>5.7069947415211528</v>
          </cell>
          <cell r="H34">
            <v>0</v>
          </cell>
          <cell r="I34">
            <v>8811.291892564559</v>
          </cell>
          <cell r="J34">
            <v>1342.7</v>
          </cell>
          <cell r="K34">
            <v>522.31406000000004</v>
          </cell>
          <cell r="L34">
            <v>10676.30595256456</v>
          </cell>
          <cell r="M34">
            <v>0</v>
          </cell>
          <cell r="N34">
            <v>26</v>
          </cell>
          <cell r="O34" t="str">
            <v>Invasive Radiology/Cardiovascular</v>
          </cell>
          <cell r="P34" t="str">
            <v>IRC</v>
          </cell>
          <cell r="Q34">
            <v>0</v>
          </cell>
          <cell r="R34">
            <v>-420.20400000000001</v>
          </cell>
          <cell r="S34">
            <v>10256.101952564561</v>
          </cell>
          <cell r="T34">
            <v>1031.5999999999999</v>
          </cell>
          <cell r="U34">
            <v>11287.701952564561</v>
          </cell>
          <cell r="V34">
            <v>0</v>
          </cell>
          <cell r="W34">
            <v>0</v>
          </cell>
          <cell r="X34">
            <v>0</v>
          </cell>
          <cell r="Y34">
            <v>11287.701952564561</v>
          </cell>
          <cell r="Z34">
            <v>86.34956856637082</v>
          </cell>
        </row>
        <row r="35">
          <cell r="A35" t="str">
            <v>RAD</v>
          </cell>
          <cell r="B35">
            <v>389100</v>
          </cell>
          <cell r="C35">
            <v>4565.8630791335709</v>
          </cell>
          <cell r="D35">
            <v>997.72531576129109</v>
          </cell>
          <cell r="E35">
            <v>1760.8725485749678</v>
          </cell>
          <cell r="F35" t="str">
            <v xml:space="preserve"> /////////</v>
          </cell>
          <cell r="G35">
            <v>0</v>
          </cell>
          <cell r="H35">
            <v>0</v>
          </cell>
          <cell r="I35">
            <v>7324.4609434698305</v>
          </cell>
          <cell r="J35">
            <v>1074</v>
          </cell>
          <cell r="K35">
            <v>658.78573400000016</v>
          </cell>
          <cell r="L35">
            <v>9057.2466774698314</v>
          </cell>
          <cell r="M35">
            <v>0</v>
          </cell>
          <cell r="N35">
            <v>27</v>
          </cell>
          <cell r="O35" t="str">
            <v>Radiology-Diagnostic</v>
          </cell>
          <cell r="P35" t="str">
            <v>RAD</v>
          </cell>
          <cell r="Q35">
            <v>0</v>
          </cell>
          <cell r="R35">
            <v>-356.48</v>
          </cell>
          <cell r="S35">
            <v>8700.7666774698318</v>
          </cell>
          <cell r="T35">
            <v>875.2</v>
          </cell>
          <cell r="U35">
            <v>9575.9666774698326</v>
          </cell>
          <cell r="V35">
            <v>0</v>
          </cell>
          <cell r="W35">
            <v>0</v>
          </cell>
          <cell r="X35">
            <v>0</v>
          </cell>
          <cell r="Y35">
            <v>9575.9666774698326</v>
          </cell>
          <cell r="Z35">
            <v>24.610554298303349</v>
          </cell>
        </row>
        <row r="36">
          <cell r="A36" t="str">
            <v>CAT</v>
          </cell>
          <cell r="B36">
            <v>583451</v>
          </cell>
          <cell r="C36">
            <v>1626.2420468019409</v>
          </cell>
          <cell r="D36">
            <v>90.81438948918597</v>
          </cell>
          <cell r="E36">
            <v>618.0990090960729</v>
          </cell>
          <cell r="F36" t="str">
            <v xml:space="preserve"> /////////</v>
          </cell>
          <cell r="G36">
            <v>0</v>
          </cell>
          <cell r="H36">
            <v>0</v>
          </cell>
          <cell r="I36">
            <v>2335.1554453871995</v>
          </cell>
          <cell r="J36">
            <v>43.2</v>
          </cell>
          <cell r="K36">
            <v>19.225999999999999</v>
          </cell>
          <cell r="L36">
            <v>2397.5814453871994</v>
          </cell>
          <cell r="M36">
            <v>0</v>
          </cell>
          <cell r="N36">
            <v>28</v>
          </cell>
          <cell r="O36" t="str">
            <v>CT Scanner</v>
          </cell>
          <cell r="P36" t="str">
            <v>CAT</v>
          </cell>
          <cell r="Q36">
            <v>0</v>
          </cell>
          <cell r="R36">
            <v>-94.364999999999995</v>
          </cell>
          <cell r="S36">
            <v>2303.2164453871997</v>
          </cell>
          <cell r="T36">
            <v>231.7</v>
          </cell>
          <cell r="U36">
            <v>2534.9164453871995</v>
          </cell>
          <cell r="V36">
            <v>0</v>
          </cell>
          <cell r="W36">
            <v>0</v>
          </cell>
          <cell r="X36">
            <v>0</v>
          </cell>
          <cell r="Y36">
            <v>2534.9164453871995</v>
          </cell>
          <cell r="Z36">
            <v>4.3446946622547555</v>
          </cell>
        </row>
        <row r="37">
          <cell r="A37" t="str">
            <v>RAT</v>
          </cell>
          <cell r="B37">
            <v>226184</v>
          </cell>
          <cell r="C37">
            <v>3686.3</v>
          </cell>
          <cell r="D37">
            <v>343.66845530824463</v>
          </cell>
          <cell r="E37">
            <v>1542.353398332504</v>
          </cell>
          <cell r="F37" t="str">
            <v xml:space="preserve"> /////////</v>
          </cell>
          <cell r="G37">
            <v>0</v>
          </cell>
          <cell r="H37">
            <v>0</v>
          </cell>
          <cell r="I37">
            <v>5572.3218536407485</v>
          </cell>
          <cell r="J37">
            <v>34.4</v>
          </cell>
          <cell r="K37">
            <v>0</v>
          </cell>
          <cell r="L37">
            <v>5606.7218536407481</v>
          </cell>
          <cell r="M37">
            <v>0</v>
          </cell>
          <cell r="N37">
            <v>29</v>
          </cell>
          <cell r="O37" t="str">
            <v>Radiology-Therapeutic</v>
          </cell>
          <cell r="P37" t="str">
            <v>RAT</v>
          </cell>
          <cell r="Q37">
            <v>0</v>
          </cell>
          <cell r="R37">
            <v>-220.672</v>
          </cell>
          <cell r="S37">
            <v>5386.0498536407486</v>
          </cell>
          <cell r="T37">
            <v>541.79999999999995</v>
          </cell>
          <cell r="U37">
            <v>5927.8498536407487</v>
          </cell>
          <cell r="V37">
            <v>0</v>
          </cell>
          <cell r="W37">
            <v>0</v>
          </cell>
          <cell r="X37">
            <v>0</v>
          </cell>
          <cell r="Y37">
            <v>5927.8498536407487</v>
          </cell>
          <cell r="Z37">
            <v>26.20808657394311</v>
          </cell>
        </row>
        <row r="38">
          <cell r="A38" t="str">
            <v>NUC</v>
          </cell>
          <cell r="B38">
            <v>181014</v>
          </cell>
          <cell r="C38">
            <v>2145.9086124702253</v>
          </cell>
          <cell r="D38">
            <v>804.33673879542664</v>
          </cell>
          <cell r="E38">
            <v>890.9790804922294</v>
          </cell>
          <cell r="F38" t="str">
            <v xml:space="preserve"> /////////</v>
          </cell>
          <cell r="G38">
            <v>0</v>
          </cell>
          <cell r="H38">
            <v>0</v>
          </cell>
          <cell r="I38">
            <v>3841.2244317578816</v>
          </cell>
          <cell r="J38">
            <v>763.6</v>
          </cell>
          <cell r="K38">
            <v>324.43219999999997</v>
          </cell>
          <cell r="L38">
            <v>4929.2566317578821</v>
          </cell>
          <cell r="M38">
            <v>0</v>
          </cell>
          <cell r="N38">
            <v>30</v>
          </cell>
          <cell r="O38" t="str">
            <v>Nuclear Medicine</v>
          </cell>
          <cell r="P38" t="str">
            <v>NUC</v>
          </cell>
          <cell r="Q38">
            <v>0</v>
          </cell>
          <cell r="R38">
            <v>-194.00800000000001</v>
          </cell>
          <cell r="S38">
            <v>4735.2486317578823</v>
          </cell>
          <cell r="T38">
            <v>476.3</v>
          </cell>
          <cell r="U38">
            <v>5211.5486317578825</v>
          </cell>
          <cell r="V38">
            <v>0</v>
          </cell>
          <cell r="W38">
            <v>0</v>
          </cell>
          <cell r="X38">
            <v>0</v>
          </cell>
          <cell r="Y38">
            <v>5211.5486317578825</v>
          </cell>
          <cell r="Z38">
            <v>28.790859445998006</v>
          </cell>
        </row>
        <row r="39">
          <cell r="A39" t="str">
            <v>RES</v>
          </cell>
          <cell r="B39">
            <v>3110049</v>
          </cell>
          <cell r="C39">
            <v>2967.3818536038821</v>
          </cell>
          <cell r="D39">
            <v>114.05317309133237</v>
          </cell>
          <cell r="E39">
            <v>920.78052567927625</v>
          </cell>
          <cell r="F39" t="str">
            <v xml:space="preserve"> /////////</v>
          </cell>
          <cell r="G39">
            <v>0</v>
          </cell>
          <cell r="H39">
            <v>0</v>
          </cell>
          <cell r="I39">
            <v>4002.2155523744905</v>
          </cell>
          <cell r="J39">
            <v>110.7</v>
          </cell>
          <cell r="K39">
            <v>0</v>
          </cell>
          <cell r="L39">
            <v>4112.9155523744903</v>
          </cell>
          <cell r="M39">
            <v>0</v>
          </cell>
          <cell r="N39">
            <v>31</v>
          </cell>
          <cell r="O39" t="str">
            <v>Respiratory Therapy</v>
          </cell>
          <cell r="P39" t="str">
            <v>RES</v>
          </cell>
          <cell r="Q39">
            <v>0</v>
          </cell>
          <cell r="R39">
            <v>-161.87799999999999</v>
          </cell>
          <cell r="S39">
            <v>3951.0375523744901</v>
          </cell>
          <cell r="T39">
            <v>397.4</v>
          </cell>
          <cell r="U39">
            <v>4348.4375523744902</v>
          </cell>
          <cell r="V39">
            <v>0</v>
          </cell>
          <cell r="W39">
            <v>0</v>
          </cell>
          <cell r="X39">
            <v>0</v>
          </cell>
          <cell r="Y39">
            <v>4348.4375523744902</v>
          </cell>
          <cell r="Z39">
            <v>1.3981894022809576</v>
          </cell>
        </row>
        <row r="40">
          <cell r="A40" t="str">
            <v>PUL</v>
          </cell>
          <cell r="B40">
            <v>98026</v>
          </cell>
          <cell r="C40">
            <v>178.44825020291134</v>
          </cell>
          <cell r="D40">
            <v>52.275328692645409</v>
          </cell>
          <cell r="E40">
            <v>74.008925345313997</v>
          </cell>
          <cell r="F40" t="str">
            <v xml:space="preserve"> /////////</v>
          </cell>
          <cell r="G40">
            <v>0</v>
          </cell>
          <cell r="H40">
            <v>0</v>
          </cell>
          <cell r="I40">
            <v>304.73250424087075</v>
          </cell>
          <cell r="J40">
            <v>55.7</v>
          </cell>
          <cell r="K40">
            <v>0</v>
          </cell>
          <cell r="L40">
            <v>360.43250424087074</v>
          </cell>
          <cell r="M40">
            <v>0</v>
          </cell>
          <cell r="N40">
            <v>32</v>
          </cell>
          <cell r="O40" t="str">
            <v>Pulmonary Function Testing</v>
          </cell>
          <cell r="P40" t="str">
            <v>PUL</v>
          </cell>
          <cell r="Q40">
            <v>0</v>
          </cell>
          <cell r="R40">
            <v>-14.186</v>
          </cell>
          <cell r="S40">
            <v>346.24650424087076</v>
          </cell>
          <cell r="T40">
            <v>34.799999999999997</v>
          </cell>
          <cell r="U40">
            <v>381.04650424087077</v>
          </cell>
          <cell r="V40">
            <v>0</v>
          </cell>
          <cell r="W40">
            <v>0</v>
          </cell>
          <cell r="X40">
            <v>0</v>
          </cell>
          <cell r="Y40">
            <v>381.04650424087077</v>
          </cell>
          <cell r="Z40">
            <v>3.8871983375927894</v>
          </cell>
        </row>
        <row r="41">
          <cell r="A41" t="str">
            <v>EEG</v>
          </cell>
          <cell r="B41">
            <v>110342</v>
          </cell>
          <cell r="C41">
            <v>444.25234473753869</v>
          </cell>
          <cell r="D41">
            <v>211.49230819620132</v>
          </cell>
          <cell r="E41">
            <v>189.60418977308797</v>
          </cell>
          <cell r="F41" t="str">
            <v xml:space="preserve"> /////////</v>
          </cell>
          <cell r="G41">
            <v>0</v>
          </cell>
          <cell r="H41">
            <v>0</v>
          </cell>
          <cell r="I41">
            <v>845.34884270682801</v>
          </cell>
          <cell r="J41">
            <v>238.1</v>
          </cell>
          <cell r="K41">
            <v>0</v>
          </cell>
          <cell r="L41">
            <v>1083.4488427068279</v>
          </cell>
          <cell r="M41">
            <v>0</v>
          </cell>
          <cell r="N41">
            <v>33</v>
          </cell>
          <cell r="O41" t="str">
            <v>Electroencephalography</v>
          </cell>
          <cell r="P41" t="str">
            <v>EEG</v>
          </cell>
          <cell r="Q41">
            <v>0</v>
          </cell>
          <cell r="R41">
            <v>-42.643000000000001</v>
          </cell>
          <cell r="S41">
            <v>1040.8058427068279</v>
          </cell>
          <cell r="T41">
            <v>104.7</v>
          </cell>
          <cell r="U41">
            <v>1145.5058427068279</v>
          </cell>
          <cell r="V41">
            <v>0</v>
          </cell>
          <cell r="W41">
            <v>0</v>
          </cell>
          <cell r="X41">
            <v>0</v>
          </cell>
          <cell r="Y41">
            <v>1145.5058427068279</v>
          </cell>
          <cell r="Z41">
            <v>10.381412723231662</v>
          </cell>
        </row>
        <row r="42">
          <cell r="A42" t="str">
            <v>PTH</v>
          </cell>
          <cell r="B42">
            <v>347704</v>
          </cell>
          <cell r="C42">
            <v>1387.9268313365683</v>
          </cell>
          <cell r="D42">
            <v>204.78326245041714</v>
          </cell>
          <cell r="E42">
            <v>459.40068669380344</v>
          </cell>
          <cell r="F42" t="str">
            <v xml:space="preserve"> /////////</v>
          </cell>
          <cell r="G42">
            <v>0</v>
          </cell>
          <cell r="H42">
            <v>0</v>
          </cell>
          <cell r="I42">
            <v>2052.1107804807889</v>
          </cell>
          <cell r="J42">
            <v>229.9</v>
          </cell>
          <cell r="K42">
            <v>0</v>
          </cell>
          <cell r="L42">
            <v>2282.010780480789</v>
          </cell>
          <cell r="M42">
            <v>0</v>
          </cell>
          <cell r="N42">
            <v>34</v>
          </cell>
          <cell r="O42" t="str">
            <v>Physical Therapy</v>
          </cell>
          <cell r="P42" t="str">
            <v>PTH</v>
          </cell>
          <cell r="Q42">
            <v>0</v>
          </cell>
          <cell r="R42">
            <v>-89.816999999999993</v>
          </cell>
          <cell r="S42">
            <v>2192.193780480789</v>
          </cell>
          <cell r="T42">
            <v>220.5</v>
          </cell>
          <cell r="U42">
            <v>2412.693780480789</v>
          </cell>
          <cell r="V42">
            <v>0</v>
          </cell>
          <cell r="W42">
            <v>0</v>
          </cell>
          <cell r="X42">
            <v>0</v>
          </cell>
          <cell r="Y42">
            <v>2412.693780480789</v>
          </cell>
          <cell r="Z42">
            <v>6.9389301833766339</v>
          </cell>
        </row>
        <row r="43">
          <cell r="A43" t="str">
            <v>OTH</v>
          </cell>
          <cell r="B43">
            <v>317989</v>
          </cell>
          <cell r="C43">
            <v>1348.4180368019411</v>
          </cell>
          <cell r="D43">
            <v>17.955823142989935</v>
          </cell>
          <cell r="E43">
            <v>413.83202996046526</v>
          </cell>
          <cell r="F43" t="str">
            <v xml:space="preserve"> /////////</v>
          </cell>
          <cell r="G43">
            <v>0</v>
          </cell>
          <cell r="H43">
            <v>0</v>
          </cell>
          <cell r="I43">
            <v>1780.2058899053961</v>
          </cell>
          <cell r="J43">
            <v>29.2</v>
          </cell>
          <cell r="K43">
            <v>0</v>
          </cell>
          <cell r="L43">
            <v>1809.4058899053962</v>
          </cell>
          <cell r="M43">
            <v>0</v>
          </cell>
          <cell r="N43">
            <v>35</v>
          </cell>
          <cell r="O43" t="str">
            <v>Occupational Therapy</v>
          </cell>
          <cell r="P43" t="str">
            <v>OTH</v>
          </cell>
          <cell r="Q43">
            <v>0</v>
          </cell>
          <cell r="R43">
            <v>-71.215999999999994</v>
          </cell>
          <cell r="S43">
            <v>1738.1898899053963</v>
          </cell>
          <cell r="T43">
            <v>174.8</v>
          </cell>
          <cell r="U43">
            <v>1912.9898899053962</v>
          </cell>
          <cell r="V43">
            <v>0</v>
          </cell>
          <cell r="W43">
            <v>0</v>
          </cell>
          <cell r="X43">
            <v>0</v>
          </cell>
          <cell r="Y43">
            <v>1912.9898899053962</v>
          </cell>
          <cell r="Z43">
            <v>6.0158995748450304</v>
          </cell>
        </row>
        <row r="44">
          <cell r="A44" t="str">
            <v>STH</v>
          </cell>
          <cell r="B44">
            <v>35670</v>
          </cell>
          <cell r="C44">
            <v>166.16693999999998</v>
          </cell>
          <cell r="D44">
            <v>4.55791767411612</v>
          </cell>
          <cell r="E44">
            <v>54.992562479579369</v>
          </cell>
          <cell r="F44" t="str">
            <v xml:space="preserve"> /////////</v>
          </cell>
          <cell r="G44">
            <v>0</v>
          </cell>
          <cell r="H44">
            <v>0</v>
          </cell>
          <cell r="I44">
            <v>225.71742015369546</v>
          </cell>
          <cell r="J44">
            <v>6.6</v>
          </cell>
          <cell r="K44">
            <v>0</v>
          </cell>
          <cell r="L44">
            <v>232.31742015369545</v>
          </cell>
          <cell r="M44">
            <v>0</v>
          </cell>
          <cell r="N44">
            <v>36</v>
          </cell>
          <cell r="O44" t="str">
            <v>Speech Language Pathology</v>
          </cell>
          <cell r="P44" t="str">
            <v>STH</v>
          </cell>
          <cell r="Q44">
            <v>0</v>
          </cell>
          <cell r="R44">
            <v>-9.1440000000000001</v>
          </cell>
          <cell r="S44">
            <v>223.17342015369545</v>
          </cell>
          <cell r="T44">
            <v>22.4</v>
          </cell>
          <cell r="U44">
            <v>245.57342015369545</v>
          </cell>
          <cell r="V44">
            <v>0</v>
          </cell>
          <cell r="W44">
            <v>0</v>
          </cell>
          <cell r="X44">
            <v>0</v>
          </cell>
          <cell r="Y44">
            <v>245.57342015369545</v>
          </cell>
          <cell r="Z44">
            <v>6.8845926592008819</v>
          </cell>
        </row>
        <row r="45">
          <cell r="A45" t="str">
            <v>REC</v>
          </cell>
          <cell r="B45">
            <v>0</v>
          </cell>
          <cell r="C45">
            <v>0</v>
          </cell>
          <cell r="D45">
            <v>0</v>
          </cell>
          <cell r="E45">
            <v>0</v>
          </cell>
          <cell r="F45" t="str">
            <v xml:space="preserve"> /////////</v>
          </cell>
          <cell r="G45">
            <v>0</v>
          </cell>
          <cell r="H45">
            <v>0</v>
          </cell>
          <cell r="I45">
            <v>0</v>
          </cell>
          <cell r="J45">
            <v>0</v>
          </cell>
          <cell r="K45">
            <v>0</v>
          </cell>
          <cell r="L45">
            <v>0</v>
          </cell>
          <cell r="M45">
            <v>0</v>
          </cell>
          <cell r="N45">
            <v>37</v>
          </cell>
          <cell r="O45" t="str">
            <v>Recreational Therapy</v>
          </cell>
          <cell r="P45" t="str">
            <v>REC</v>
          </cell>
          <cell r="Q45">
            <v>0</v>
          </cell>
          <cell r="R45">
            <v>0</v>
          </cell>
          <cell r="S45">
            <v>0</v>
          </cell>
          <cell r="T45">
            <v>0</v>
          </cell>
          <cell r="U45">
            <v>0</v>
          </cell>
          <cell r="V45">
            <v>0</v>
          </cell>
          <cell r="W45">
            <v>0</v>
          </cell>
          <cell r="X45">
            <v>0</v>
          </cell>
          <cell r="Y45">
            <v>0</v>
          </cell>
          <cell r="Z45">
            <v>0</v>
          </cell>
        </row>
        <row r="46">
          <cell r="A46" t="str">
            <v>AUD</v>
          </cell>
          <cell r="B46">
            <v>8456</v>
          </cell>
          <cell r="C46">
            <v>100.5</v>
          </cell>
          <cell r="D46">
            <v>9.3694706775028038</v>
          </cell>
          <cell r="E46">
            <v>30.888403159085748</v>
          </cell>
          <cell r="F46" t="str">
            <v xml:space="preserve"> /////////</v>
          </cell>
          <cell r="G46">
            <v>0</v>
          </cell>
          <cell r="H46">
            <v>0</v>
          </cell>
          <cell r="I46">
            <v>140.75787383658854</v>
          </cell>
          <cell r="J46">
            <v>0.9</v>
          </cell>
          <cell r="K46">
            <v>0</v>
          </cell>
          <cell r="L46">
            <v>141.65787383658855</v>
          </cell>
          <cell r="M46">
            <v>0</v>
          </cell>
          <cell r="N46">
            <v>38</v>
          </cell>
          <cell r="O46" t="str">
            <v>Audiology</v>
          </cell>
          <cell r="P46" t="str">
            <v>AUD</v>
          </cell>
          <cell r="Q46">
            <v>0</v>
          </cell>
          <cell r="R46">
            <v>-5.5750000000000002</v>
          </cell>
          <cell r="S46">
            <v>136.08287383658856</v>
          </cell>
          <cell r="T46">
            <v>13.7</v>
          </cell>
          <cell r="U46">
            <v>149.78287383658855</v>
          </cell>
          <cell r="V46">
            <v>0</v>
          </cell>
          <cell r="W46">
            <v>0</v>
          </cell>
          <cell r="X46">
            <v>0</v>
          </cell>
          <cell r="Y46">
            <v>149.78287383658855</v>
          </cell>
          <cell r="Z46">
            <v>17.713206461280574</v>
          </cell>
        </row>
        <row r="47">
          <cell r="A47" t="str">
            <v>OPM</v>
          </cell>
          <cell r="B47">
            <v>0</v>
          </cell>
          <cell r="C47">
            <v>0</v>
          </cell>
          <cell r="D47">
            <v>0</v>
          </cell>
          <cell r="E47">
            <v>0</v>
          </cell>
          <cell r="F47" t="str">
            <v xml:space="preserve"> /////////</v>
          </cell>
          <cell r="G47">
            <v>0</v>
          </cell>
          <cell r="H47">
            <v>0</v>
          </cell>
          <cell r="I47">
            <v>0</v>
          </cell>
          <cell r="J47">
            <v>0</v>
          </cell>
          <cell r="K47">
            <v>0</v>
          </cell>
          <cell r="L47">
            <v>0</v>
          </cell>
          <cell r="M47">
            <v>0</v>
          </cell>
          <cell r="N47">
            <v>39</v>
          </cell>
          <cell r="O47" t="str">
            <v>Other Physical Medicine</v>
          </cell>
          <cell r="P47" t="str">
            <v>OPM</v>
          </cell>
          <cell r="Q47">
            <v>0</v>
          </cell>
          <cell r="R47">
            <v>0</v>
          </cell>
          <cell r="S47">
            <v>0</v>
          </cell>
          <cell r="T47">
            <v>0</v>
          </cell>
          <cell r="U47">
            <v>0</v>
          </cell>
          <cell r="V47">
            <v>0</v>
          </cell>
          <cell r="W47">
            <v>0</v>
          </cell>
          <cell r="X47">
            <v>0</v>
          </cell>
          <cell r="Y47">
            <v>0</v>
          </cell>
          <cell r="Z47">
            <v>0</v>
          </cell>
        </row>
        <row r="48">
          <cell r="A48" t="str">
            <v>RDL</v>
          </cell>
          <cell r="B48">
            <v>0</v>
          </cell>
          <cell r="C48">
            <v>0</v>
          </cell>
          <cell r="D48">
            <v>0</v>
          </cell>
          <cell r="E48">
            <v>0</v>
          </cell>
          <cell r="F48" t="str">
            <v xml:space="preserve"> /////////</v>
          </cell>
          <cell r="G48">
            <v>0</v>
          </cell>
          <cell r="H48">
            <v>0</v>
          </cell>
          <cell r="I48">
            <v>0</v>
          </cell>
          <cell r="J48">
            <v>0</v>
          </cell>
          <cell r="K48">
            <v>0</v>
          </cell>
          <cell r="L48">
            <v>0</v>
          </cell>
          <cell r="M48">
            <v>0</v>
          </cell>
          <cell r="N48">
            <v>40</v>
          </cell>
          <cell r="O48" t="str">
            <v>Renal Dialysis</v>
          </cell>
          <cell r="P48" t="str">
            <v>RDL</v>
          </cell>
          <cell r="Q48">
            <v>0</v>
          </cell>
          <cell r="R48">
            <v>0</v>
          </cell>
          <cell r="S48">
            <v>0</v>
          </cell>
          <cell r="T48">
            <v>0</v>
          </cell>
          <cell r="U48">
            <v>0</v>
          </cell>
          <cell r="V48">
            <v>0</v>
          </cell>
          <cell r="W48">
            <v>0</v>
          </cell>
          <cell r="X48">
            <v>0</v>
          </cell>
          <cell r="Y48">
            <v>0</v>
          </cell>
          <cell r="Z48">
            <v>0</v>
          </cell>
        </row>
        <row r="49">
          <cell r="A49" t="str">
            <v>OA</v>
          </cell>
          <cell r="B49">
            <v>0</v>
          </cell>
          <cell r="C49">
            <v>0</v>
          </cell>
          <cell r="D49">
            <v>0</v>
          </cell>
          <cell r="E49">
            <v>0</v>
          </cell>
          <cell r="F49" t="str">
            <v xml:space="preserve"> /////////</v>
          </cell>
          <cell r="G49">
            <v>0</v>
          </cell>
          <cell r="H49">
            <v>0</v>
          </cell>
          <cell r="I49">
            <v>0</v>
          </cell>
          <cell r="J49">
            <v>0</v>
          </cell>
          <cell r="K49">
            <v>0</v>
          </cell>
          <cell r="L49">
            <v>0</v>
          </cell>
          <cell r="M49">
            <v>0</v>
          </cell>
          <cell r="N49">
            <v>41</v>
          </cell>
          <cell r="O49" t="str">
            <v>Organ Acquisition</v>
          </cell>
          <cell r="P49" t="str">
            <v>OA</v>
          </cell>
          <cell r="Q49">
            <v>0</v>
          </cell>
          <cell r="R49">
            <v>0</v>
          </cell>
          <cell r="S49">
            <v>0</v>
          </cell>
          <cell r="T49">
            <v>0</v>
          </cell>
          <cell r="U49">
            <v>0</v>
          </cell>
          <cell r="V49">
            <v>0</v>
          </cell>
          <cell r="W49">
            <v>0</v>
          </cell>
          <cell r="X49">
            <v>0</v>
          </cell>
          <cell r="Y49">
            <v>0</v>
          </cell>
          <cell r="Z49">
            <v>0</v>
          </cell>
        </row>
        <row r="50">
          <cell r="A50" t="str">
            <v>LEU</v>
          </cell>
          <cell r="B50">
            <v>0</v>
          </cell>
          <cell r="C50">
            <v>0</v>
          </cell>
          <cell r="D50">
            <v>0</v>
          </cell>
          <cell r="E50">
            <v>0</v>
          </cell>
          <cell r="F50" t="str">
            <v xml:space="preserve"> /////////</v>
          </cell>
          <cell r="G50">
            <v>0</v>
          </cell>
          <cell r="H50">
            <v>0</v>
          </cell>
          <cell r="I50">
            <v>0</v>
          </cell>
          <cell r="J50">
            <v>0</v>
          </cell>
          <cell r="K50">
            <v>0</v>
          </cell>
          <cell r="L50">
            <v>0</v>
          </cell>
          <cell r="M50">
            <v>0</v>
          </cell>
          <cell r="N50">
            <v>42</v>
          </cell>
          <cell r="O50" t="str">
            <v>Leukopheresis</v>
          </cell>
          <cell r="P50" t="str">
            <v>LEU</v>
          </cell>
          <cell r="Q50">
            <v>0</v>
          </cell>
          <cell r="R50">
            <v>0</v>
          </cell>
          <cell r="S50">
            <v>0</v>
          </cell>
          <cell r="T50">
            <v>0</v>
          </cell>
          <cell r="U50">
            <v>0</v>
          </cell>
          <cell r="V50">
            <v>0</v>
          </cell>
          <cell r="W50">
            <v>0</v>
          </cell>
          <cell r="X50">
            <v>0</v>
          </cell>
          <cell r="Y50">
            <v>0</v>
          </cell>
          <cell r="Z50">
            <v>0</v>
          </cell>
        </row>
        <row r="51">
          <cell r="A51" t="str">
            <v>HYP</v>
          </cell>
          <cell r="B51">
            <v>0</v>
          </cell>
          <cell r="C51">
            <v>0</v>
          </cell>
          <cell r="D51">
            <v>0</v>
          </cell>
          <cell r="E51">
            <v>0</v>
          </cell>
          <cell r="F51" t="str">
            <v xml:space="preserve"> /////////</v>
          </cell>
          <cell r="G51">
            <v>0</v>
          </cell>
          <cell r="H51">
            <v>0</v>
          </cell>
          <cell r="I51">
            <v>0</v>
          </cell>
          <cell r="J51">
            <v>0</v>
          </cell>
          <cell r="K51">
            <v>0</v>
          </cell>
          <cell r="L51">
            <v>0</v>
          </cell>
          <cell r="M51">
            <v>0</v>
          </cell>
          <cell r="N51">
            <v>43</v>
          </cell>
          <cell r="O51" t="str">
            <v>Hyperbaric Chamber</v>
          </cell>
          <cell r="P51" t="str">
            <v>HYP</v>
          </cell>
          <cell r="Q51">
            <v>0</v>
          </cell>
          <cell r="R51">
            <v>0</v>
          </cell>
          <cell r="S51">
            <v>0</v>
          </cell>
          <cell r="T51">
            <v>0</v>
          </cell>
          <cell r="U51">
            <v>0</v>
          </cell>
          <cell r="V51">
            <v>0</v>
          </cell>
          <cell r="W51">
            <v>0</v>
          </cell>
          <cell r="X51">
            <v>0</v>
          </cell>
          <cell r="Y51">
            <v>0</v>
          </cell>
          <cell r="Z51">
            <v>0</v>
          </cell>
        </row>
        <row r="52">
          <cell r="A52" t="str">
            <v>FSE</v>
          </cell>
          <cell r="B52">
            <v>0</v>
          </cell>
          <cell r="C52">
            <v>0</v>
          </cell>
          <cell r="D52">
            <v>0</v>
          </cell>
          <cell r="E52">
            <v>0</v>
          </cell>
          <cell r="F52" t="str">
            <v xml:space="preserve"> /////////</v>
          </cell>
          <cell r="G52">
            <v>0</v>
          </cell>
          <cell r="H52">
            <v>0</v>
          </cell>
          <cell r="I52">
            <v>0</v>
          </cell>
          <cell r="J52">
            <v>0</v>
          </cell>
          <cell r="K52">
            <v>0</v>
          </cell>
          <cell r="L52">
            <v>0</v>
          </cell>
          <cell r="M52">
            <v>0</v>
          </cell>
          <cell r="N52">
            <v>44</v>
          </cell>
          <cell r="O52" t="str">
            <v>Free Standing Emergency</v>
          </cell>
          <cell r="P52" t="str">
            <v>FSE</v>
          </cell>
          <cell r="Q52">
            <v>0</v>
          </cell>
          <cell r="R52">
            <v>0</v>
          </cell>
          <cell r="S52">
            <v>0</v>
          </cell>
          <cell r="T52">
            <v>0</v>
          </cell>
          <cell r="U52">
            <v>0</v>
          </cell>
          <cell r="V52">
            <v>0</v>
          </cell>
          <cell r="W52">
            <v>0</v>
          </cell>
          <cell r="X52">
            <v>0</v>
          </cell>
          <cell r="Y52">
            <v>0</v>
          </cell>
          <cell r="Z52">
            <v>0</v>
          </cell>
        </row>
        <row r="53">
          <cell r="A53" t="str">
            <v>MRI</v>
          </cell>
          <cell r="B53">
            <v>28018</v>
          </cell>
          <cell r="C53">
            <v>804.04016999999999</v>
          </cell>
          <cell r="D53">
            <v>76.118059183590418</v>
          </cell>
          <cell r="E53">
            <v>256.34139181605684</v>
          </cell>
          <cell r="F53" t="str">
            <v xml:space="preserve"> /////////</v>
          </cell>
          <cell r="G53">
            <v>0</v>
          </cell>
          <cell r="H53">
            <v>0</v>
          </cell>
          <cell r="I53">
            <v>1136.4996209996473</v>
          </cell>
          <cell r="J53">
            <v>7.5</v>
          </cell>
          <cell r="K53">
            <v>0</v>
          </cell>
          <cell r="L53">
            <v>1143.9996209996473</v>
          </cell>
          <cell r="M53">
            <v>0</v>
          </cell>
          <cell r="N53">
            <v>45</v>
          </cell>
          <cell r="O53" t="str">
            <v>Magnetic Resonance Imaging</v>
          </cell>
          <cell r="P53" t="str">
            <v>MRI</v>
          </cell>
          <cell r="Q53">
            <v>0</v>
          </cell>
          <cell r="R53">
            <v>-45.026000000000003</v>
          </cell>
          <cell r="S53">
            <v>1098.9736209996472</v>
          </cell>
          <cell r="T53">
            <v>110.5</v>
          </cell>
          <cell r="U53">
            <v>1209.4736209996472</v>
          </cell>
          <cell r="V53">
            <v>0</v>
          </cell>
          <cell r="W53">
            <v>0</v>
          </cell>
          <cell r="X53">
            <v>0</v>
          </cell>
          <cell r="Y53">
            <v>1209.4736209996472</v>
          </cell>
          <cell r="Z53">
            <v>43.167735776987911</v>
          </cell>
        </row>
        <row r="54">
          <cell r="A54" t="str">
            <v>LIT</v>
          </cell>
          <cell r="B54">
            <v>21</v>
          </cell>
          <cell r="C54">
            <v>24</v>
          </cell>
          <cell r="D54">
            <v>2.2374855349260425</v>
          </cell>
          <cell r="E54">
            <v>10.124963146745504</v>
          </cell>
          <cell r="F54" t="str">
            <v xml:space="preserve"> /////////</v>
          </cell>
          <cell r="G54">
            <v>0</v>
          </cell>
          <cell r="H54">
            <v>0</v>
          </cell>
          <cell r="I54">
            <v>36.362448681671552</v>
          </cell>
          <cell r="J54">
            <v>0.2</v>
          </cell>
          <cell r="K54">
            <v>0</v>
          </cell>
          <cell r="L54">
            <v>36.562448681671555</v>
          </cell>
          <cell r="M54">
            <v>0</v>
          </cell>
          <cell r="N54">
            <v>46</v>
          </cell>
          <cell r="O54" t="str">
            <v>Lithotripsy</v>
          </cell>
          <cell r="P54" t="str">
            <v>LIT</v>
          </cell>
          <cell r="Q54">
            <v>0</v>
          </cell>
          <cell r="R54">
            <v>-1.4390000000000001</v>
          </cell>
          <cell r="S54">
            <v>35.123448681671555</v>
          </cell>
          <cell r="T54">
            <v>3.5</v>
          </cell>
          <cell r="U54">
            <v>38.623448681671555</v>
          </cell>
          <cell r="V54">
            <v>0</v>
          </cell>
          <cell r="W54">
            <v>0</v>
          </cell>
          <cell r="X54">
            <v>0</v>
          </cell>
          <cell r="Y54">
            <v>38.623448681671555</v>
          </cell>
          <cell r="Z54">
            <v>1839.2118419843598</v>
          </cell>
        </row>
        <row r="55">
          <cell r="A55" t="str">
            <v>RHB</v>
          </cell>
          <cell r="B55">
            <v>0</v>
          </cell>
          <cell r="C55">
            <v>0</v>
          </cell>
          <cell r="D55">
            <v>0</v>
          </cell>
          <cell r="E55">
            <v>0</v>
          </cell>
          <cell r="F55" t="str">
            <v xml:space="preserve"> /////////</v>
          </cell>
          <cell r="G55">
            <v>0</v>
          </cell>
          <cell r="H55">
            <v>0</v>
          </cell>
          <cell r="I55">
            <v>0</v>
          </cell>
          <cell r="J55">
            <v>0</v>
          </cell>
          <cell r="K55">
            <v>0</v>
          </cell>
          <cell r="L55">
            <v>0</v>
          </cell>
          <cell r="M55">
            <v>0</v>
          </cell>
          <cell r="N55">
            <v>47</v>
          </cell>
          <cell r="O55" t="str">
            <v>Rehabilitation</v>
          </cell>
          <cell r="P55" t="str">
            <v>RHB</v>
          </cell>
          <cell r="Q55">
            <v>0</v>
          </cell>
          <cell r="R55">
            <v>0</v>
          </cell>
          <cell r="S55">
            <v>0</v>
          </cell>
          <cell r="T55">
            <v>0</v>
          </cell>
          <cell r="U55">
            <v>0</v>
          </cell>
          <cell r="V55">
            <v>0</v>
          </cell>
          <cell r="W55">
            <v>0</v>
          </cell>
          <cell r="X55">
            <v>0</v>
          </cell>
          <cell r="Y55">
            <v>0</v>
          </cell>
          <cell r="Z55">
            <v>0</v>
          </cell>
        </row>
        <row r="56">
          <cell r="A56" t="str">
            <v>OBV</v>
          </cell>
          <cell r="B56">
            <v>45365</v>
          </cell>
          <cell r="C56">
            <v>1330.7675948963388</v>
          </cell>
          <cell r="D56">
            <v>382.08891531883728</v>
          </cell>
          <cell r="E56">
            <v>698.31216084028574</v>
          </cell>
          <cell r="F56" t="str">
            <v xml:space="preserve"> /////////</v>
          </cell>
          <cell r="G56">
            <v>0</v>
          </cell>
          <cell r="H56">
            <v>0</v>
          </cell>
          <cell r="I56">
            <v>2411.1686710554618</v>
          </cell>
          <cell r="J56">
            <v>268.3</v>
          </cell>
          <cell r="K56">
            <v>0.03</v>
          </cell>
          <cell r="L56">
            <v>2679.4986710554622</v>
          </cell>
          <cell r="M56">
            <v>0</v>
          </cell>
          <cell r="N56">
            <v>48</v>
          </cell>
          <cell r="O56" t="str">
            <v>Observation</v>
          </cell>
          <cell r="P56" t="str">
            <v>OBV</v>
          </cell>
          <cell r="Q56">
            <v>0</v>
          </cell>
          <cell r="R56">
            <v>-105.461</v>
          </cell>
          <cell r="S56">
            <v>2574.0376710554624</v>
          </cell>
          <cell r="T56">
            <v>258.89999999999998</v>
          </cell>
          <cell r="U56">
            <v>2832.9376710554625</v>
          </cell>
          <cell r="V56">
            <v>0</v>
          </cell>
          <cell r="W56">
            <v>0</v>
          </cell>
          <cell r="X56">
            <v>0</v>
          </cell>
          <cell r="Y56">
            <v>2832.9376710554625</v>
          </cell>
          <cell r="Z56">
            <v>62.447650634971069</v>
          </cell>
        </row>
        <row r="57">
          <cell r="A57" t="str">
            <v>AMR</v>
          </cell>
          <cell r="B57">
            <v>0</v>
          </cell>
          <cell r="C57">
            <v>161.36261906925449</v>
          </cell>
          <cell r="D57">
            <v>15.016567840301065</v>
          </cell>
          <cell r="E57">
            <v>5.9513827699848854</v>
          </cell>
          <cell r="F57" t="str">
            <v xml:space="preserve"> /////////</v>
          </cell>
          <cell r="G57" t="str">
            <v>////////////</v>
          </cell>
          <cell r="H57" t="str">
            <v>////////////</v>
          </cell>
          <cell r="I57">
            <v>182.33056967954045</v>
          </cell>
          <cell r="J57" t="str">
            <v>////////////</v>
          </cell>
          <cell r="K57" t="str">
            <v>////////////</v>
          </cell>
          <cell r="L57">
            <v>182.33056967954045</v>
          </cell>
          <cell r="M57">
            <v>0</v>
          </cell>
          <cell r="N57">
            <v>49</v>
          </cell>
          <cell r="O57" t="str">
            <v>Ambulance Services-Rebundled</v>
          </cell>
          <cell r="P57" t="str">
            <v>AMR</v>
          </cell>
          <cell r="Q57">
            <v>0</v>
          </cell>
          <cell r="R57">
            <v>-7.1760000000000002</v>
          </cell>
          <cell r="S57">
            <v>175.15456967954046</v>
          </cell>
          <cell r="T57">
            <v>17.600000000000001</v>
          </cell>
          <cell r="U57">
            <v>192.75456967954045</v>
          </cell>
          <cell r="V57">
            <v>0</v>
          </cell>
          <cell r="W57">
            <v>0</v>
          </cell>
          <cell r="X57">
            <v>0</v>
          </cell>
          <cell r="Y57">
            <v>192.75456967954045</v>
          </cell>
          <cell r="Z57">
            <v>0</v>
          </cell>
        </row>
        <row r="58">
          <cell r="A58" t="str">
            <v>TMT</v>
          </cell>
          <cell r="B58">
            <v>0</v>
          </cell>
          <cell r="C58">
            <v>0</v>
          </cell>
          <cell r="D58">
            <v>0</v>
          </cell>
          <cell r="E58">
            <v>0</v>
          </cell>
          <cell r="F58" t="str">
            <v xml:space="preserve"> /////////</v>
          </cell>
          <cell r="G58">
            <v>0</v>
          </cell>
          <cell r="H58">
            <v>0</v>
          </cell>
          <cell r="I58">
            <v>0</v>
          </cell>
          <cell r="J58">
            <v>0</v>
          </cell>
          <cell r="K58">
            <v>0</v>
          </cell>
          <cell r="L58">
            <v>0</v>
          </cell>
          <cell r="M58">
            <v>0</v>
          </cell>
          <cell r="N58">
            <v>50</v>
          </cell>
          <cell r="O58" t="str">
            <v>Transurethal Microwave Thermotherapy</v>
          </cell>
          <cell r="P58" t="str">
            <v>TMT</v>
          </cell>
          <cell r="Q58">
            <v>0</v>
          </cell>
          <cell r="R58">
            <v>0</v>
          </cell>
          <cell r="S58">
            <v>0</v>
          </cell>
          <cell r="T58">
            <v>0</v>
          </cell>
          <cell r="U58">
            <v>0</v>
          </cell>
          <cell r="V58">
            <v>0</v>
          </cell>
          <cell r="W58">
            <v>0</v>
          </cell>
          <cell r="X58">
            <v>0</v>
          </cell>
          <cell r="Y58">
            <v>0</v>
          </cell>
          <cell r="Z58">
            <v>0</v>
          </cell>
        </row>
        <row r="59">
          <cell r="A59" t="str">
            <v>OCL</v>
          </cell>
          <cell r="B59">
            <v>0</v>
          </cell>
          <cell r="C59">
            <v>0</v>
          </cell>
          <cell r="D59">
            <v>0</v>
          </cell>
          <cell r="E59">
            <v>0</v>
          </cell>
          <cell r="F59" t="str">
            <v xml:space="preserve"> /////////</v>
          </cell>
          <cell r="G59">
            <v>0</v>
          </cell>
          <cell r="H59">
            <v>0</v>
          </cell>
          <cell r="I59">
            <v>0</v>
          </cell>
          <cell r="J59">
            <v>0</v>
          </cell>
          <cell r="K59">
            <v>0</v>
          </cell>
          <cell r="L59">
            <v>0</v>
          </cell>
          <cell r="M59">
            <v>0</v>
          </cell>
          <cell r="N59">
            <v>51</v>
          </cell>
          <cell r="O59" t="str">
            <v>Oncology O/P Clinic</v>
          </cell>
          <cell r="P59" t="str">
            <v>OCL</v>
          </cell>
          <cell r="Q59">
            <v>0</v>
          </cell>
          <cell r="R59">
            <v>0</v>
          </cell>
          <cell r="S59">
            <v>0</v>
          </cell>
          <cell r="T59">
            <v>0</v>
          </cell>
          <cell r="U59">
            <v>0</v>
          </cell>
          <cell r="V59">
            <v>0</v>
          </cell>
          <cell r="W59">
            <v>0</v>
          </cell>
          <cell r="X59">
            <v>0</v>
          </cell>
          <cell r="Y59">
            <v>0</v>
          </cell>
          <cell r="Z59">
            <v>0</v>
          </cell>
        </row>
        <row r="60">
          <cell r="A60" t="str">
            <v>TNA</v>
          </cell>
          <cell r="B60">
            <v>0</v>
          </cell>
          <cell r="C60">
            <v>5.7203311336568143</v>
          </cell>
          <cell r="D60">
            <v>0.52991823088424495</v>
          </cell>
          <cell r="E60">
            <v>0.21089578100455236</v>
          </cell>
          <cell r="F60" t="str">
            <v xml:space="preserve"> /////////</v>
          </cell>
          <cell r="G60">
            <v>0</v>
          </cell>
          <cell r="H60">
            <v>0</v>
          </cell>
          <cell r="I60">
            <v>6.4611451455456113</v>
          </cell>
          <cell r="J60">
            <v>0.1</v>
          </cell>
          <cell r="K60">
            <v>0</v>
          </cell>
          <cell r="L60">
            <v>6.5611451455456109</v>
          </cell>
          <cell r="M60">
            <v>0</v>
          </cell>
          <cell r="N60">
            <v>52</v>
          </cell>
          <cell r="O60" t="str">
            <v>Transurethal Needle Ablation</v>
          </cell>
          <cell r="P60" t="str">
            <v>TNA</v>
          </cell>
          <cell r="Q60">
            <v>0</v>
          </cell>
          <cell r="R60">
            <v>-0.25800000000000001</v>
          </cell>
          <cell r="S60">
            <v>6.3031451455456109</v>
          </cell>
          <cell r="T60">
            <v>0.6</v>
          </cell>
          <cell r="U60">
            <v>6.9031451455456105</v>
          </cell>
          <cell r="V60">
            <v>0</v>
          </cell>
          <cell r="W60">
            <v>0</v>
          </cell>
          <cell r="X60">
            <v>0</v>
          </cell>
          <cell r="Y60">
            <v>6.9031451455456105</v>
          </cell>
          <cell r="Z60">
            <v>0</v>
          </cell>
        </row>
        <row r="61">
          <cell r="A61" t="str">
            <v>ADM</v>
          </cell>
          <cell r="B61">
            <v>15176</v>
          </cell>
          <cell r="C61" t="str">
            <v>////////////</v>
          </cell>
          <cell r="D61">
            <v>548.58057793559772</v>
          </cell>
          <cell r="E61">
            <v>670.77846475290551</v>
          </cell>
          <cell r="F61" t="str">
            <v xml:space="preserve"> /////////</v>
          </cell>
          <cell r="G61" t="str">
            <v>////////////</v>
          </cell>
          <cell r="H61" t="str">
            <v>////////////</v>
          </cell>
          <cell r="I61">
            <v>1219.3590426885032</v>
          </cell>
          <cell r="J61" t="str">
            <v>////////////</v>
          </cell>
          <cell r="K61" t="str">
            <v>////////////</v>
          </cell>
          <cell r="L61">
            <v>1219.3590426885032</v>
          </cell>
          <cell r="M61">
            <v>0</v>
          </cell>
          <cell r="N61">
            <v>53</v>
          </cell>
          <cell r="O61" t="str">
            <v>Admission Services</v>
          </cell>
          <cell r="P61" t="str">
            <v>ADM</v>
          </cell>
          <cell r="Q61">
            <v>0</v>
          </cell>
          <cell r="R61">
            <v>-47.991999999999997</v>
          </cell>
          <cell r="S61">
            <v>1171.3670426885033</v>
          </cell>
          <cell r="T61">
            <v>117.8</v>
          </cell>
          <cell r="U61">
            <v>1289.1670426885032</v>
          </cell>
          <cell r="V61">
            <v>0</v>
          </cell>
          <cell r="W61">
            <v>0</v>
          </cell>
          <cell r="X61">
            <v>0</v>
          </cell>
          <cell r="Y61">
            <v>1289.1670426885032</v>
          </cell>
          <cell r="Z61">
            <v>84.947749254645714</v>
          </cell>
        </row>
        <row r="62">
          <cell r="A62" t="str">
            <v>MSS</v>
          </cell>
          <cell r="B62">
            <v>24887.001029999999</v>
          </cell>
          <cell r="C62">
            <v>39859.699999999997</v>
          </cell>
          <cell r="D62">
            <v>2664.2860083889332</v>
          </cell>
          <cell r="E62">
            <v>876.7513168352923</v>
          </cell>
          <cell r="F62" t="str">
            <v xml:space="preserve"> /////////</v>
          </cell>
          <cell r="G62" t="str">
            <v>////////////</v>
          </cell>
          <cell r="H62" t="str">
            <v>////////////</v>
          </cell>
          <cell r="I62">
            <v>43400.737325224218</v>
          </cell>
          <cell r="J62">
            <v>24.9</v>
          </cell>
          <cell r="K62" t="str">
            <v>////////////</v>
          </cell>
          <cell r="L62">
            <v>43425.637325224219</v>
          </cell>
          <cell r="M62">
            <v>0</v>
          </cell>
          <cell r="N62">
            <v>54</v>
          </cell>
          <cell r="O62" t="str">
            <v>Med/Surg Supplies</v>
          </cell>
          <cell r="P62" t="str">
            <v>MSS</v>
          </cell>
          <cell r="Q62">
            <v>0</v>
          </cell>
          <cell r="R62">
            <v>-1709.1690000000001</v>
          </cell>
          <cell r="S62">
            <v>41716.468325224218</v>
          </cell>
          <cell r="T62">
            <v>4196.2</v>
          </cell>
          <cell r="U62">
            <v>45912.668325224215</v>
          </cell>
          <cell r="V62">
            <v>0</v>
          </cell>
          <cell r="W62">
            <v>0</v>
          </cell>
          <cell r="X62">
            <v>0</v>
          </cell>
          <cell r="Y62">
            <v>45912.668325224215</v>
          </cell>
          <cell r="Z62">
            <v>1844.8453580195885</v>
          </cell>
        </row>
        <row r="63">
          <cell r="A63" t="str">
            <v>CDS</v>
          </cell>
          <cell r="B63">
            <v>24887.001029999999</v>
          </cell>
          <cell r="C63">
            <v>19398.3</v>
          </cell>
          <cell r="D63">
            <v>5010.36520494045</v>
          </cell>
          <cell r="E63">
            <v>1924.1198952707871</v>
          </cell>
          <cell r="F63" t="str">
            <v xml:space="preserve"> /////////</v>
          </cell>
          <cell r="G63" t="str">
            <v>////////////</v>
          </cell>
          <cell r="H63" t="str">
            <v>////////////</v>
          </cell>
          <cell r="I63">
            <v>26332.785100211237</v>
          </cell>
          <cell r="J63">
            <v>46.8</v>
          </cell>
          <cell r="K63" t="str">
            <v>////////////</v>
          </cell>
          <cell r="L63">
            <v>26379.585100211236</v>
          </cell>
          <cell r="M63">
            <v>0</v>
          </cell>
          <cell r="N63">
            <v>55</v>
          </cell>
          <cell r="O63" t="str">
            <v>Drugs Sold</v>
          </cell>
          <cell r="P63" t="str">
            <v>CDS</v>
          </cell>
          <cell r="Q63">
            <v>0</v>
          </cell>
          <cell r="R63">
            <v>-1038.2619999999999</v>
          </cell>
          <cell r="S63">
            <v>25341.323100211237</v>
          </cell>
          <cell r="T63">
            <v>2549</v>
          </cell>
          <cell r="U63">
            <v>27890.323100211237</v>
          </cell>
          <cell r="V63">
            <v>0</v>
          </cell>
          <cell r="W63">
            <v>0</v>
          </cell>
          <cell r="X63">
            <v>0</v>
          </cell>
          <cell r="Y63">
            <v>27890.323100211237</v>
          </cell>
          <cell r="Z63">
            <v>1120.678343951161</v>
          </cell>
        </row>
        <row r="64">
          <cell r="A64">
            <v>0</v>
          </cell>
          <cell r="B64">
            <v>0</v>
          </cell>
          <cell r="C64">
            <v>0</v>
          </cell>
          <cell r="D64">
            <v>0</v>
          </cell>
          <cell r="E64">
            <v>0</v>
          </cell>
          <cell r="F64" t="str">
            <v xml:space="preserve"> /////////</v>
          </cell>
          <cell r="G64">
            <v>0</v>
          </cell>
          <cell r="H64">
            <v>0</v>
          </cell>
          <cell r="I64">
            <v>0</v>
          </cell>
          <cell r="J64">
            <v>0</v>
          </cell>
          <cell r="K64">
            <v>0</v>
          </cell>
          <cell r="L64">
            <v>0</v>
          </cell>
          <cell r="M64">
            <v>0</v>
          </cell>
          <cell r="N64">
            <v>56</v>
          </cell>
          <cell r="O64">
            <v>0</v>
          </cell>
          <cell r="P64">
            <v>0</v>
          </cell>
          <cell r="Q64">
            <v>0</v>
          </cell>
          <cell r="R64">
            <v>0</v>
          </cell>
          <cell r="S64">
            <v>0</v>
          </cell>
          <cell r="T64">
            <v>0</v>
          </cell>
          <cell r="U64">
            <v>0</v>
          </cell>
          <cell r="V64">
            <v>0</v>
          </cell>
          <cell r="W64">
            <v>0</v>
          </cell>
          <cell r="X64">
            <v>0</v>
          </cell>
          <cell r="Y64">
            <v>0</v>
          </cell>
          <cell r="Z64">
            <v>0</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0</v>
          </cell>
          <cell r="B66">
            <v>21375527.002060004</v>
          </cell>
          <cell r="C66">
            <v>182282.29254629445</v>
          </cell>
          <cell r="D66">
            <v>31793.825480023865</v>
          </cell>
          <cell r="E66">
            <v>45165.780098428666</v>
          </cell>
          <cell r="F66">
            <v>0</v>
          </cell>
          <cell r="G66">
            <v>864.17752951154887</v>
          </cell>
          <cell r="H66">
            <v>0</v>
          </cell>
          <cell r="I66">
            <v>260106.07565425851</v>
          </cell>
          <cell r="J66">
            <v>20386.5</v>
          </cell>
          <cell r="K66">
            <v>3496.9768820000004</v>
          </cell>
          <cell r="L66">
            <v>283989.55253625853</v>
          </cell>
          <cell r="M66">
            <v>0</v>
          </cell>
          <cell r="N66" t="str">
            <v>B</v>
          </cell>
          <cell r="O66" t="str">
            <v>TOTAL</v>
          </cell>
          <cell r="P66">
            <v>0</v>
          </cell>
          <cell r="Q66">
            <v>0</v>
          </cell>
          <cell r="R66">
            <v>-11177.409999999996</v>
          </cell>
          <cell r="S66">
            <v>272812.14253625856</v>
          </cell>
          <cell r="T66">
            <v>27441.200000000001</v>
          </cell>
          <cell r="U66">
            <v>300253.34253625845</v>
          </cell>
          <cell r="V66">
            <v>0</v>
          </cell>
          <cell r="W66">
            <v>0</v>
          </cell>
          <cell r="X66">
            <v>0</v>
          </cell>
          <cell r="Y66">
            <v>300253.34253625845</v>
          </cell>
          <cell r="Z66" t="str">
            <v>//////////////</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0</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A72">
            <v>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A74">
            <v>0</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row r="75">
          <cell r="A75">
            <v>0</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A76">
            <v>0</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A77">
            <v>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A78">
            <v>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sheetData>
      <sheetData sheetId="105" refreshError="1"/>
      <sheetData sheetId="106" refreshError="1"/>
      <sheetData sheetId="107" refreshError="1"/>
      <sheetData sheetId="108">
        <row r="1">
          <cell r="P1">
            <v>1</v>
          </cell>
          <cell r="Q1" t="str">
            <v>January</v>
          </cell>
        </row>
        <row r="2">
          <cell r="P2">
            <v>2</v>
          </cell>
          <cell r="Q2" t="str">
            <v>February</v>
          </cell>
        </row>
        <row r="3">
          <cell r="P3">
            <v>3</v>
          </cell>
          <cell r="Q3" t="str">
            <v>March</v>
          </cell>
        </row>
        <row r="4">
          <cell r="P4">
            <v>4</v>
          </cell>
          <cell r="Q4" t="str">
            <v>April</v>
          </cell>
        </row>
        <row r="5">
          <cell r="P5">
            <v>5</v>
          </cell>
          <cell r="Q5" t="str">
            <v>May</v>
          </cell>
        </row>
        <row r="6">
          <cell r="P6">
            <v>6</v>
          </cell>
          <cell r="Q6" t="str">
            <v>June</v>
          </cell>
        </row>
        <row r="7">
          <cell r="P7">
            <v>7</v>
          </cell>
          <cell r="Q7" t="str">
            <v>July</v>
          </cell>
        </row>
        <row r="8">
          <cell r="P8">
            <v>8</v>
          </cell>
          <cell r="Q8" t="str">
            <v>August</v>
          </cell>
        </row>
        <row r="9">
          <cell r="P9">
            <v>9</v>
          </cell>
          <cell r="Q9" t="str">
            <v>September</v>
          </cell>
        </row>
        <row r="10">
          <cell r="P10">
            <v>10</v>
          </cell>
          <cell r="Q10" t="str">
            <v>October</v>
          </cell>
        </row>
        <row r="11">
          <cell r="P11">
            <v>11</v>
          </cell>
          <cell r="Q11" t="str">
            <v>November</v>
          </cell>
        </row>
        <row r="12">
          <cell r="P12">
            <v>12</v>
          </cell>
          <cell r="Q12" t="str">
            <v>December</v>
          </cell>
        </row>
      </sheetData>
      <sheetData sheetId="109" refreshError="1"/>
      <sheetData sheetId="110" refreshError="1"/>
      <sheetData sheetId="111" refreshError="1"/>
      <sheetData sheetId="112" refreshError="1"/>
      <sheetData sheetId="1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UMH"/>
      <sheetName val="CC"/>
      <sheetName val="STC"/>
      <sheetName val="CORP"/>
    </sheetNames>
    <sheetDataSet>
      <sheetData sheetId="0" refreshError="1"/>
      <sheetData sheetId="1">
        <row r="976">
          <cell r="A976" t="str">
            <v>0167532</v>
          </cell>
          <cell r="B976" t="str">
            <v xml:space="preserve">  Transitional Rehab Center</v>
          </cell>
          <cell r="C976">
            <v>123</v>
          </cell>
          <cell r="E976" t="str">
            <v>D</v>
          </cell>
          <cell r="F976" t="str">
            <v xml:space="preserve"> </v>
          </cell>
          <cell r="G976" t="str">
            <v xml:space="preserve"> </v>
          </cell>
          <cell r="H976" t="str">
            <v>1INAC</v>
          </cell>
          <cell r="I976" t="str">
            <v>Zhang, Lingwei</v>
          </cell>
          <cell r="J976" t="str">
            <v>Walt Augustin</v>
          </cell>
          <cell r="L976">
            <v>0</v>
          </cell>
          <cell r="M976">
            <v>0</v>
          </cell>
          <cell r="N976">
            <v>0</v>
          </cell>
          <cell r="O976">
            <v>0</v>
          </cell>
          <cell r="P976">
            <v>0</v>
          </cell>
          <cell r="Q976">
            <v>0</v>
          </cell>
          <cell r="R976" t="str">
            <v>Augustin, W</v>
          </cell>
          <cell r="S976">
            <v>0</v>
          </cell>
          <cell r="T976" t="str">
            <v>Franey, Hank</v>
          </cell>
          <cell r="U976" t="str">
            <v>Schimpff, Stephen</v>
          </cell>
          <cell r="V976" t="str">
            <v>Ashworth, John</v>
          </cell>
          <cell r="W976" t="str">
            <v>Inactive</v>
          </cell>
        </row>
        <row r="977">
          <cell r="A977" t="str">
            <v>0168212</v>
          </cell>
          <cell r="B977" t="str">
            <v xml:space="preserve">  Joslin at Shipleys</v>
          </cell>
          <cell r="C977">
            <v>128</v>
          </cell>
          <cell r="E977" t="str">
            <v>D</v>
          </cell>
          <cell r="F977" t="str">
            <v xml:space="preserve"> </v>
          </cell>
          <cell r="G977" t="str">
            <v xml:space="preserve"> </v>
          </cell>
          <cell r="H977" t="str">
            <v>1INAC</v>
          </cell>
          <cell r="I977" t="str">
            <v>Zhang, Lingwei</v>
          </cell>
          <cell r="J977" t="str">
            <v>Walt Augustin</v>
          </cell>
          <cell r="L977">
            <v>0</v>
          </cell>
          <cell r="M977">
            <v>0</v>
          </cell>
          <cell r="N977">
            <v>0</v>
          </cell>
          <cell r="O977">
            <v>0</v>
          </cell>
          <cell r="P977">
            <v>0</v>
          </cell>
          <cell r="Q977">
            <v>0</v>
          </cell>
          <cell r="R977" t="str">
            <v>Augustin, W</v>
          </cell>
          <cell r="S977">
            <v>0</v>
          </cell>
          <cell r="T977" t="str">
            <v>Franey, Hank</v>
          </cell>
          <cell r="U977" t="str">
            <v>Schimpff, Stephen</v>
          </cell>
          <cell r="V977" t="str">
            <v>Ashworth, John</v>
          </cell>
          <cell r="W977" t="str">
            <v>Inactive</v>
          </cell>
        </row>
        <row r="978">
          <cell r="A978" t="str">
            <v>0176027</v>
          </cell>
          <cell r="B978" t="str">
            <v xml:space="preserve">  SRGN Acute 10 South</v>
          </cell>
          <cell r="C978">
            <v>146</v>
          </cell>
          <cell r="E978" t="str">
            <v>D</v>
          </cell>
          <cell r="F978" t="str">
            <v xml:space="preserve"> </v>
          </cell>
          <cell r="G978" t="str">
            <v xml:space="preserve"> </v>
          </cell>
          <cell r="H978" t="str">
            <v>1INAC</v>
          </cell>
          <cell r="I978" t="str">
            <v>Zhang, Lingwei</v>
          </cell>
          <cell r="J978" t="str">
            <v>Walt Augustin</v>
          </cell>
          <cell r="L978">
            <v>0</v>
          </cell>
          <cell r="M978">
            <v>0</v>
          </cell>
          <cell r="N978">
            <v>0</v>
          </cell>
          <cell r="O978">
            <v>0</v>
          </cell>
          <cell r="P978">
            <v>0</v>
          </cell>
          <cell r="Q978">
            <v>0</v>
          </cell>
          <cell r="R978" t="str">
            <v>Augustin, W</v>
          </cell>
          <cell r="S978">
            <v>0</v>
          </cell>
          <cell r="T978" t="str">
            <v>Franey, Hank</v>
          </cell>
          <cell r="U978" t="str">
            <v>Schimpff, Stephen</v>
          </cell>
          <cell r="V978" t="str">
            <v>Ashworth, John</v>
          </cell>
          <cell r="W978" t="str">
            <v>Inactive</v>
          </cell>
        </row>
        <row r="979">
          <cell r="A979" t="str">
            <v>0176053</v>
          </cell>
          <cell r="B979" t="str">
            <v xml:space="preserve">  SRGN SICU/SD GUD 4W</v>
          </cell>
          <cell r="C979">
            <v>147</v>
          </cell>
          <cell r="E979" t="str">
            <v>D</v>
          </cell>
          <cell r="F979" t="str">
            <v xml:space="preserve"> </v>
          </cell>
          <cell r="G979" t="str">
            <v xml:space="preserve"> </v>
          </cell>
          <cell r="H979" t="str">
            <v>1INAC</v>
          </cell>
          <cell r="I979" t="str">
            <v>Zhang, Lingwei</v>
          </cell>
          <cell r="J979" t="str">
            <v>Walt Augustin</v>
          </cell>
          <cell r="L979">
            <v>0</v>
          </cell>
          <cell r="M979">
            <v>0</v>
          </cell>
          <cell r="N979">
            <v>0</v>
          </cell>
          <cell r="O979">
            <v>0</v>
          </cell>
          <cell r="P979">
            <v>0</v>
          </cell>
          <cell r="Q979">
            <v>0</v>
          </cell>
          <cell r="R979" t="str">
            <v>Augustin, W</v>
          </cell>
          <cell r="S979">
            <v>0</v>
          </cell>
          <cell r="T979" t="str">
            <v>Franey, Hank</v>
          </cell>
          <cell r="U979" t="str">
            <v>Schimpff, Stephen</v>
          </cell>
          <cell r="V979" t="str">
            <v>Ashworth, John</v>
          </cell>
          <cell r="W979" t="str">
            <v>Inactive</v>
          </cell>
        </row>
        <row r="980">
          <cell r="A980" t="str">
            <v>0176105</v>
          </cell>
          <cell r="B980" t="str">
            <v xml:space="preserve">  Peds GI Clinic</v>
          </cell>
          <cell r="C980">
            <v>149</v>
          </cell>
          <cell r="E980" t="str">
            <v>D</v>
          </cell>
          <cell r="F980" t="str">
            <v xml:space="preserve"> </v>
          </cell>
          <cell r="G980" t="str">
            <v xml:space="preserve"> </v>
          </cell>
          <cell r="H980" t="str">
            <v>1INAC</v>
          </cell>
          <cell r="I980" t="str">
            <v>Zhang, Lingwei</v>
          </cell>
          <cell r="J980" t="str">
            <v>Walt Augustin</v>
          </cell>
          <cell r="L980">
            <v>0</v>
          </cell>
          <cell r="M980">
            <v>0</v>
          </cell>
          <cell r="N980">
            <v>0</v>
          </cell>
          <cell r="O980">
            <v>0</v>
          </cell>
          <cell r="P980" t="str">
            <v>Hernandez, Alexis</v>
          </cell>
          <cell r="Q980">
            <v>0</v>
          </cell>
          <cell r="R980" t="str">
            <v>Augustin, W</v>
          </cell>
          <cell r="S980">
            <v>0</v>
          </cell>
          <cell r="T980" t="str">
            <v>Franey, Hank</v>
          </cell>
          <cell r="U980" t="str">
            <v>Schimpff, Stephen</v>
          </cell>
          <cell r="V980" t="str">
            <v>Ashworth, John</v>
          </cell>
          <cell r="W980" t="str">
            <v>Inactive</v>
          </cell>
        </row>
        <row r="981">
          <cell r="A981" t="str">
            <v>0176270</v>
          </cell>
          <cell r="B981" t="str">
            <v xml:space="preserve">  SRGN Step Down</v>
          </cell>
          <cell r="C981">
            <v>169</v>
          </cell>
          <cell r="E981" t="str">
            <v>D</v>
          </cell>
          <cell r="F981" t="str">
            <v xml:space="preserve"> </v>
          </cell>
          <cell r="G981" t="str">
            <v xml:space="preserve"> </v>
          </cell>
          <cell r="H981" t="str">
            <v>1INAC</v>
          </cell>
          <cell r="I981" t="str">
            <v>Zhang, Lingwei</v>
          </cell>
          <cell r="J981" t="str">
            <v>Walt Augustin</v>
          </cell>
          <cell r="L981">
            <v>0</v>
          </cell>
          <cell r="M981">
            <v>0</v>
          </cell>
          <cell r="N981">
            <v>0</v>
          </cell>
          <cell r="O981">
            <v>0</v>
          </cell>
          <cell r="P981">
            <v>0</v>
          </cell>
          <cell r="Q981">
            <v>0</v>
          </cell>
          <cell r="R981" t="str">
            <v>Augustin, W</v>
          </cell>
          <cell r="S981">
            <v>0</v>
          </cell>
          <cell r="T981" t="str">
            <v>Franey, Hank</v>
          </cell>
          <cell r="U981" t="str">
            <v>Schimpff, Stephen</v>
          </cell>
          <cell r="V981" t="str">
            <v>Ashworth, John</v>
          </cell>
          <cell r="W981" t="str">
            <v>Inactive</v>
          </cell>
        </row>
        <row r="982">
          <cell r="A982" t="str">
            <v>0176357</v>
          </cell>
          <cell r="B982" t="str">
            <v xml:space="preserve">  PEDN PICU Step Down</v>
          </cell>
          <cell r="C982">
            <v>171</v>
          </cell>
          <cell r="E982" t="str">
            <v>D</v>
          </cell>
          <cell r="F982" t="str">
            <v xml:space="preserve"> </v>
          </cell>
          <cell r="G982" t="str">
            <v xml:space="preserve"> </v>
          </cell>
          <cell r="H982" t="str">
            <v>1INAC</v>
          </cell>
          <cell r="I982" t="str">
            <v>Zhang, Lingwei</v>
          </cell>
          <cell r="J982" t="str">
            <v>Walt Augustin</v>
          </cell>
          <cell r="L982">
            <v>0</v>
          </cell>
          <cell r="M982">
            <v>0</v>
          </cell>
          <cell r="N982">
            <v>0</v>
          </cell>
          <cell r="O982">
            <v>0</v>
          </cell>
          <cell r="P982">
            <v>0</v>
          </cell>
          <cell r="Q982">
            <v>0</v>
          </cell>
          <cell r="R982" t="str">
            <v>Augustin, W</v>
          </cell>
          <cell r="S982">
            <v>0</v>
          </cell>
          <cell r="T982" t="str">
            <v>Franey, Hank</v>
          </cell>
          <cell r="U982" t="str">
            <v>Schimpff, Stephen</v>
          </cell>
          <cell r="V982" t="str">
            <v>Ashworth, John</v>
          </cell>
          <cell r="W982" t="str">
            <v>Inactive</v>
          </cell>
        </row>
        <row r="983">
          <cell r="A983" t="str">
            <v>0176513</v>
          </cell>
          <cell r="B983" t="str">
            <v xml:space="preserve">  PEDN Transport</v>
          </cell>
          <cell r="C983">
            <v>173</v>
          </cell>
          <cell r="E983" t="str">
            <v>D</v>
          </cell>
          <cell r="F983" t="str">
            <v xml:space="preserve"> </v>
          </cell>
          <cell r="G983" t="str">
            <v xml:space="preserve"> </v>
          </cell>
          <cell r="H983" t="str">
            <v>1INAC</v>
          </cell>
          <cell r="I983" t="str">
            <v>Zhang, Lingwei</v>
          </cell>
          <cell r="J983" t="str">
            <v>Walt Augustin</v>
          </cell>
          <cell r="L983">
            <v>0</v>
          </cell>
          <cell r="M983">
            <v>0</v>
          </cell>
          <cell r="N983">
            <v>0</v>
          </cell>
          <cell r="O983">
            <v>0</v>
          </cell>
          <cell r="P983">
            <v>0</v>
          </cell>
          <cell r="Q983">
            <v>0</v>
          </cell>
          <cell r="R983" t="str">
            <v>Augustin, W</v>
          </cell>
          <cell r="S983">
            <v>0</v>
          </cell>
          <cell r="T983" t="str">
            <v>Franey, Hank</v>
          </cell>
          <cell r="U983" t="str">
            <v>Schimpff, Stephen</v>
          </cell>
          <cell r="V983" t="str">
            <v>Ashworth, John</v>
          </cell>
          <cell r="W983" t="str">
            <v>Inactive</v>
          </cell>
        </row>
        <row r="984">
          <cell r="A984" t="str">
            <v>0177241</v>
          </cell>
          <cell r="B984" t="str">
            <v xml:space="preserve">  LABA Neuropathology</v>
          </cell>
          <cell r="C984">
            <v>227</v>
          </cell>
          <cell r="E984" t="str">
            <v>D</v>
          </cell>
          <cell r="F984" t="str">
            <v xml:space="preserve"> </v>
          </cell>
          <cell r="G984" t="str">
            <v xml:space="preserve"> </v>
          </cell>
          <cell r="H984" t="str">
            <v>1INAC</v>
          </cell>
          <cell r="I984" t="str">
            <v>Zhang, Lingwei</v>
          </cell>
          <cell r="J984" t="str">
            <v>Walt Augustin</v>
          </cell>
          <cell r="L984">
            <v>0</v>
          </cell>
          <cell r="M984">
            <v>0</v>
          </cell>
          <cell r="N984">
            <v>0</v>
          </cell>
          <cell r="O984">
            <v>0</v>
          </cell>
          <cell r="P984">
            <v>0</v>
          </cell>
          <cell r="Q984">
            <v>0</v>
          </cell>
          <cell r="R984" t="str">
            <v>Augustin, W</v>
          </cell>
          <cell r="S984">
            <v>0</v>
          </cell>
          <cell r="T984" t="str">
            <v>Franey, Hank</v>
          </cell>
          <cell r="U984" t="str">
            <v>Schimpff, Stephen</v>
          </cell>
          <cell r="V984" t="str">
            <v>Ashworth, John</v>
          </cell>
          <cell r="W984" t="str">
            <v>Inactive</v>
          </cell>
        </row>
        <row r="985">
          <cell r="A985" t="str">
            <v>0177329</v>
          </cell>
          <cell r="B985" t="str">
            <v xml:space="preserve">  Rad Peds Card Cath</v>
          </cell>
          <cell r="C985">
            <v>238</v>
          </cell>
          <cell r="E985" t="str">
            <v>D</v>
          </cell>
          <cell r="F985" t="str">
            <v xml:space="preserve"> </v>
          </cell>
          <cell r="G985" t="str">
            <v xml:space="preserve"> </v>
          </cell>
          <cell r="H985" t="str">
            <v>1INAC</v>
          </cell>
          <cell r="I985" t="str">
            <v>Zhang, Lingwei</v>
          </cell>
          <cell r="J985" t="str">
            <v>Walt Augustin</v>
          </cell>
          <cell r="L985">
            <v>0</v>
          </cell>
          <cell r="M985">
            <v>0</v>
          </cell>
          <cell r="N985">
            <v>0</v>
          </cell>
          <cell r="O985">
            <v>0</v>
          </cell>
          <cell r="P985">
            <v>0</v>
          </cell>
          <cell r="Q985">
            <v>0</v>
          </cell>
          <cell r="R985" t="str">
            <v>Augustin, W</v>
          </cell>
          <cell r="S985">
            <v>0</v>
          </cell>
          <cell r="T985" t="str">
            <v>Franey, Hank</v>
          </cell>
          <cell r="U985" t="str">
            <v>Schimpff, Stephen</v>
          </cell>
          <cell r="V985" t="str">
            <v>Ashworth, John</v>
          </cell>
          <cell r="W985" t="str">
            <v>Inactive</v>
          </cell>
        </row>
        <row r="986">
          <cell r="A986" t="str">
            <v>0177600</v>
          </cell>
          <cell r="B986" t="str">
            <v xml:space="preserve">  Dermatology</v>
          </cell>
          <cell r="C986">
            <v>252</v>
          </cell>
          <cell r="E986" t="str">
            <v>D</v>
          </cell>
          <cell r="F986" t="str">
            <v xml:space="preserve"> </v>
          </cell>
          <cell r="G986" t="str">
            <v xml:space="preserve"> </v>
          </cell>
          <cell r="H986" t="str">
            <v>1INAC</v>
          </cell>
          <cell r="I986" t="str">
            <v>Zhang, Lingwei</v>
          </cell>
          <cell r="J986" t="str">
            <v>Walt Augustin</v>
          </cell>
          <cell r="L986">
            <v>0</v>
          </cell>
          <cell r="M986">
            <v>0</v>
          </cell>
          <cell r="N986">
            <v>0</v>
          </cell>
          <cell r="O986">
            <v>0</v>
          </cell>
          <cell r="P986">
            <v>0</v>
          </cell>
          <cell r="Q986">
            <v>0</v>
          </cell>
          <cell r="R986" t="str">
            <v>Augustin, W</v>
          </cell>
          <cell r="S986">
            <v>0</v>
          </cell>
          <cell r="T986" t="str">
            <v>Franey, Hank</v>
          </cell>
          <cell r="U986" t="str">
            <v>Schimpff, Stephen</v>
          </cell>
          <cell r="V986" t="str">
            <v>Ashworth, John</v>
          </cell>
          <cell r="W986" t="str">
            <v>Inactive</v>
          </cell>
        </row>
        <row r="987">
          <cell r="A987" t="str">
            <v>0178608</v>
          </cell>
          <cell r="B987" t="str">
            <v xml:space="preserve">  Post Acute Services Administration</v>
          </cell>
          <cell r="C987">
            <v>292</v>
          </cell>
          <cell r="E987" t="str">
            <v>D</v>
          </cell>
          <cell r="F987" t="str">
            <v xml:space="preserve"> </v>
          </cell>
          <cell r="G987" t="str">
            <v xml:space="preserve"> </v>
          </cell>
          <cell r="H987" t="str">
            <v>1INAC</v>
          </cell>
          <cell r="I987" t="str">
            <v>Zhang, Lingwei</v>
          </cell>
          <cell r="J987" t="str">
            <v>Walt Augustin</v>
          </cell>
          <cell r="L987">
            <v>0</v>
          </cell>
          <cell r="M987">
            <v>0</v>
          </cell>
          <cell r="N987">
            <v>0</v>
          </cell>
          <cell r="O987">
            <v>0</v>
          </cell>
          <cell r="P987">
            <v>0</v>
          </cell>
          <cell r="Q987">
            <v>0</v>
          </cell>
          <cell r="R987" t="str">
            <v>Augustin, W</v>
          </cell>
          <cell r="S987">
            <v>0</v>
          </cell>
          <cell r="T987" t="str">
            <v>Franey, Hank</v>
          </cell>
          <cell r="U987" t="str">
            <v>Schimpff, Stephen</v>
          </cell>
          <cell r="V987" t="str">
            <v>Ashworth, John</v>
          </cell>
          <cell r="W987" t="str">
            <v>Inactive</v>
          </cell>
        </row>
        <row r="988">
          <cell r="A988" t="str">
            <v>0178740</v>
          </cell>
          <cell r="B988" t="str">
            <v xml:space="preserve">  Administration </v>
          </cell>
          <cell r="C988">
            <v>313</v>
          </cell>
          <cell r="E988" t="str">
            <v>D</v>
          </cell>
          <cell r="F988" t="str">
            <v xml:space="preserve"> </v>
          </cell>
          <cell r="G988" t="str">
            <v xml:space="preserve"> </v>
          </cell>
          <cell r="H988" t="str">
            <v>1INAC</v>
          </cell>
          <cell r="I988" t="str">
            <v>Zhang, Lingwei</v>
          </cell>
          <cell r="J988" t="str">
            <v>Walt Augustin</v>
          </cell>
          <cell r="L988">
            <v>0</v>
          </cell>
          <cell r="M988">
            <v>0</v>
          </cell>
          <cell r="N988">
            <v>0</v>
          </cell>
          <cell r="O988">
            <v>0</v>
          </cell>
          <cell r="P988">
            <v>0</v>
          </cell>
          <cell r="Q988">
            <v>0</v>
          </cell>
          <cell r="R988" t="str">
            <v>Augustin, W</v>
          </cell>
          <cell r="S988">
            <v>0</v>
          </cell>
          <cell r="T988" t="str">
            <v>Franey, Hank</v>
          </cell>
          <cell r="U988" t="str">
            <v>Schimpff, Stephen</v>
          </cell>
          <cell r="V988" t="str">
            <v>Ashworth, John</v>
          </cell>
          <cell r="W988" t="str">
            <v>Inactive</v>
          </cell>
        </row>
        <row r="989">
          <cell r="A989" t="str">
            <v>0178769</v>
          </cell>
          <cell r="B989" t="str">
            <v xml:space="preserve">  Perioperative Nursing Plan Reduction</v>
          </cell>
          <cell r="C989">
            <v>327</v>
          </cell>
          <cell r="E989" t="str">
            <v>D</v>
          </cell>
          <cell r="F989" t="str">
            <v xml:space="preserve"> </v>
          </cell>
          <cell r="G989" t="str">
            <v xml:space="preserve"> </v>
          </cell>
          <cell r="H989" t="str">
            <v>1INAC</v>
          </cell>
          <cell r="I989" t="str">
            <v>Zhang, Lingwei</v>
          </cell>
          <cell r="J989" t="str">
            <v>Walt Augustin</v>
          </cell>
          <cell r="L989">
            <v>0</v>
          </cell>
          <cell r="M989">
            <v>0</v>
          </cell>
          <cell r="N989">
            <v>0</v>
          </cell>
          <cell r="O989">
            <v>0</v>
          </cell>
          <cell r="P989">
            <v>0</v>
          </cell>
          <cell r="Q989">
            <v>0</v>
          </cell>
          <cell r="R989" t="str">
            <v>Augustin, W</v>
          </cell>
          <cell r="S989">
            <v>0</v>
          </cell>
          <cell r="T989" t="str">
            <v>Franey, Hank</v>
          </cell>
          <cell r="U989" t="str">
            <v>Schimpff, Stephen</v>
          </cell>
          <cell r="V989" t="str">
            <v>Ashworth, John</v>
          </cell>
          <cell r="W989" t="str">
            <v>Inactive</v>
          </cell>
        </row>
        <row r="990">
          <cell r="A990" t="str">
            <v>0178770</v>
          </cell>
          <cell r="B990" t="str">
            <v xml:space="preserve">  Neuro Care Plan Reduction</v>
          </cell>
          <cell r="C990">
            <v>328</v>
          </cell>
          <cell r="E990" t="str">
            <v>D</v>
          </cell>
          <cell r="F990" t="str">
            <v xml:space="preserve"> </v>
          </cell>
          <cell r="G990" t="str">
            <v xml:space="preserve"> </v>
          </cell>
          <cell r="H990" t="str">
            <v>1INAC</v>
          </cell>
          <cell r="I990" t="str">
            <v>Zhang, Lingwei</v>
          </cell>
          <cell r="J990" t="str">
            <v>Walt Augustin</v>
          </cell>
          <cell r="L990">
            <v>0</v>
          </cell>
          <cell r="M990">
            <v>0</v>
          </cell>
          <cell r="N990">
            <v>0</v>
          </cell>
          <cell r="O990">
            <v>0</v>
          </cell>
          <cell r="P990">
            <v>0</v>
          </cell>
          <cell r="Q990">
            <v>0</v>
          </cell>
          <cell r="R990" t="str">
            <v>Augustin, W</v>
          </cell>
          <cell r="S990">
            <v>0</v>
          </cell>
          <cell r="T990" t="str">
            <v>Franey, Hank</v>
          </cell>
          <cell r="U990" t="str">
            <v>Schimpff, Stephen</v>
          </cell>
          <cell r="V990" t="str">
            <v>Ashworth, John</v>
          </cell>
          <cell r="W990" t="str">
            <v>Inactive</v>
          </cell>
        </row>
        <row r="991">
          <cell r="A991" t="str">
            <v>0188414</v>
          </cell>
          <cell r="B991" t="str">
            <v xml:space="preserve">  FAC Building Systems</v>
          </cell>
          <cell r="C991">
            <v>354</v>
          </cell>
          <cell r="E991" t="str">
            <v>D</v>
          </cell>
          <cell r="F991" t="str">
            <v xml:space="preserve"> </v>
          </cell>
          <cell r="G991" t="str">
            <v xml:space="preserve"> </v>
          </cell>
          <cell r="H991" t="str">
            <v>1INAC</v>
          </cell>
          <cell r="I991" t="str">
            <v>Zhang, Lingwei</v>
          </cell>
          <cell r="J991" t="str">
            <v>Walt Augustin</v>
          </cell>
          <cell r="L991">
            <v>0</v>
          </cell>
          <cell r="M991">
            <v>0</v>
          </cell>
          <cell r="N991">
            <v>0</v>
          </cell>
          <cell r="O991">
            <v>0</v>
          </cell>
          <cell r="P991">
            <v>0</v>
          </cell>
          <cell r="Q991">
            <v>0</v>
          </cell>
          <cell r="R991" t="str">
            <v>Augustin, W</v>
          </cell>
          <cell r="S991">
            <v>0</v>
          </cell>
          <cell r="T991" t="str">
            <v>Franey, Hank</v>
          </cell>
          <cell r="U991" t="str">
            <v>Schimpff, Stephen</v>
          </cell>
          <cell r="V991" t="str">
            <v>Ashworth, John</v>
          </cell>
          <cell r="W991" t="str">
            <v>Inactive</v>
          </cell>
        </row>
        <row r="992">
          <cell r="A992" t="str">
            <v>0188517</v>
          </cell>
          <cell r="B992" t="str">
            <v xml:space="preserve">  Finance Admin Adj</v>
          </cell>
          <cell r="C992">
            <v>417</v>
          </cell>
          <cell r="F992" t="str">
            <v xml:space="preserve"> </v>
          </cell>
          <cell r="G992" t="str">
            <v xml:space="preserve"> </v>
          </cell>
          <cell r="H992" t="str">
            <v>1INAC</v>
          </cell>
          <cell r="I992" t="str">
            <v>Zhang, Lingwei</v>
          </cell>
          <cell r="J992" t="str">
            <v>Walt Augustin</v>
          </cell>
          <cell r="L992">
            <v>0</v>
          </cell>
          <cell r="M992">
            <v>0</v>
          </cell>
          <cell r="N992">
            <v>0</v>
          </cell>
          <cell r="O992">
            <v>0</v>
          </cell>
          <cell r="P992">
            <v>0</v>
          </cell>
          <cell r="Q992">
            <v>0</v>
          </cell>
          <cell r="R992" t="str">
            <v>Augustin, W</v>
          </cell>
          <cell r="S992">
            <v>0</v>
          </cell>
          <cell r="T992" t="str">
            <v>Franey, Hank</v>
          </cell>
          <cell r="U992" t="str">
            <v>Schimpff, Stephen</v>
          </cell>
          <cell r="V992" t="str">
            <v>Ashworth, John</v>
          </cell>
          <cell r="W992" t="str">
            <v>Inactive</v>
          </cell>
        </row>
        <row r="993">
          <cell r="A993" t="str">
            <v>0188519</v>
          </cell>
          <cell r="B993" t="str">
            <v xml:space="preserve">  Shipley's PT</v>
          </cell>
          <cell r="C993">
            <v>419</v>
          </cell>
          <cell r="E993" t="str">
            <v>D</v>
          </cell>
          <cell r="F993" t="str">
            <v xml:space="preserve"> </v>
          </cell>
          <cell r="G993" t="str">
            <v xml:space="preserve"> </v>
          </cell>
          <cell r="H993" t="str">
            <v>1INAC</v>
          </cell>
          <cell r="I993" t="str">
            <v>Zhang, Lingwei</v>
          </cell>
          <cell r="J993" t="str">
            <v>Walt Augustin</v>
          </cell>
          <cell r="L993">
            <v>0</v>
          </cell>
          <cell r="M993">
            <v>0</v>
          </cell>
          <cell r="N993">
            <v>0</v>
          </cell>
          <cell r="O993">
            <v>0</v>
          </cell>
          <cell r="P993">
            <v>0</v>
          </cell>
          <cell r="Q993">
            <v>0</v>
          </cell>
          <cell r="R993" t="str">
            <v>Augustin, W</v>
          </cell>
          <cell r="S993">
            <v>0</v>
          </cell>
          <cell r="T993" t="str">
            <v>Franey, Hank</v>
          </cell>
          <cell r="U993" t="str">
            <v>Schimpff, Stephen</v>
          </cell>
          <cell r="V993" t="str">
            <v>Ashworth, John</v>
          </cell>
          <cell r="W993" t="str">
            <v>Inactive</v>
          </cell>
        </row>
        <row r="994">
          <cell r="A994" t="str">
            <v>0188531</v>
          </cell>
          <cell r="B994" t="str">
            <v xml:space="preserve">  Business Practices Management</v>
          </cell>
          <cell r="C994">
            <v>431</v>
          </cell>
          <cell r="E994" t="str">
            <v>D</v>
          </cell>
          <cell r="F994" t="str">
            <v xml:space="preserve"> </v>
          </cell>
          <cell r="G994" t="str">
            <v xml:space="preserve"> </v>
          </cell>
          <cell r="H994" t="str">
            <v>1INAC</v>
          </cell>
          <cell r="I994" t="str">
            <v>Zhang, Lingwei</v>
          </cell>
          <cell r="J994" t="str">
            <v>Walt Augustin</v>
          </cell>
          <cell r="L994">
            <v>0</v>
          </cell>
          <cell r="M994">
            <v>0</v>
          </cell>
          <cell r="N994">
            <v>0</v>
          </cell>
          <cell r="O994">
            <v>0</v>
          </cell>
          <cell r="P994">
            <v>0</v>
          </cell>
          <cell r="Q994">
            <v>0</v>
          </cell>
          <cell r="R994" t="str">
            <v>Augustin, W</v>
          </cell>
          <cell r="S994">
            <v>0</v>
          </cell>
          <cell r="T994" t="str">
            <v>Franey, Hank</v>
          </cell>
          <cell r="U994" t="str">
            <v>Schimpff, Stephen</v>
          </cell>
          <cell r="V994" t="str">
            <v>Ashworth, John</v>
          </cell>
          <cell r="W994" t="str">
            <v>Inactive</v>
          </cell>
        </row>
        <row r="995">
          <cell r="A995" t="str">
            <v>0188601</v>
          </cell>
          <cell r="B995" t="str">
            <v xml:space="preserve">  Corporate Rehabilitation</v>
          </cell>
          <cell r="C995">
            <v>444</v>
          </cell>
          <cell r="E995" t="str">
            <v>D</v>
          </cell>
          <cell r="F995" t="str">
            <v xml:space="preserve"> </v>
          </cell>
          <cell r="G995" t="str">
            <v xml:space="preserve"> </v>
          </cell>
          <cell r="H995" t="str">
            <v>1INAC</v>
          </cell>
          <cell r="I995" t="str">
            <v>Zhang, Lingwei</v>
          </cell>
          <cell r="J995" t="str">
            <v>Walt Augustin</v>
          </cell>
          <cell r="L995">
            <v>0</v>
          </cell>
          <cell r="M995">
            <v>0</v>
          </cell>
          <cell r="N995">
            <v>0</v>
          </cell>
          <cell r="O995">
            <v>0</v>
          </cell>
          <cell r="P995">
            <v>0</v>
          </cell>
          <cell r="Q995">
            <v>0</v>
          </cell>
          <cell r="R995" t="str">
            <v>Augustin, W</v>
          </cell>
          <cell r="S995">
            <v>0</v>
          </cell>
          <cell r="T995" t="str">
            <v>Franey, Hank</v>
          </cell>
          <cell r="U995" t="str">
            <v>Schimpff, Stephen</v>
          </cell>
          <cell r="V995" t="str">
            <v>Ashworth, John</v>
          </cell>
          <cell r="W995" t="str">
            <v>Inactive</v>
          </cell>
        </row>
        <row r="996">
          <cell r="A996" t="str">
            <v>0188602</v>
          </cell>
          <cell r="B996" t="str">
            <v xml:space="preserve">  PLNA Strategic Development</v>
          </cell>
          <cell r="C996">
            <v>445</v>
          </cell>
          <cell r="E996" t="str">
            <v>D</v>
          </cell>
          <cell r="F996" t="str">
            <v xml:space="preserve"> </v>
          </cell>
          <cell r="G996" t="str">
            <v xml:space="preserve"> </v>
          </cell>
          <cell r="H996" t="str">
            <v>1INAC</v>
          </cell>
          <cell r="I996" t="str">
            <v>Zhang, Lingwei</v>
          </cell>
          <cell r="J996" t="str">
            <v>Walt Augustin</v>
          </cell>
          <cell r="L996">
            <v>0</v>
          </cell>
          <cell r="M996">
            <v>0</v>
          </cell>
          <cell r="N996">
            <v>0</v>
          </cell>
          <cell r="O996">
            <v>0</v>
          </cell>
          <cell r="P996">
            <v>0</v>
          </cell>
          <cell r="Q996">
            <v>0</v>
          </cell>
          <cell r="R996" t="str">
            <v>Augustin, W</v>
          </cell>
          <cell r="S996">
            <v>0</v>
          </cell>
          <cell r="T996" t="str">
            <v>Franey, Hank</v>
          </cell>
          <cell r="U996" t="str">
            <v>Schimpff, Stephen</v>
          </cell>
          <cell r="V996" t="str">
            <v>Ashworth, John</v>
          </cell>
          <cell r="W996" t="str">
            <v>Inactive</v>
          </cell>
        </row>
        <row r="997">
          <cell r="A997" t="str">
            <v>0188637</v>
          </cell>
          <cell r="B997" t="str">
            <v xml:space="preserve">  PHO Development</v>
          </cell>
          <cell r="C997">
            <v>472</v>
          </cell>
          <cell r="E997" t="str">
            <v>D</v>
          </cell>
          <cell r="F997" t="str">
            <v xml:space="preserve"> </v>
          </cell>
          <cell r="G997" t="str">
            <v xml:space="preserve"> </v>
          </cell>
          <cell r="H997" t="str">
            <v>1INAC</v>
          </cell>
          <cell r="I997" t="str">
            <v>Zhang, Lingwei</v>
          </cell>
          <cell r="J997" t="str">
            <v>Walt Augustin</v>
          </cell>
          <cell r="L997">
            <v>0</v>
          </cell>
          <cell r="M997">
            <v>0</v>
          </cell>
          <cell r="N997">
            <v>0</v>
          </cell>
          <cell r="O997">
            <v>0</v>
          </cell>
          <cell r="P997">
            <v>0</v>
          </cell>
          <cell r="Q997">
            <v>0</v>
          </cell>
          <cell r="R997" t="str">
            <v>Augustin, W</v>
          </cell>
          <cell r="S997">
            <v>0</v>
          </cell>
          <cell r="T997" t="str">
            <v>Franey, Hank</v>
          </cell>
          <cell r="U997" t="str">
            <v>Schimpff, Stephen</v>
          </cell>
          <cell r="V997" t="str">
            <v>Ashworth, John</v>
          </cell>
          <cell r="W997" t="str">
            <v>Inactive</v>
          </cell>
        </row>
        <row r="998">
          <cell r="A998" t="str">
            <v>0188758</v>
          </cell>
          <cell r="B998" t="str">
            <v xml:space="preserve">  QPPD Recruitment</v>
          </cell>
          <cell r="C998">
            <v>502</v>
          </cell>
          <cell r="E998" t="str">
            <v>D</v>
          </cell>
          <cell r="F998" t="str">
            <v xml:space="preserve"> </v>
          </cell>
          <cell r="G998" t="str">
            <v xml:space="preserve"> </v>
          </cell>
          <cell r="H998" t="str">
            <v>1INAC</v>
          </cell>
          <cell r="I998" t="str">
            <v>Zhang, Lingwei</v>
          </cell>
          <cell r="J998" t="str">
            <v>Walt Augustin</v>
          </cell>
          <cell r="L998">
            <v>0</v>
          </cell>
          <cell r="M998">
            <v>0</v>
          </cell>
          <cell r="N998">
            <v>0</v>
          </cell>
          <cell r="O998">
            <v>0</v>
          </cell>
          <cell r="P998">
            <v>0</v>
          </cell>
          <cell r="Q998">
            <v>0</v>
          </cell>
          <cell r="R998" t="str">
            <v>Augustin, W</v>
          </cell>
          <cell r="S998">
            <v>0</v>
          </cell>
          <cell r="T998" t="str">
            <v>Franey, Hank</v>
          </cell>
          <cell r="U998" t="str">
            <v>Schimpff, Stephen</v>
          </cell>
          <cell r="V998" t="str">
            <v>Ashworth, John</v>
          </cell>
          <cell r="W998" t="str">
            <v>Inactive</v>
          </cell>
        </row>
        <row r="999">
          <cell r="A999" t="str">
            <v>0199500</v>
          </cell>
          <cell r="B999" t="str">
            <v xml:space="preserve">  Univcare/Edmondson</v>
          </cell>
          <cell r="C999">
            <v>591</v>
          </cell>
          <cell r="E999" t="str">
            <v>D</v>
          </cell>
          <cell r="F999" t="str">
            <v xml:space="preserve"> </v>
          </cell>
          <cell r="G999" t="str">
            <v xml:space="preserve"> </v>
          </cell>
          <cell r="H999" t="str">
            <v>1INAC</v>
          </cell>
          <cell r="I999" t="str">
            <v>Zhang, Lingwei</v>
          </cell>
          <cell r="J999" t="str">
            <v>Walt Augustin</v>
          </cell>
          <cell r="L999">
            <v>0</v>
          </cell>
          <cell r="M999">
            <v>0</v>
          </cell>
          <cell r="N999">
            <v>0</v>
          </cell>
          <cell r="O999">
            <v>0</v>
          </cell>
          <cell r="P999">
            <v>0</v>
          </cell>
          <cell r="Q999">
            <v>0</v>
          </cell>
          <cell r="R999" t="str">
            <v>Augustin, W</v>
          </cell>
          <cell r="S999">
            <v>0</v>
          </cell>
          <cell r="T999" t="str">
            <v>Franey, Hank</v>
          </cell>
          <cell r="U999" t="str">
            <v>Schimpff, Stephen</v>
          </cell>
          <cell r="V999" t="str">
            <v>Ashworth, John</v>
          </cell>
          <cell r="W999" t="str">
            <v>Inactive</v>
          </cell>
        </row>
        <row r="1000">
          <cell r="A1000" t="str">
            <v>0199520</v>
          </cell>
          <cell r="B1000" t="str">
            <v xml:space="preserve">  Univcare/Westside</v>
          </cell>
          <cell r="C1000">
            <v>592</v>
          </cell>
          <cell r="E1000" t="str">
            <v>D</v>
          </cell>
          <cell r="F1000" t="str">
            <v xml:space="preserve"> </v>
          </cell>
          <cell r="G1000" t="str">
            <v xml:space="preserve"> </v>
          </cell>
          <cell r="H1000" t="str">
            <v>1INAC</v>
          </cell>
          <cell r="I1000" t="str">
            <v>Zhang, Lingwei</v>
          </cell>
          <cell r="J1000" t="str">
            <v>Walt Augustin</v>
          </cell>
          <cell r="L1000">
            <v>0</v>
          </cell>
          <cell r="M1000">
            <v>0</v>
          </cell>
          <cell r="N1000">
            <v>0</v>
          </cell>
          <cell r="O1000">
            <v>0</v>
          </cell>
          <cell r="P1000">
            <v>0</v>
          </cell>
          <cell r="Q1000">
            <v>0</v>
          </cell>
          <cell r="R1000" t="str">
            <v>Augustin, W</v>
          </cell>
          <cell r="S1000">
            <v>0</v>
          </cell>
          <cell r="T1000" t="str">
            <v>Franey, Hank</v>
          </cell>
          <cell r="U1000" t="str">
            <v>Schimpff, Stephen</v>
          </cell>
          <cell r="V1000" t="str">
            <v>Ashworth, John</v>
          </cell>
          <cell r="W1000" t="str">
            <v>Inactive</v>
          </cell>
        </row>
        <row r="1001">
          <cell r="A1001" t="str">
            <v>0199530</v>
          </cell>
          <cell r="B1001" t="str">
            <v xml:space="preserve">  Univcare/Waxter</v>
          </cell>
          <cell r="C1001">
            <v>593</v>
          </cell>
          <cell r="E1001" t="str">
            <v>D</v>
          </cell>
          <cell r="F1001" t="str">
            <v xml:space="preserve"> </v>
          </cell>
          <cell r="G1001" t="str">
            <v xml:space="preserve"> </v>
          </cell>
          <cell r="H1001" t="str">
            <v>1INAC</v>
          </cell>
          <cell r="I1001" t="str">
            <v>Zhang, Lingwei</v>
          </cell>
          <cell r="J1001" t="str">
            <v>Walt Augustin</v>
          </cell>
          <cell r="L1001">
            <v>0</v>
          </cell>
          <cell r="M1001">
            <v>0</v>
          </cell>
          <cell r="N1001">
            <v>0</v>
          </cell>
          <cell r="O1001">
            <v>0</v>
          </cell>
          <cell r="P1001">
            <v>0</v>
          </cell>
          <cell r="Q1001">
            <v>0</v>
          </cell>
          <cell r="R1001" t="str">
            <v>Augustin, W</v>
          </cell>
          <cell r="S1001">
            <v>0</v>
          </cell>
          <cell r="T1001" t="str">
            <v>Franey, Hank</v>
          </cell>
          <cell r="U1001" t="str">
            <v>Schimpff, Stephen</v>
          </cell>
          <cell r="V1001" t="str">
            <v>Ashworth, John</v>
          </cell>
          <cell r="W1001" t="str">
            <v>Inactive</v>
          </cell>
        </row>
        <row r="1002">
          <cell r="A1002" t="str">
            <v>0199540</v>
          </cell>
          <cell r="B1002" t="str">
            <v xml:space="preserve">  Univcare/Administration</v>
          </cell>
          <cell r="C1002">
            <v>594</v>
          </cell>
          <cell r="E1002" t="str">
            <v>D</v>
          </cell>
          <cell r="F1002" t="str">
            <v xml:space="preserve"> </v>
          </cell>
          <cell r="G1002" t="str">
            <v xml:space="preserve"> </v>
          </cell>
          <cell r="H1002" t="str">
            <v>1INAC</v>
          </cell>
          <cell r="I1002" t="str">
            <v>Zhang, Lingwei</v>
          </cell>
          <cell r="J1002" t="str">
            <v>Walt Augustin</v>
          </cell>
          <cell r="L1002">
            <v>0</v>
          </cell>
          <cell r="M1002">
            <v>0</v>
          </cell>
          <cell r="N1002">
            <v>0</v>
          </cell>
          <cell r="O1002">
            <v>0</v>
          </cell>
          <cell r="P1002">
            <v>0</v>
          </cell>
          <cell r="Q1002">
            <v>0</v>
          </cell>
          <cell r="R1002" t="str">
            <v>Augustin, W</v>
          </cell>
          <cell r="S1002">
            <v>0</v>
          </cell>
          <cell r="T1002" t="str">
            <v>Franey, Hank</v>
          </cell>
          <cell r="U1002" t="str">
            <v>Schimpff, Stephen</v>
          </cell>
          <cell r="V1002" t="str">
            <v>Ashworth, John</v>
          </cell>
          <cell r="W1002" t="str">
            <v>Inactive</v>
          </cell>
        </row>
        <row r="1003">
          <cell r="A1003" t="str">
            <v>0199550</v>
          </cell>
          <cell r="B1003" t="str">
            <v xml:space="preserve">  Univcare/Opengates</v>
          </cell>
          <cell r="C1003">
            <v>595</v>
          </cell>
          <cell r="E1003" t="str">
            <v>D</v>
          </cell>
          <cell r="F1003" t="str">
            <v xml:space="preserve"> </v>
          </cell>
          <cell r="G1003" t="str">
            <v xml:space="preserve"> </v>
          </cell>
          <cell r="H1003" t="str">
            <v>1INAC</v>
          </cell>
          <cell r="I1003" t="str">
            <v>Zhang, Lingwei</v>
          </cell>
          <cell r="J1003" t="str">
            <v>Walt Augustin</v>
          </cell>
          <cell r="L1003">
            <v>0</v>
          </cell>
          <cell r="M1003">
            <v>0</v>
          </cell>
          <cell r="N1003">
            <v>0</v>
          </cell>
          <cell r="O1003">
            <v>0</v>
          </cell>
          <cell r="P1003">
            <v>0</v>
          </cell>
          <cell r="Q1003">
            <v>0</v>
          </cell>
          <cell r="R1003" t="str">
            <v>Augustin, W</v>
          </cell>
          <cell r="S1003">
            <v>0</v>
          </cell>
          <cell r="T1003" t="str">
            <v>Franey, Hank</v>
          </cell>
          <cell r="U1003" t="str">
            <v>Schimpff, Stephen</v>
          </cell>
          <cell r="V1003" t="str">
            <v>Ashworth, John</v>
          </cell>
          <cell r="W1003" t="str">
            <v>Inactive</v>
          </cell>
        </row>
        <row r="1004">
          <cell r="A1004" t="str">
            <v>0199570</v>
          </cell>
          <cell r="B1004" t="str">
            <v xml:space="preserve">  Univcare/Howard Park</v>
          </cell>
          <cell r="C1004">
            <v>596</v>
          </cell>
          <cell r="E1004" t="str">
            <v>D</v>
          </cell>
          <cell r="F1004" t="str">
            <v xml:space="preserve"> </v>
          </cell>
          <cell r="G1004" t="str">
            <v xml:space="preserve"> </v>
          </cell>
          <cell r="H1004" t="str">
            <v>1INAC</v>
          </cell>
          <cell r="I1004" t="str">
            <v>Zhang, Lingwei</v>
          </cell>
          <cell r="J1004" t="str">
            <v>Walt Augustin</v>
          </cell>
          <cell r="L1004">
            <v>0</v>
          </cell>
          <cell r="M1004">
            <v>0</v>
          </cell>
          <cell r="N1004">
            <v>0</v>
          </cell>
          <cell r="O1004">
            <v>0</v>
          </cell>
          <cell r="P1004">
            <v>0</v>
          </cell>
          <cell r="Q1004">
            <v>0</v>
          </cell>
          <cell r="R1004" t="str">
            <v>Augustin, W</v>
          </cell>
          <cell r="S1004">
            <v>0</v>
          </cell>
          <cell r="T1004" t="str">
            <v>Franey, Hank</v>
          </cell>
          <cell r="U1004" t="str">
            <v>Schimpff, Stephen</v>
          </cell>
          <cell r="V1004" t="str">
            <v>Ashworth, John</v>
          </cell>
          <cell r="W1004" t="str">
            <v>Inactive</v>
          </cell>
        </row>
        <row r="1005">
          <cell r="A1005" t="str">
            <v>0199580</v>
          </cell>
          <cell r="B1005" t="str">
            <v xml:space="preserve">  Univcare/Shipleys</v>
          </cell>
          <cell r="C1005">
            <v>597</v>
          </cell>
          <cell r="E1005" t="str">
            <v>D</v>
          </cell>
          <cell r="F1005" t="str">
            <v xml:space="preserve"> </v>
          </cell>
          <cell r="G1005" t="str">
            <v xml:space="preserve"> </v>
          </cell>
          <cell r="H1005" t="str">
            <v>1INAC</v>
          </cell>
          <cell r="I1005" t="str">
            <v>Zhang, Lingwei</v>
          </cell>
          <cell r="J1005" t="str">
            <v>Walt Augustin</v>
          </cell>
          <cell r="L1005">
            <v>0</v>
          </cell>
          <cell r="M1005">
            <v>0</v>
          </cell>
          <cell r="N1005">
            <v>0</v>
          </cell>
          <cell r="O1005">
            <v>0</v>
          </cell>
          <cell r="P1005">
            <v>0</v>
          </cell>
          <cell r="Q1005">
            <v>0</v>
          </cell>
          <cell r="R1005" t="str">
            <v>Augustin, W</v>
          </cell>
          <cell r="S1005">
            <v>0</v>
          </cell>
          <cell r="T1005" t="str">
            <v>Franey, Hank</v>
          </cell>
          <cell r="U1005" t="str">
            <v>Schimpff, Stephen</v>
          </cell>
          <cell r="V1005" t="str">
            <v>Ashworth, John</v>
          </cell>
          <cell r="W1005" t="str">
            <v>Inactive</v>
          </cell>
        </row>
        <row r="1006">
          <cell r="A1006" t="str">
            <v>0199898</v>
          </cell>
          <cell r="B1006" t="str">
            <v xml:space="preserve">  Error/Suspense</v>
          </cell>
          <cell r="C1006">
            <v>598</v>
          </cell>
          <cell r="E1006" t="str">
            <v>D</v>
          </cell>
          <cell r="F1006" t="str">
            <v xml:space="preserve"> </v>
          </cell>
          <cell r="G1006" t="str">
            <v xml:space="preserve"> </v>
          </cell>
          <cell r="H1006" t="str">
            <v>1INAC</v>
          </cell>
          <cell r="I1006" t="str">
            <v>Zhang, Lingwei</v>
          </cell>
          <cell r="J1006" t="str">
            <v>Walt Augustin</v>
          </cell>
          <cell r="L1006">
            <v>0</v>
          </cell>
          <cell r="M1006">
            <v>0</v>
          </cell>
          <cell r="N1006">
            <v>0</v>
          </cell>
          <cell r="O1006">
            <v>0</v>
          </cell>
          <cell r="P1006">
            <v>0</v>
          </cell>
          <cell r="Q1006">
            <v>0</v>
          </cell>
          <cell r="R1006" t="str">
            <v>Augustin, W</v>
          </cell>
          <cell r="S1006">
            <v>0</v>
          </cell>
          <cell r="T1006" t="str">
            <v>Franey, Hank</v>
          </cell>
          <cell r="U1006" t="str">
            <v>Schimpff, Stephen</v>
          </cell>
          <cell r="V1006" t="str">
            <v>Ashworth, John</v>
          </cell>
          <cell r="W1006" t="str">
            <v>Inactive</v>
          </cell>
        </row>
        <row r="1007">
          <cell r="A1007" t="str">
            <v>0248302</v>
          </cell>
          <cell r="B1007" t="str">
            <v xml:space="preserve">  Inpatient Revenue</v>
          </cell>
          <cell r="C1007">
            <v>599</v>
          </cell>
          <cell r="E1007" t="str">
            <v>D</v>
          </cell>
          <cell r="F1007" t="str">
            <v xml:space="preserve"> </v>
          </cell>
          <cell r="G1007" t="str">
            <v xml:space="preserve"> </v>
          </cell>
          <cell r="H1007" t="str">
            <v>9SNF</v>
          </cell>
          <cell r="I1007" t="str">
            <v>Zhang, Lingwei</v>
          </cell>
          <cell r="J1007" t="str">
            <v>Walt Augustin</v>
          </cell>
          <cell r="L1007">
            <v>0</v>
          </cell>
          <cell r="M1007">
            <v>0</v>
          </cell>
          <cell r="N1007">
            <v>0</v>
          </cell>
          <cell r="O1007">
            <v>0</v>
          </cell>
          <cell r="P1007">
            <v>0</v>
          </cell>
          <cell r="Q1007">
            <v>0</v>
          </cell>
          <cell r="R1007" t="str">
            <v>Augustin, W</v>
          </cell>
          <cell r="S1007">
            <v>0</v>
          </cell>
          <cell r="T1007" t="str">
            <v>Franey, Hank</v>
          </cell>
          <cell r="U1007" t="str">
            <v>Schimpff, Stephen</v>
          </cell>
          <cell r="V1007" t="str">
            <v>Ashworth, John</v>
          </cell>
          <cell r="W1007" t="str">
            <v>Inactive</v>
          </cell>
        </row>
        <row r="1008">
          <cell r="A1008" t="str">
            <v>0258304</v>
          </cell>
          <cell r="B1008" t="str">
            <v xml:space="preserve">  Contractuals</v>
          </cell>
          <cell r="C1008">
            <v>600</v>
          </cell>
          <cell r="E1008" t="str">
            <v>D</v>
          </cell>
          <cell r="F1008" t="str">
            <v xml:space="preserve"> </v>
          </cell>
          <cell r="G1008" t="str">
            <v xml:space="preserve"> </v>
          </cell>
          <cell r="H1008" t="str">
            <v>9SNF</v>
          </cell>
          <cell r="I1008" t="str">
            <v>Zhang, Lingwei</v>
          </cell>
          <cell r="J1008" t="str">
            <v>Walt Augustin</v>
          </cell>
          <cell r="L1008">
            <v>0</v>
          </cell>
          <cell r="M1008">
            <v>0</v>
          </cell>
          <cell r="N1008">
            <v>0</v>
          </cell>
          <cell r="O1008">
            <v>0</v>
          </cell>
          <cell r="P1008">
            <v>0</v>
          </cell>
          <cell r="Q1008">
            <v>0</v>
          </cell>
          <cell r="R1008" t="str">
            <v>Augustin, W</v>
          </cell>
          <cell r="S1008">
            <v>0</v>
          </cell>
          <cell r="T1008" t="str">
            <v>Franey, Hank</v>
          </cell>
          <cell r="U1008" t="str">
            <v>Schimpff, Stephen</v>
          </cell>
          <cell r="V1008" t="str">
            <v>Ashworth, John</v>
          </cell>
          <cell r="W1008" t="str">
            <v>Inactive</v>
          </cell>
        </row>
        <row r="1009">
          <cell r="A1009" t="str">
            <v>0258306</v>
          </cell>
          <cell r="B1009" t="str">
            <v xml:space="preserve">  Other Revenue</v>
          </cell>
          <cell r="C1009">
            <v>601</v>
          </cell>
          <cell r="E1009" t="str">
            <v>D</v>
          </cell>
          <cell r="F1009" t="str">
            <v xml:space="preserve"> </v>
          </cell>
          <cell r="G1009" t="str">
            <v xml:space="preserve"> </v>
          </cell>
          <cell r="H1009" t="str">
            <v>9SNF</v>
          </cell>
          <cell r="I1009" t="str">
            <v>Zhang, Lingwei</v>
          </cell>
          <cell r="J1009" t="str">
            <v>Walt Augustin</v>
          </cell>
          <cell r="L1009">
            <v>0</v>
          </cell>
          <cell r="M1009">
            <v>0</v>
          </cell>
          <cell r="N1009">
            <v>0</v>
          </cell>
          <cell r="O1009">
            <v>0</v>
          </cell>
          <cell r="P1009">
            <v>0</v>
          </cell>
          <cell r="Q1009">
            <v>0</v>
          </cell>
          <cell r="R1009" t="str">
            <v>Augustin, W</v>
          </cell>
          <cell r="S1009">
            <v>0</v>
          </cell>
          <cell r="T1009" t="str">
            <v>Franey, Hank</v>
          </cell>
          <cell r="U1009" t="str">
            <v>Schimpff, Stephen</v>
          </cell>
          <cell r="V1009" t="str">
            <v>Ashworth, John</v>
          </cell>
          <cell r="W1009" t="str">
            <v>Inactive</v>
          </cell>
        </row>
        <row r="1010">
          <cell r="A1010" t="str">
            <v>0258334</v>
          </cell>
          <cell r="B1010" t="str">
            <v xml:space="preserve">  Bad Debt</v>
          </cell>
          <cell r="C1010">
            <v>602</v>
          </cell>
          <cell r="E1010" t="str">
            <v>D</v>
          </cell>
          <cell r="F1010" t="str">
            <v xml:space="preserve"> </v>
          </cell>
          <cell r="G1010" t="str">
            <v xml:space="preserve"> </v>
          </cell>
          <cell r="H1010" t="str">
            <v>9SNF</v>
          </cell>
          <cell r="I1010" t="str">
            <v>Zhang, Lingwei</v>
          </cell>
          <cell r="J1010" t="str">
            <v>Walt Augustin</v>
          </cell>
          <cell r="L1010">
            <v>0</v>
          </cell>
          <cell r="M1010">
            <v>0</v>
          </cell>
          <cell r="N1010">
            <v>0</v>
          </cell>
          <cell r="O1010">
            <v>0</v>
          </cell>
          <cell r="P1010">
            <v>0</v>
          </cell>
          <cell r="Q1010">
            <v>0</v>
          </cell>
          <cell r="R1010" t="str">
            <v>Augustin, W</v>
          </cell>
          <cell r="S1010">
            <v>0</v>
          </cell>
          <cell r="T1010" t="str">
            <v>Franey, Hank</v>
          </cell>
          <cell r="U1010" t="str">
            <v>Schimpff, Stephen</v>
          </cell>
          <cell r="V1010" t="str">
            <v>Ashworth, John</v>
          </cell>
          <cell r="W1010" t="str">
            <v>Inactive</v>
          </cell>
        </row>
        <row r="1011">
          <cell r="A1011" t="str">
            <v>0278320</v>
          </cell>
          <cell r="B1011" t="str">
            <v xml:space="preserve">  Nursing Care Services</v>
          </cell>
          <cell r="C1011">
            <v>603</v>
          </cell>
          <cell r="E1011" t="str">
            <v>D</v>
          </cell>
          <cell r="F1011" t="str">
            <v xml:space="preserve"> </v>
          </cell>
          <cell r="G1011" t="str">
            <v xml:space="preserve"> </v>
          </cell>
          <cell r="H1011" t="str">
            <v>9SNF</v>
          </cell>
          <cell r="I1011" t="str">
            <v>Zhang, Lingwei</v>
          </cell>
          <cell r="J1011" t="str">
            <v>Walt Augustin</v>
          </cell>
          <cell r="L1011">
            <v>0</v>
          </cell>
          <cell r="M1011">
            <v>0</v>
          </cell>
          <cell r="N1011">
            <v>0</v>
          </cell>
          <cell r="O1011">
            <v>0</v>
          </cell>
          <cell r="P1011">
            <v>0</v>
          </cell>
          <cell r="Q1011">
            <v>0</v>
          </cell>
          <cell r="R1011" t="str">
            <v>Augustin, W</v>
          </cell>
          <cell r="S1011">
            <v>0</v>
          </cell>
          <cell r="T1011" t="str">
            <v>Franey, Hank</v>
          </cell>
          <cell r="U1011" t="str">
            <v>Schimpff, Stephen</v>
          </cell>
          <cell r="V1011" t="str">
            <v>Ashworth, John</v>
          </cell>
          <cell r="W1011" t="str">
            <v>Inactive</v>
          </cell>
        </row>
        <row r="1012">
          <cell r="A1012" t="str">
            <v>0278322</v>
          </cell>
          <cell r="B1012" t="str">
            <v xml:space="preserve">  Other Patient Care</v>
          </cell>
          <cell r="C1012">
            <v>604</v>
          </cell>
          <cell r="E1012" t="str">
            <v>D</v>
          </cell>
          <cell r="F1012" t="str">
            <v xml:space="preserve"> </v>
          </cell>
          <cell r="G1012" t="str">
            <v xml:space="preserve"> </v>
          </cell>
          <cell r="H1012" t="str">
            <v>9SNF</v>
          </cell>
          <cell r="I1012" t="str">
            <v>Zhang, Lingwei</v>
          </cell>
          <cell r="J1012" t="str">
            <v>Walt Augustin</v>
          </cell>
          <cell r="L1012">
            <v>0</v>
          </cell>
          <cell r="M1012">
            <v>0</v>
          </cell>
          <cell r="N1012">
            <v>0</v>
          </cell>
          <cell r="O1012">
            <v>0</v>
          </cell>
          <cell r="P1012">
            <v>0</v>
          </cell>
          <cell r="Q1012">
            <v>0</v>
          </cell>
          <cell r="R1012" t="str">
            <v>Augustin, W</v>
          </cell>
          <cell r="S1012">
            <v>0</v>
          </cell>
          <cell r="T1012" t="str">
            <v>Franey, Hank</v>
          </cell>
          <cell r="U1012" t="str">
            <v>Schimpff, Stephen</v>
          </cell>
          <cell r="V1012" t="str">
            <v>Ashworth, John</v>
          </cell>
          <cell r="W1012" t="str">
            <v>Inactive</v>
          </cell>
        </row>
        <row r="1013">
          <cell r="A1013" t="str">
            <v>0278324</v>
          </cell>
          <cell r="B1013" t="str">
            <v xml:space="preserve">  Routine Services</v>
          </cell>
          <cell r="C1013">
            <v>605</v>
          </cell>
          <cell r="E1013" t="str">
            <v>D</v>
          </cell>
          <cell r="F1013" t="str">
            <v xml:space="preserve"> </v>
          </cell>
          <cell r="G1013" t="str">
            <v xml:space="preserve"> </v>
          </cell>
          <cell r="H1013" t="str">
            <v>9SNF</v>
          </cell>
          <cell r="I1013" t="str">
            <v>Zhang, Lingwei</v>
          </cell>
          <cell r="J1013" t="str">
            <v>Walt Augustin</v>
          </cell>
          <cell r="L1013">
            <v>0</v>
          </cell>
          <cell r="M1013">
            <v>0</v>
          </cell>
          <cell r="N1013">
            <v>0</v>
          </cell>
          <cell r="O1013">
            <v>0</v>
          </cell>
          <cell r="P1013">
            <v>0</v>
          </cell>
          <cell r="Q1013">
            <v>0</v>
          </cell>
          <cell r="R1013" t="str">
            <v>Augustin, W</v>
          </cell>
          <cell r="S1013">
            <v>0</v>
          </cell>
          <cell r="T1013" t="str">
            <v>Franey, Hank</v>
          </cell>
          <cell r="U1013" t="str">
            <v>Schimpff, Stephen</v>
          </cell>
          <cell r="V1013" t="str">
            <v>Ashworth, John</v>
          </cell>
          <cell r="W1013" t="str">
            <v>Inactive</v>
          </cell>
        </row>
        <row r="1014">
          <cell r="A1014" t="str">
            <v>0278330</v>
          </cell>
          <cell r="B1014" t="str">
            <v xml:space="preserve">  Other Ancillary Cost</v>
          </cell>
          <cell r="C1014">
            <v>606</v>
          </cell>
          <cell r="E1014" t="str">
            <v>D</v>
          </cell>
          <cell r="F1014" t="str">
            <v xml:space="preserve"> </v>
          </cell>
          <cell r="G1014" t="str">
            <v xml:space="preserve"> </v>
          </cell>
          <cell r="H1014" t="str">
            <v>9SNF</v>
          </cell>
          <cell r="I1014" t="str">
            <v>Zhang, Lingwei</v>
          </cell>
          <cell r="J1014" t="str">
            <v>Walt Augustin</v>
          </cell>
          <cell r="L1014">
            <v>0</v>
          </cell>
          <cell r="M1014">
            <v>0</v>
          </cell>
          <cell r="N1014">
            <v>0</v>
          </cell>
          <cell r="O1014">
            <v>0</v>
          </cell>
          <cell r="P1014">
            <v>0</v>
          </cell>
          <cell r="Q1014">
            <v>0</v>
          </cell>
          <cell r="R1014" t="str">
            <v>Augustin, W</v>
          </cell>
          <cell r="S1014">
            <v>0</v>
          </cell>
          <cell r="T1014" t="str">
            <v>Franey, Hank</v>
          </cell>
          <cell r="U1014" t="str">
            <v>Schimpff, Stephen</v>
          </cell>
          <cell r="V1014" t="str">
            <v>Ashworth, John</v>
          </cell>
          <cell r="W1014" t="str">
            <v>Inactive</v>
          </cell>
        </row>
        <row r="1015">
          <cell r="A1015" t="str">
            <v>0278332</v>
          </cell>
          <cell r="B1015" t="str">
            <v xml:space="preserve">  Medical Supplies &amp; Drugs</v>
          </cell>
          <cell r="C1015">
            <v>607</v>
          </cell>
          <cell r="E1015" t="str">
            <v>D</v>
          </cell>
          <cell r="F1015" t="str">
            <v xml:space="preserve"> </v>
          </cell>
          <cell r="G1015" t="str">
            <v xml:space="preserve"> </v>
          </cell>
          <cell r="H1015" t="str">
            <v>9SNF</v>
          </cell>
          <cell r="I1015" t="str">
            <v>Zhang, Lingwei</v>
          </cell>
          <cell r="J1015" t="str">
            <v>Walt Augustin</v>
          </cell>
          <cell r="L1015">
            <v>0</v>
          </cell>
          <cell r="M1015">
            <v>0</v>
          </cell>
          <cell r="N1015">
            <v>0</v>
          </cell>
          <cell r="O1015">
            <v>0</v>
          </cell>
          <cell r="P1015">
            <v>0</v>
          </cell>
          <cell r="Q1015">
            <v>0</v>
          </cell>
          <cell r="R1015" t="str">
            <v>Augustin, W</v>
          </cell>
          <cell r="S1015">
            <v>0</v>
          </cell>
          <cell r="T1015" t="str">
            <v>Franey, Hank</v>
          </cell>
          <cell r="U1015" t="str">
            <v>Schimpff, Stephen</v>
          </cell>
          <cell r="V1015" t="str">
            <v>Ashworth, John</v>
          </cell>
          <cell r="W1015" t="str">
            <v>Inactive</v>
          </cell>
        </row>
        <row r="1016">
          <cell r="A1016" t="str">
            <v>0288326</v>
          </cell>
          <cell r="B1016" t="str">
            <v xml:space="preserve">  Administrative Services</v>
          </cell>
          <cell r="C1016">
            <v>608</v>
          </cell>
          <cell r="E1016" t="str">
            <v>D</v>
          </cell>
          <cell r="F1016" t="str">
            <v xml:space="preserve"> </v>
          </cell>
          <cell r="G1016" t="str">
            <v xml:space="preserve"> </v>
          </cell>
          <cell r="H1016" t="str">
            <v>9SNF</v>
          </cell>
          <cell r="I1016" t="str">
            <v>Zhang, Lingwei</v>
          </cell>
          <cell r="J1016" t="str">
            <v>Walt Augustin</v>
          </cell>
          <cell r="L1016">
            <v>0</v>
          </cell>
          <cell r="M1016">
            <v>0</v>
          </cell>
          <cell r="N1016">
            <v>0</v>
          </cell>
          <cell r="O1016">
            <v>0</v>
          </cell>
          <cell r="P1016">
            <v>0</v>
          </cell>
          <cell r="Q1016">
            <v>0</v>
          </cell>
          <cell r="R1016" t="str">
            <v>Augustin, W</v>
          </cell>
          <cell r="S1016">
            <v>0</v>
          </cell>
          <cell r="T1016" t="str">
            <v>Franey, Hank</v>
          </cell>
          <cell r="U1016" t="str">
            <v>Schimpff, Stephen</v>
          </cell>
          <cell r="V1016" t="str">
            <v>Ashworth, John</v>
          </cell>
          <cell r="W1016" t="str">
            <v>Inactive</v>
          </cell>
        </row>
        <row r="1017">
          <cell r="A1017" t="str">
            <v>0288328</v>
          </cell>
          <cell r="B1017" t="str">
            <v xml:space="preserve">  Admin/Capital Costs</v>
          </cell>
          <cell r="C1017">
            <v>609</v>
          </cell>
          <cell r="E1017" t="str">
            <v>D</v>
          </cell>
          <cell r="F1017" t="str">
            <v xml:space="preserve"> </v>
          </cell>
          <cell r="G1017" t="str">
            <v xml:space="preserve"> </v>
          </cell>
          <cell r="H1017" t="str">
            <v>9SNF</v>
          </cell>
          <cell r="I1017" t="str">
            <v>Zhang, Lingwei</v>
          </cell>
          <cell r="J1017" t="str">
            <v>Walt Augustin</v>
          </cell>
          <cell r="L1017">
            <v>0</v>
          </cell>
          <cell r="M1017">
            <v>0</v>
          </cell>
          <cell r="N1017">
            <v>0</v>
          </cell>
          <cell r="O1017">
            <v>0</v>
          </cell>
          <cell r="P1017">
            <v>0</v>
          </cell>
          <cell r="Q1017">
            <v>0</v>
          </cell>
          <cell r="R1017" t="str">
            <v>Augustin, W</v>
          </cell>
          <cell r="S1017">
            <v>0</v>
          </cell>
          <cell r="T1017" t="str">
            <v>Franey, Hank</v>
          </cell>
          <cell r="U1017" t="str">
            <v>Schimpff, Stephen</v>
          </cell>
          <cell r="V1017" t="str">
            <v>Ashworth, John</v>
          </cell>
          <cell r="W1017" t="str">
            <v>Inactive</v>
          </cell>
        </row>
        <row r="1018">
          <cell r="A1018" t="str">
            <v>0298308</v>
          </cell>
          <cell r="B1018" t="str">
            <v xml:space="preserve">  Non-Operating Revenue</v>
          </cell>
          <cell r="C1018">
            <v>610</v>
          </cell>
          <cell r="E1018" t="str">
            <v>D</v>
          </cell>
          <cell r="F1018" t="str">
            <v xml:space="preserve"> </v>
          </cell>
          <cell r="G1018" t="str">
            <v xml:space="preserve"> </v>
          </cell>
          <cell r="H1018" t="str">
            <v>9SNF</v>
          </cell>
          <cell r="I1018" t="str">
            <v>Zhang, Lingwei</v>
          </cell>
          <cell r="J1018" t="str">
            <v>Walt Augustin</v>
          </cell>
          <cell r="L1018">
            <v>0</v>
          </cell>
          <cell r="M1018">
            <v>0</v>
          </cell>
          <cell r="N1018">
            <v>0</v>
          </cell>
          <cell r="O1018">
            <v>0</v>
          </cell>
          <cell r="P1018">
            <v>0</v>
          </cell>
          <cell r="Q1018">
            <v>0</v>
          </cell>
          <cell r="R1018" t="str">
            <v>Augustin, W</v>
          </cell>
          <cell r="S1018">
            <v>0</v>
          </cell>
          <cell r="T1018" t="str">
            <v>Franey, Hank</v>
          </cell>
          <cell r="U1018" t="str">
            <v>Schimpff, Stephen</v>
          </cell>
          <cell r="V1018" t="str">
            <v>Ashworth, John</v>
          </cell>
          <cell r="W1018" t="str">
            <v>Inactive</v>
          </cell>
        </row>
        <row r="1019">
          <cell r="A1019" t="str">
            <v>0298336</v>
          </cell>
          <cell r="B1019" t="str">
            <v xml:space="preserve">  Insurance</v>
          </cell>
          <cell r="C1019">
            <v>611</v>
          </cell>
          <cell r="E1019" t="str">
            <v>D</v>
          </cell>
          <cell r="F1019" t="str">
            <v xml:space="preserve"> </v>
          </cell>
          <cell r="G1019" t="str">
            <v xml:space="preserve"> </v>
          </cell>
          <cell r="H1019" t="str">
            <v>9SNF</v>
          </cell>
          <cell r="I1019" t="str">
            <v>Zhang, Lingwei</v>
          </cell>
          <cell r="J1019" t="str">
            <v>Walt Augustin</v>
          </cell>
          <cell r="L1019">
            <v>0</v>
          </cell>
          <cell r="M1019">
            <v>0</v>
          </cell>
          <cell r="N1019">
            <v>0</v>
          </cell>
          <cell r="O1019">
            <v>0</v>
          </cell>
          <cell r="P1019">
            <v>0</v>
          </cell>
          <cell r="Q1019">
            <v>0</v>
          </cell>
          <cell r="R1019" t="str">
            <v>Augustin, W</v>
          </cell>
          <cell r="S1019">
            <v>0</v>
          </cell>
          <cell r="T1019" t="str">
            <v>Franey, Hank</v>
          </cell>
          <cell r="U1019" t="str">
            <v>Schimpff, Stephen</v>
          </cell>
          <cell r="V1019" t="str">
            <v>Ashworth, John</v>
          </cell>
          <cell r="W1019" t="str">
            <v>Inactive</v>
          </cell>
        </row>
        <row r="1020">
          <cell r="A1020" t="str">
            <v>0298338</v>
          </cell>
          <cell r="B1020" t="str">
            <v xml:space="preserve">  Depreciation</v>
          </cell>
          <cell r="C1020">
            <v>612</v>
          </cell>
          <cell r="E1020" t="str">
            <v>D</v>
          </cell>
          <cell r="F1020" t="str">
            <v xml:space="preserve"> </v>
          </cell>
          <cell r="G1020" t="str">
            <v xml:space="preserve"> </v>
          </cell>
          <cell r="H1020" t="str">
            <v>9SNF</v>
          </cell>
          <cell r="I1020" t="str">
            <v>Zhang, Lingwei</v>
          </cell>
          <cell r="J1020" t="str">
            <v>Walt Augustin</v>
          </cell>
          <cell r="L1020">
            <v>0</v>
          </cell>
          <cell r="M1020">
            <v>0</v>
          </cell>
          <cell r="N1020">
            <v>0</v>
          </cell>
          <cell r="O1020">
            <v>0</v>
          </cell>
          <cell r="P1020">
            <v>0</v>
          </cell>
          <cell r="Q1020">
            <v>0</v>
          </cell>
          <cell r="R1020" t="str">
            <v>Augustin, W</v>
          </cell>
          <cell r="S1020">
            <v>0</v>
          </cell>
          <cell r="T1020" t="str">
            <v>Franey, Hank</v>
          </cell>
          <cell r="U1020" t="str">
            <v>Schimpff, Stephen</v>
          </cell>
          <cell r="V1020" t="str">
            <v>Ashworth, John</v>
          </cell>
          <cell r="W1020" t="str">
            <v>Inactive</v>
          </cell>
        </row>
        <row r="1021">
          <cell r="A1021" t="str">
            <v>0298340</v>
          </cell>
          <cell r="B1021" t="str">
            <v xml:space="preserve">  Interest Expense</v>
          </cell>
          <cell r="C1021">
            <v>613</v>
          </cell>
          <cell r="E1021" t="str">
            <v>D</v>
          </cell>
          <cell r="F1021" t="str">
            <v xml:space="preserve"> </v>
          </cell>
          <cell r="G1021" t="str">
            <v xml:space="preserve"> </v>
          </cell>
          <cell r="H1021" t="str">
            <v>9SNF</v>
          </cell>
          <cell r="I1021" t="str">
            <v>Zhang, Lingwei</v>
          </cell>
          <cell r="J1021" t="str">
            <v>Walt Augustin</v>
          </cell>
          <cell r="L1021">
            <v>0</v>
          </cell>
          <cell r="M1021">
            <v>0</v>
          </cell>
          <cell r="N1021">
            <v>0</v>
          </cell>
          <cell r="O1021">
            <v>0</v>
          </cell>
          <cell r="P1021">
            <v>0</v>
          </cell>
          <cell r="Q1021">
            <v>0</v>
          </cell>
          <cell r="R1021" t="str">
            <v>Augustin, W</v>
          </cell>
          <cell r="S1021">
            <v>0</v>
          </cell>
          <cell r="T1021" t="str">
            <v>Franey, Hank</v>
          </cell>
          <cell r="U1021" t="str">
            <v>Schimpff, Stephen</v>
          </cell>
          <cell r="V1021" t="str">
            <v>Ashworth, John</v>
          </cell>
          <cell r="W1021" t="str">
            <v>Inactive</v>
          </cell>
        </row>
        <row r="1022">
          <cell r="A1022" t="str">
            <v>0298342</v>
          </cell>
          <cell r="B1022" t="str">
            <v xml:space="preserve">  Fringe Benefits</v>
          </cell>
          <cell r="C1022">
            <v>614</v>
          </cell>
          <cell r="E1022" t="str">
            <v>D</v>
          </cell>
          <cell r="F1022" t="str">
            <v xml:space="preserve"> </v>
          </cell>
          <cell r="G1022" t="str">
            <v xml:space="preserve"> </v>
          </cell>
          <cell r="H1022" t="str">
            <v>9SNF</v>
          </cell>
          <cell r="I1022" t="str">
            <v>Zhang, Lingwei</v>
          </cell>
          <cell r="J1022" t="str">
            <v>Walt Augustin</v>
          </cell>
          <cell r="L1022">
            <v>0</v>
          </cell>
          <cell r="M1022">
            <v>0</v>
          </cell>
          <cell r="N1022">
            <v>0</v>
          </cell>
          <cell r="O1022">
            <v>0</v>
          </cell>
          <cell r="P1022">
            <v>0</v>
          </cell>
          <cell r="Q1022">
            <v>0</v>
          </cell>
          <cell r="R1022" t="str">
            <v>Augustin, W</v>
          </cell>
          <cell r="S1022">
            <v>0</v>
          </cell>
          <cell r="T1022" t="str">
            <v>Franey, Hank</v>
          </cell>
          <cell r="U1022" t="str">
            <v>Schimpff, Stephen</v>
          </cell>
          <cell r="V1022" t="str">
            <v>Ashworth, John</v>
          </cell>
          <cell r="W1022" t="str">
            <v>Inactive</v>
          </cell>
        </row>
      </sheetData>
      <sheetData sheetId="2">
        <row r="136">
          <cell r="A136" t="str">
            <v>0467361</v>
          </cell>
          <cell r="B136" t="str">
            <v xml:space="preserve">  Radiation Oncology</v>
          </cell>
          <cell r="C136">
            <v>630</v>
          </cell>
          <cell r="F136" t="str">
            <v xml:space="preserve"> </v>
          </cell>
          <cell r="G136" t="str">
            <v xml:space="preserve"> </v>
          </cell>
          <cell r="H136" t="str">
            <v>4INAC</v>
          </cell>
          <cell r="I136" t="str">
            <v>Zhang, Lingwei</v>
          </cell>
          <cell r="J136" t="str">
            <v>Walt Augustin</v>
          </cell>
          <cell r="K136" t="str">
            <v>B. Rayme</v>
          </cell>
          <cell r="L136">
            <v>0</v>
          </cell>
          <cell r="M136">
            <v>0</v>
          </cell>
          <cell r="N136">
            <v>0</v>
          </cell>
          <cell r="O136">
            <v>0</v>
          </cell>
          <cell r="P136">
            <v>0</v>
          </cell>
          <cell r="Q136">
            <v>0</v>
          </cell>
          <cell r="R136" t="str">
            <v>Augustin, W</v>
          </cell>
          <cell r="S136">
            <v>0</v>
          </cell>
          <cell r="T136" t="str">
            <v>Franey, Hank</v>
          </cell>
          <cell r="U136" t="str">
            <v>Schimpff, Stephen</v>
          </cell>
          <cell r="V136" t="str">
            <v>Ashworth, John</v>
          </cell>
          <cell r="W136" t="str">
            <v>Inactive</v>
          </cell>
        </row>
        <row r="137">
          <cell r="A137" t="str">
            <v>0476457</v>
          </cell>
          <cell r="B137" t="str">
            <v xml:space="preserve">  Patient Care Services</v>
          </cell>
          <cell r="C137">
            <v>641</v>
          </cell>
          <cell r="F137" t="str">
            <v xml:space="preserve"> </v>
          </cell>
          <cell r="G137" t="str">
            <v xml:space="preserve"> </v>
          </cell>
          <cell r="H137" t="str">
            <v>4INAC</v>
          </cell>
          <cell r="I137" t="str">
            <v>Zhang, Lingwei</v>
          </cell>
          <cell r="J137" t="str">
            <v>Walt Augustin</v>
          </cell>
          <cell r="K137" t="str">
            <v>B. Rayme</v>
          </cell>
          <cell r="L137">
            <v>0</v>
          </cell>
          <cell r="M137">
            <v>0</v>
          </cell>
          <cell r="N137">
            <v>0</v>
          </cell>
          <cell r="O137">
            <v>0</v>
          </cell>
          <cell r="P137">
            <v>0</v>
          </cell>
          <cell r="Q137">
            <v>0</v>
          </cell>
          <cell r="R137" t="str">
            <v>Augustin, W</v>
          </cell>
          <cell r="S137">
            <v>0</v>
          </cell>
          <cell r="T137" t="str">
            <v>Franey, Hank</v>
          </cell>
          <cell r="U137" t="str">
            <v>Schimpff, Stephen</v>
          </cell>
          <cell r="V137" t="str">
            <v>Ashworth, John</v>
          </cell>
          <cell r="W137" t="str">
            <v>Inactive</v>
          </cell>
        </row>
        <row r="138">
          <cell r="A138" t="str">
            <v>0476440</v>
          </cell>
          <cell r="B138" t="str">
            <v xml:space="preserve">  Outpatient Pharmacy</v>
          </cell>
          <cell r="C138">
            <v>631</v>
          </cell>
          <cell r="E138" t="str">
            <v>R</v>
          </cell>
          <cell r="F138" t="str">
            <v xml:space="preserve"> </v>
          </cell>
          <cell r="G138" t="str">
            <v xml:space="preserve"> </v>
          </cell>
          <cell r="H138" t="str">
            <v>4INAC</v>
          </cell>
          <cell r="I138" t="str">
            <v>Zhang, Lingwei</v>
          </cell>
          <cell r="J138" t="str">
            <v>Walt Augustin</v>
          </cell>
          <cell r="L138">
            <v>0</v>
          </cell>
          <cell r="M138">
            <v>0</v>
          </cell>
          <cell r="N138">
            <v>0</v>
          </cell>
          <cell r="O138">
            <v>0</v>
          </cell>
          <cell r="P138">
            <v>0</v>
          </cell>
          <cell r="Q138">
            <v>0</v>
          </cell>
          <cell r="R138" t="str">
            <v>Augustin, W</v>
          </cell>
          <cell r="S138">
            <v>0</v>
          </cell>
          <cell r="T138" t="str">
            <v>Franey, Hank</v>
          </cell>
          <cell r="U138" t="str">
            <v>Schimpff, Stephen</v>
          </cell>
          <cell r="V138" t="str">
            <v>Ashworth, John</v>
          </cell>
          <cell r="W138" t="str">
            <v>Inactive</v>
          </cell>
        </row>
        <row r="139">
          <cell r="A139" t="str">
            <v>0476480</v>
          </cell>
          <cell r="B139" t="str">
            <v xml:space="preserve">  Mobile Mammography</v>
          </cell>
          <cell r="C139">
            <v>649</v>
          </cell>
          <cell r="E139" t="str">
            <v>C</v>
          </cell>
          <cell r="F139" t="str">
            <v xml:space="preserve"> </v>
          </cell>
          <cell r="G139" t="str">
            <v xml:space="preserve"> </v>
          </cell>
          <cell r="H139" t="str">
            <v>4INAC</v>
          </cell>
          <cell r="I139" t="str">
            <v>Zhang, Lingwei</v>
          </cell>
          <cell r="J139" t="str">
            <v>Walt Augustin</v>
          </cell>
          <cell r="K139" t="str">
            <v>K. Franz</v>
          </cell>
          <cell r="L139">
            <v>0</v>
          </cell>
          <cell r="M139">
            <v>0</v>
          </cell>
          <cell r="N139">
            <v>0</v>
          </cell>
          <cell r="O139">
            <v>0</v>
          </cell>
          <cell r="P139">
            <v>0</v>
          </cell>
          <cell r="Q139">
            <v>0</v>
          </cell>
          <cell r="R139" t="str">
            <v>Augustin, W</v>
          </cell>
          <cell r="S139">
            <v>0</v>
          </cell>
          <cell r="T139" t="str">
            <v>Franey, Hank</v>
          </cell>
          <cell r="U139" t="str">
            <v>Schimpff, Stephen</v>
          </cell>
          <cell r="V139" t="str">
            <v>Ashworth, John</v>
          </cell>
          <cell r="W139" t="str">
            <v>Inactive</v>
          </cell>
        </row>
        <row r="140">
          <cell r="A140" t="str">
            <v>0478263</v>
          </cell>
          <cell r="B140" t="str">
            <v xml:space="preserve">  Residents</v>
          </cell>
          <cell r="C140">
            <v>651</v>
          </cell>
          <cell r="F140" t="str">
            <v xml:space="preserve"> </v>
          </cell>
          <cell r="G140" t="str">
            <v xml:space="preserve"> </v>
          </cell>
          <cell r="H140" t="str">
            <v>4INAC</v>
          </cell>
          <cell r="I140" t="str">
            <v>Naqvi, Mariam</v>
          </cell>
          <cell r="J140" t="str">
            <v>Walt Augustin</v>
          </cell>
          <cell r="L140">
            <v>0</v>
          </cell>
          <cell r="M140" t="str">
            <v>Zanti, Laura</v>
          </cell>
          <cell r="N140" t="str">
            <v>Rorison, David</v>
          </cell>
          <cell r="O140">
            <v>0</v>
          </cell>
          <cell r="P140">
            <v>0</v>
          </cell>
          <cell r="Q140">
            <v>0</v>
          </cell>
          <cell r="R140" t="str">
            <v>Augustin, W</v>
          </cell>
          <cell r="S140">
            <v>0</v>
          </cell>
          <cell r="T140" t="str">
            <v>Franey, Hank</v>
          </cell>
          <cell r="U140" t="str">
            <v>Schimpff, Stephen</v>
          </cell>
          <cell r="V140" t="str">
            <v>Ashworth, John</v>
          </cell>
          <cell r="W140" t="str">
            <v>Inactive</v>
          </cell>
        </row>
      </sheetData>
      <sheetData sheetId="3">
        <row r="208">
          <cell r="A208" t="str">
            <v>0787838</v>
          </cell>
          <cell r="B208" t="str">
            <v xml:space="preserve">  Biomedia Services</v>
          </cell>
          <cell r="C208">
            <v>762</v>
          </cell>
          <cell r="E208" t="str">
            <v>C</v>
          </cell>
          <cell r="F208" t="str">
            <v xml:space="preserve"> </v>
          </cell>
          <cell r="G208" t="str">
            <v xml:space="preserve"> </v>
          </cell>
          <cell r="H208" t="str">
            <v>7INAC</v>
          </cell>
          <cell r="I208" t="str">
            <v>Zhang, Lingwei</v>
          </cell>
          <cell r="J208" t="str">
            <v>Walt Augustin</v>
          </cell>
          <cell r="L208">
            <v>0</v>
          </cell>
          <cell r="M208">
            <v>0</v>
          </cell>
          <cell r="N208">
            <v>0</v>
          </cell>
          <cell r="O208">
            <v>0</v>
          </cell>
          <cell r="P208">
            <v>0</v>
          </cell>
          <cell r="Q208">
            <v>0</v>
          </cell>
          <cell r="R208" t="str">
            <v>Augustin, W</v>
          </cell>
          <cell r="S208">
            <v>0</v>
          </cell>
          <cell r="T208" t="str">
            <v>Franey, Hank</v>
          </cell>
          <cell r="U208" t="str">
            <v>Schimpff, Stephen</v>
          </cell>
          <cell r="V208" t="str">
            <v>Ashworth, John</v>
          </cell>
          <cell r="W208" t="str">
            <v>Inactive</v>
          </cell>
        </row>
        <row r="209">
          <cell r="A209" t="str">
            <v>0787839</v>
          </cell>
          <cell r="B209" t="str">
            <v xml:space="preserve">  Editorial/Publication</v>
          </cell>
          <cell r="C209">
            <v>763</v>
          </cell>
          <cell r="E209" t="str">
            <v>C</v>
          </cell>
          <cell r="F209" t="str">
            <v xml:space="preserve"> </v>
          </cell>
          <cell r="G209" t="str">
            <v xml:space="preserve"> </v>
          </cell>
          <cell r="H209" t="str">
            <v>7INAC</v>
          </cell>
          <cell r="I209" t="str">
            <v>Zhang, Lingwei</v>
          </cell>
          <cell r="J209" t="str">
            <v>Walt Augustin</v>
          </cell>
          <cell r="L209">
            <v>0</v>
          </cell>
          <cell r="M209">
            <v>0</v>
          </cell>
          <cell r="N209">
            <v>0</v>
          </cell>
          <cell r="O209">
            <v>0</v>
          </cell>
          <cell r="P209">
            <v>0</v>
          </cell>
          <cell r="Q209">
            <v>0</v>
          </cell>
          <cell r="R209" t="str">
            <v>Augustin, W</v>
          </cell>
          <cell r="S209">
            <v>0</v>
          </cell>
          <cell r="T209" t="str">
            <v>Franey, Hank</v>
          </cell>
          <cell r="U209" t="str">
            <v>Schimpff, Stephen</v>
          </cell>
          <cell r="V209" t="str">
            <v>Ashworth, John</v>
          </cell>
          <cell r="W209" t="str">
            <v>Inactive</v>
          </cell>
        </row>
        <row r="210">
          <cell r="A210" t="str">
            <v>0767983</v>
          </cell>
          <cell r="B210" t="str">
            <v xml:space="preserve">  Operating Room Ancillaries</v>
          </cell>
          <cell r="C210">
            <v>730</v>
          </cell>
          <cell r="H210" t="str">
            <v>7INAC</v>
          </cell>
          <cell r="I210" t="str">
            <v>Zhang, Lingwei</v>
          </cell>
          <cell r="J210" t="str">
            <v>Walt Augustin</v>
          </cell>
          <cell r="L210">
            <v>0</v>
          </cell>
          <cell r="M210">
            <v>0</v>
          </cell>
          <cell r="N210">
            <v>0</v>
          </cell>
          <cell r="O210">
            <v>0</v>
          </cell>
          <cell r="P210">
            <v>0</v>
          </cell>
          <cell r="Q210">
            <v>0</v>
          </cell>
          <cell r="R210" t="str">
            <v>Augustin, W</v>
          </cell>
          <cell r="S210">
            <v>0</v>
          </cell>
          <cell r="T210" t="str">
            <v>Franey, Hank</v>
          </cell>
          <cell r="U210" t="str">
            <v>Schimpff, Stephen</v>
          </cell>
          <cell r="V210" t="str">
            <v>Ashworth, John</v>
          </cell>
          <cell r="W210" t="str">
            <v>Inactive</v>
          </cell>
        </row>
        <row r="211">
          <cell r="A211" t="str">
            <v>0787844</v>
          </cell>
          <cell r="B211" t="str">
            <v xml:space="preserve">  Evaluation</v>
          </cell>
          <cell r="C211">
            <v>765</v>
          </cell>
          <cell r="E211" t="str">
            <v>C</v>
          </cell>
          <cell r="F211" t="str">
            <v xml:space="preserve"> </v>
          </cell>
          <cell r="G211" t="str">
            <v xml:space="preserve"> </v>
          </cell>
          <cell r="H211" t="str">
            <v>7INAC</v>
          </cell>
          <cell r="I211" t="str">
            <v>Zhang, Lingwei</v>
          </cell>
          <cell r="J211" t="str">
            <v>Walt Augustin</v>
          </cell>
          <cell r="L211">
            <v>0</v>
          </cell>
          <cell r="M211">
            <v>0</v>
          </cell>
          <cell r="N211">
            <v>0</v>
          </cell>
          <cell r="O211">
            <v>0</v>
          </cell>
          <cell r="P211">
            <v>0</v>
          </cell>
          <cell r="Q211">
            <v>0</v>
          </cell>
          <cell r="R211" t="str">
            <v>Augustin, W</v>
          </cell>
          <cell r="S211">
            <v>0</v>
          </cell>
          <cell r="T211" t="str">
            <v>Franey, Hank</v>
          </cell>
          <cell r="U211" t="str">
            <v>Schimpff, Stephen</v>
          </cell>
          <cell r="V211" t="str">
            <v>Ashworth, John</v>
          </cell>
          <cell r="W211" t="str">
            <v>Inactive</v>
          </cell>
        </row>
        <row r="212">
          <cell r="A212" t="str">
            <v>0787890</v>
          </cell>
          <cell r="B212" t="str">
            <v xml:space="preserve">  Research</v>
          </cell>
          <cell r="C212">
            <v>767</v>
          </cell>
          <cell r="E212" t="str">
            <v>C</v>
          </cell>
          <cell r="F212" t="str">
            <v xml:space="preserve"> </v>
          </cell>
          <cell r="G212" t="str">
            <v xml:space="preserve"> </v>
          </cell>
          <cell r="H212" t="str">
            <v>7INAC</v>
          </cell>
          <cell r="I212" t="str">
            <v>Zhang, Lingwei</v>
          </cell>
          <cell r="J212" t="str">
            <v>Walt Augustin</v>
          </cell>
          <cell r="L212">
            <v>0</v>
          </cell>
          <cell r="M212">
            <v>0</v>
          </cell>
          <cell r="N212">
            <v>0</v>
          </cell>
          <cell r="O212">
            <v>0</v>
          </cell>
          <cell r="P212">
            <v>0</v>
          </cell>
          <cell r="Q212">
            <v>0</v>
          </cell>
          <cell r="R212" t="str">
            <v>Augustin, W</v>
          </cell>
          <cell r="S212">
            <v>0</v>
          </cell>
          <cell r="T212" t="str">
            <v>Franey, Hank</v>
          </cell>
          <cell r="U212" t="str">
            <v>Schimpff, Stephen</v>
          </cell>
          <cell r="V212" t="str">
            <v>Ashworth, John</v>
          </cell>
          <cell r="W212" t="str">
            <v>Inactive</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Input TB"/>
      <sheetName val="Master Table"/>
      <sheetName val="E_XI"/>
      <sheetName val="S1"/>
      <sheetName val="RE"/>
      <sheetName val="RER"/>
      <sheetName val="RE Input"/>
      <sheetName val="Expense TB"/>
      <sheetName val="Volume"/>
      <sheetName val="Revenue"/>
      <sheetName val="Statistic (Js) Input"/>
      <sheetName val="P1 Input"/>
      <sheetName val="ACS Input"/>
      <sheetName val="ACS"/>
      <sheetName val="DP1 Input"/>
      <sheetName val="E,F,UR Alloc"/>
      <sheetName val="EC"/>
      <sheetName val="S4"/>
      <sheetName val="E_I"/>
      <sheetName val="PDA"/>
      <sheetName val="PDA Input"/>
      <sheetName val="S3"/>
      <sheetName val="PY RO"/>
      <sheetName val="URS Input"/>
      <sheetName val="H1_H4 Input"/>
      <sheetName val="H2 Input"/>
      <sheetName val="Equip Fac Allow_Hist Lease Pur"/>
      <sheetName val="G_GR Input"/>
      <sheetName val="GR"/>
      <sheetName val="AHA Input"/>
      <sheetName val="TRE Input"/>
      <sheetName val="SB Input"/>
      <sheetName val="RAT Sched"/>
      <sheetName val="AMS Sched"/>
      <sheetName val="Trauma Standby"/>
      <sheetName val="Trauma Dept"/>
      <sheetName val="P3 Input"/>
      <sheetName val="OFC Input"/>
      <sheetName val="P4 Input"/>
      <sheetName val="Don Service Exp"/>
      <sheetName val="P2 Input"/>
      <sheetName val="XX"/>
      <sheetName val="V1"/>
      <sheetName val="V2"/>
      <sheetName val="V3"/>
      <sheetName val="V5"/>
      <sheetName val="DP"/>
      <sheetName val="UA"/>
      <sheetName val="P1"/>
      <sheetName val="P2"/>
      <sheetName val="P3"/>
      <sheetName val="P4"/>
      <sheetName val="P5"/>
      <sheetName val="CDs"/>
      <sheetName val="Es"/>
      <sheetName val="Fs"/>
      <sheetName val="OA"/>
      <sheetName val="AHA"/>
      <sheetName val="Js"/>
      <sheetName val="H1"/>
      <sheetName val="H2"/>
      <sheetName val="H3"/>
      <sheetName val="H4"/>
      <sheetName val="UR"/>
      <sheetName val="URS"/>
      <sheetName val="TRE"/>
      <sheetName val="RAT"/>
      <sheetName val="AMS"/>
      <sheetName val="SB"/>
      <sheetName val="SBC"/>
      <sheetName val="MTC"/>
      <sheetName val="S2"/>
      <sheetName val="S8"/>
      <sheetName val="E_II"/>
      <sheetName val="E_III"/>
      <sheetName val="E_IV"/>
      <sheetName val="E_V"/>
      <sheetName val="E_VI"/>
      <sheetName val="E_VII"/>
      <sheetName val="E_VIII"/>
      <sheetName val="E_IX"/>
      <sheetName val="E_X"/>
      <sheetName val="Ms"/>
      <sheetName val="PY_M"/>
      <sheetName val="Input M"/>
      <sheetName val="M Comp1"/>
      <sheetName val="M Comp2"/>
      <sheetName val="TB Comp"/>
      <sheetName val="Hospital Phys Cost"/>
      <sheetName val="Med Ed Cost"/>
      <sheetName val="RR"/>
      <sheetName val="Instructions"/>
      <sheetName val="Rct"/>
      <sheetName val="Cvr"/>
      <sheetName val="Sig"/>
      <sheetName val="Sch"/>
      <sheetName val="cdefhpv"/>
      <sheetName val="rev5pda"/>
      <sheetName val="Print"/>
    </sheetNames>
    <sheetDataSet>
      <sheetData sheetId="0">
        <row r="17">
          <cell r="B1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Input M"/>
      <sheetName val="Input TB"/>
      <sheetName val="Master Table"/>
      <sheetName val="Expense TB"/>
      <sheetName val="Revenue"/>
      <sheetName val="Volume"/>
      <sheetName val="Statistic (Js) Input"/>
      <sheetName val="RE Input"/>
      <sheetName val="P1 Input"/>
      <sheetName val="P3 Input"/>
      <sheetName val="P4 Input"/>
      <sheetName val="Don Service Exp"/>
      <sheetName val="ACS Input"/>
      <sheetName val="DP1 Input"/>
      <sheetName val="P2 Input"/>
      <sheetName val="E,F,UR Alloc"/>
      <sheetName val="PDA Input"/>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DP"/>
      <sheetName val="UA"/>
      <sheetName val="P1"/>
      <sheetName val="P2"/>
      <sheetName val="P3"/>
      <sheetName val="P4"/>
      <sheetName val="P5"/>
      <sheetName val="CDs"/>
      <sheetName val="Es"/>
      <sheetName val="Fs"/>
      <sheetName val="OA"/>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8"/>
      <sheetName val="S5"/>
      <sheetName val="S6"/>
      <sheetName val="E_I"/>
      <sheetName val="E_II"/>
      <sheetName val="E_III"/>
      <sheetName val="E_IV"/>
      <sheetName val="E_V"/>
      <sheetName val="E_VI"/>
      <sheetName val="E_VII"/>
      <sheetName val="E_VIII"/>
      <sheetName val="E_IX"/>
      <sheetName val="E_X"/>
      <sheetName val="M Comp1"/>
      <sheetName val="M Comp2"/>
      <sheetName val="TB Comp"/>
      <sheetName val="RR"/>
      <sheetName val="PY_M"/>
      <sheetName val="EC"/>
      <sheetName val="Instructions"/>
      <sheetName val="Rct"/>
      <sheetName val="Cvr"/>
      <sheetName val="Sig"/>
      <sheetName val="Sch"/>
      <sheetName val="cdefhpv"/>
      <sheetName val="rev5pda"/>
      <sheetName val="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2014 Summary_EBCA"/>
      <sheetName val="Community Assist GL"/>
      <sheetName val="SPONSORSHIPS"/>
      <sheetName val="HELA"/>
      <sheetName val="Carolyn's Pgms"/>
      <sheetName val="SAP Summary"/>
      <sheetName val="SAP Detail"/>
      <sheetName val="SAP Budget"/>
      <sheetName val="Absence &amp; Attendance Detail"/>
      <sheetName val="Employ Master Data"/>
      <sheetName val="FY2014 Budget Load"/>
      <sheetName val="FY2013 Schedule A "/>
    </sheetNames>
    <sheetDataSet>
      <sheetData sheetId="0" refreshError="1"/>
      <sheetData sheetId="1" refreshError="1"/>
      <sheetData sheetId="2" refreshError="1"/>
      <sheetData sheetId="3" refreshError="1"/>
      <sheetData sheetId="4" refreshError="1"/>
      <sheetData sheetId="5">
        <row r="4">
          <cell r="C4" t="str">
            <v>453013</v>
          </cell>
          <cell r="E4">
            <v>0</v>
          </cell>
          <cell r="F4">
            <v>0</v>
          </cell>
          <cell r="G4">
            <v>0</v>
          </cell>
          <cell r="H4">
            <v>0</v>
          </cell>
          <cell r="I4">
            <v>0</v>
          </cell>
          <cell r="J4">
            <v>-1575</v>
          </cell>
          <cell r="K4">
            <v>0</v>
          </cell>
          <cell r="L4">
            <v>0</v>
          </cell>
          <cell r="M4">
            <v>0</v>
          </cell>
          <cell r="N4">
            <v>0</v>
          </cell>
          <cell r="O4">
            <v>0</v>
          </cell>
          <cell r="P4">
            <v>0</v>
          </cell>
        </row>
        <row r="5">
          <cell r="C5" t="str">
            <v>453015</v>
          </cell>
          <cell r="E5">
            <v>0</v>
          </cell>
          <cell r="F5">
            <v>0</v>
          </cell>
          <cell r="G5">
            <v>0</v>
          </cell>
          <cell r="H5">
            <v>0</v>
          </cell>
          <cell r="I5">
            <v>0</v>
          </cell>
          <cell r="J5">
            <v>0</v>
          </cell>
          <cell r="K5">
            <v>0</v>
          </cell>
          <cell r="L5">
            <v>0</v>
          </cell>
          <cell r="M5">
            <v>0</v>
          </cell>
          <cell r="N5">
            <v>-900</v>
          </cell>
          <cell r="O5">
            <v>0</v>
          </cell>
          <cell r="P5">
            <v>0</v>
          </cell>
        </row>
        <row r="6">
          <cell r="C6" t="str">
            <v>610001</v>
          </cell>
          <cell r="E6">
            <v>12079.35</v>
          </cell>
          <cell r="F6">
            <v>12076.67</v>
          </cell>
          <cell r="G6">
            <v>17385.61</v>
          </cell>
          <cell r="H6">
            <v>17990.82</v>
          </cell>
          <cell r="I6">
            <v>15019.84</v>
          </cell>
          <cell r="J6">
            <v>12553.64</v>
          </cell>
          <cell r="K6">
            <v>12874.39</v>
          </cell>
          <cell r="L6">
            <v>15071.73</v>
          </cell>
          <cell r="M6">
            <v>15296.03</v>
          </cell>
          <cell r="N6">
            <v>11871.28</v>
          </cell>
          <cell r="O6">
            <v>16264.81</v>
          </cell>
          <cell r="P6">
            <v>12876.6</v>
          </cell>
        </row>
        <row r="7">
          <cell r="C7" t="str">
            <v>610019</v>
          </cell>
          <cell r="E7">
            <v>3527.32</v>
          </cell>
          <cell r="F7">
            <v>2063.6</v>
          </cell>
          <cell r="G7">
            <v>1444.1</v>
          </cell>
          <cell r="H7">
            <v>1063.52</v>
          </cell>
          <cell r="I7">
            <v>704.54</v>
          </cell>
          <cell r="J7">
            <v>1530.46</v>
          </cell>
          <cell r="K7">
            <v>1347.68</v>
          </cell>
          <cell r="L7">
            <v>-35.78</v>
          </cell>
          <cell r="M7">
            <v>889.51</v>
          </cell>
          <cell r="N7">
            <v>3792.16</v>
          </cell>
          <cell r="O7">
            <v>-320.70999999999998</v>
          </cell>
          <cell r="P7">
            <v>1649.75</v>
          </cell>
        </row>
        <row r="8">
          <cell r="C8" t="str">
            <v>610020</v>
          </cell>
          <cell r="E8">
            <v>58.42</v>
          </cell>
          <cell r="F8">
            <v>279.39999999999998</v>
          </cell>
          <cell r="G8">
            <v>76.2</v>
          </cell>
          <cell r="H8">
            <v>280.81</v>
          </cell>
          <cell r="I8">
            <v>0</v>
          </cell>
          <cell r="J8">
            <v>482.88</v>
          </cell>
          <cell r="K8">
            <v>344.91</v>
          </cell>
          <cell r="L8">
            <v>-103.47</v>
          </cell>
          <cell r="M8">
            <v>0</v>
          </cell>
          <cell r="N8">
            <v>0</v>
          </cell>
          <cell r="O8">
            <v>241.44</v>
          </cell>
          <cell r="P8">
            <v>406.11</v>
          </cell>
        </row>
        <row r="9">
          <cell r="C9" t="str">
            <v>610021</v>
          </cell>
          <cell r="E9">
            <v>876.16</v>
          </cell>
          <cell r="F9">
            <v>0</v>
          </cell>
          <cell r="G9">
            <v>873.2</v>
          </cell>
          <cell r="H9">
            <v>0</v>
          </cell>
          <cell r="I9">
            <v>0</v>
          </cell>
          <cell r="J9">
            <v>1618.56</v>
          </cell>
          <cell r="K9">
            <v>1618.54</v>
          </cell>
          <cell r="L9">
            <v>-313.26</v>
          </cell>
          <cell r="M9">
            <v>0</v>
          </cell>
          <cell r="N9">
            <v>0</v>
          </cell>
          <cell r="O9">
            <v>0</v>
          </cell>
          <cell r="P9">
            <v>730.96</v>
          </cell>
        </row>
        <row r="10">
          <cell r="C10" t="str">
            <v>610022</v>
          </cell>
          <cell r="E10">
            <v>253.11</v>
          </cell>
          <cell r="F10">
            <v>140.61000000000001</v>
          </cell>
          <cell r="G10">
            <v>992.62</v>
          </cell>
          <cell r="H10">
            <v>0</v>
          </cell>
          <cell r="I10">
            <v>0</v>
          </cell>
          <cell r="J10">
            <v>0</v>
          </cell>
          <cell r="K10">
            <v>0</v>
          </cell>
          <cell r="L10">
            <v>0</v>
          </cell>
          <cell r="M10">
            <v>0</v>
          </cell>
          <cell r="N10">
            <v>0</v>
          </cell>
          <cell r="O10">
            <v>0</v>
          </cell>
          <cell r="P10">
            <v>0</v>
          </cell>
        </row>
        <row r="11">
          <cell r="C11" t="str">
            <v>612004</v>
          </cell>
          <cell r="E11">
            <v>816.15</v>
          </cell>
          <cell r="F11">
            <v>1314.9</v>
          </cell>
          <cell r="G11">
            <v>0</v>
          </cell>
          <cell r="H11">
            <v>0</v>
          </cell>
          <cell r="I11">
            <v>0</v>
          </cell>
          <cell r="J11">
            <v>0</v>
          </cell>
          <cell r="K11">
            <v>71.25</v>
          </cell>
          <cell r="L11">
            <v>0</v>
          </cell>
          <cell r="M11">
            <v>0</v>
          </cell>
          <cell r="N11">
            <v>0</v>
          </cell>
          <cell r="O11">
            <v>0</v>
          </cell>
          <cell r="P11">
            <v>498.75</v>
          </cell>
        </row>
        <row r="12">
          <cell r="C12" t="str">
            <v>620002</v>
          </cell>
          <cell r="E12">
            <v>65.290000000000006</v>
          </cell>
          <cell r="F12">
            <v>105.2</v>
          </cell>
          <cell r="G12">
            <v>0</v>
          </cell>
          <cell r="H12">
            <v>0</v>
          </cell>
          <cell r="I12">
            <v>0</v>
          </cell>
          <cell r="J12">
            <v>0</v>
          </cell>
          <cell r="K12">
            <v>5.7</v>
          </cell>
          <cell r="L12">
            <v>0</v>
          </cell>
          <cell r="M12">
            <v>0</v>
          </cell>
          <cell r="N12">
            <v>0</v>
          </cell>
          <cell r="O12">
            <v>0</v>
          </cell>
          <cell r="P12">
            <v>39.9</v>
          </cell>
        </row>
        <row r="13">
          <cell r="C13" t="str">
            <v>620011</v>
          </cell>
          <cell r="E13">
            <v>5374.22</v>
          </cell>
          <cell r="F13">
            <v>4659.2700000000004</v>
          </cell>
          <cell r="G13">
            <v>6646.95</v>
          </cell>
          <cell r="H13">
            <v>6187.25</v>
          </cell>
          <cell r="I13">
            <v>5031.8</v>
          </cell>
          <cell r="J13">
            <v>5179.38</v>
          </cell>
          <cell r="K13">
            <v>5179.3900000000003</v>
          </cell>
          <cell r="L13">
            <v>4678.1499999999996</v>
          </cell>
          <cell r="M13">
            <v>5179.37</v>
          </cell>
          <cell r="N13">
            <v>5012.3100000000004</v>
          </cell>
          <cell r="O13">
            <v>5179.38</v>
          </cell>
          <cell r="P13">
            <v>5012.3</v>
          </cell>
        </row>
        <row r="14">
          <cell r="C14" t="str">
            <v>631003</v>
          </cell>
          <cell r="E14">
            <v>0</v>
          </cell>
          <cell r="F14">
            <v>56.58</v>
          </cell>
          <cell r="G14">
            <v>-56.58</v>
          </cell>
          <cell r="H14">
            <v>0</v>
          </cell>
          <cell r="I14">
            <v>0</v>
          </cell>
          <cell r="J14">
            <v>0</v>
          </cell>
          <cell r="K14">
            <v>0</v>
          </cell>
          <cell r="L14">
            <v>0</v>
          </cell>
          <cell r="M14">
            <v>0</v>
          </cell>
          <cell r="N14">
            <v>0</v>
          </cell>
          <cell r="O14">
            <v>0</v>
          </cell>
          <cell r="P14">
            <v>0</v>
          </cell>
        </row>
        <row r="15">
          <cell r="C15" t="str">
            <v>633032</v>
          </cell>
          <cell r="E15">
            <v>7111.34</v>
          </cell>
          <cell r="F15">
            <v>676.74</v>
          </cell>
          <cell r="G15">
            <v>57.94</v>
          </cell>
          <cell r="H15">
            <v>180</v>
          </cell>
          <cell r="I15">
            <v>0</v>
          </cell>
          <cell r="J15">
            <v>136.35</v>
          </cell>
          <cell r="K15">
            <v>124</v>
          </cell>
          <cell r="L15">
            <v>-42.3</v>
          </cell>
          <cell r="M15">
            <v>-0.61</v>
          </cell>
          <cell r="N15">
            <v>177.08</v>
          </cell>
          <cell r="O15">
            <v>128</v>
          </cell>
          <cell r="P15">
            <v>208.94</v>
          </cell>
        </row>
        <row r="16">
          <cell r="C16" t="str">
            <v>633037</v>
          </cell>
          <cell r="E16">
            <v>0</v>
          </cell>
          <cell r="F16">
            <v>0</v>
          </cell>
          <cell r="G16">
            <v>295</v>
          </cell>
          <cell r="H16">
            <v>0</v>
          </cell>
          <cell r="I16">
            <v>0</v>
          </cell>
          <cell r="J16">
            <v>0</v>
          </cell>
          <cell r="K16">
            <v>0</v>
          </cell>
          <cell r="L16">
            <v>0</v>
          </cell>
          <cell r="M16">
            <v>0</v>
          </cell>
          <cell r="N16">
            <v>0</v>
          </cell>
          <cell r="O16">
            <v>-295</v>
          </cell>
          <cell r="P16">
            <v>0</v>
          </cell>
        </row>
        <row r="17">
          <cell r="C17" t="str">
            <v>637001</v>
          </cell>
          <cell r="E17">
            <v>0</v>
          </cell>
          <cell r="F17">
            <v>97.27</v>
          </cell>
          <cell r="G17">
            <v>0</v>
          </cell>
          <cell r="H17">
            <v>30</v>
          </cell>
          <cell r="I17">
            <v>0</v>
          </cell>
          <cell r="J17">
            <v>0</v>
          </cell>
          <cell r="K17">
            <v>0</v>
          </cell>
          <cell r="L17">
            <v>0</v>
          </cell>
          <cell r="M17">
            <v>0</v>
          </cell>
          <cell r="N17">
            <v>0</v>
          </cell>
          <cell r="O17">
            <v>0</v>
          </cell>
          <cell r="P17">
            <v>0</v>
          </cell>
        </row>
        <row r="18">
          <cell r="C18" t="str">
            <v>640202</v>
          </cell>
          <cell r="E18">
            <v>0</v>
          </cell>
          <cell r="F18">
            <v>0</v>
          </cell>
          <cell r="G18">
            <v>0</v>
          </cell>
          <cell r="H18">
            <v>0</v>
          </cell>
          <cell r="I18">
            <v>264.47000000000003</v>
          </cell>
          <cell r="J18">
            <v>0</v>
          </cell>
          <cell r="K18">
            <v>0</v>
          </cell>
          <cell r="L18">
            <v>0</v>
          </cell>
          <cell r="M18">
            <v>0</v>
          </cell>
          <cell r="N18">
            <v>0</v>
          </cell>
          <cell r="O18">
            <v>0</v>
          </cell>
          <cell r="P18">
            <v>0</v>
          </cell>
        </row>
        <row r="19">
          <cell r="C19" t="str">
            <v>640281</v>
          </cell>
          <cell r="E19">
            <v>0</v>
          </cell>
          <cell r="F19">
            <v>0</v>
          </cell>
          <cell r="G19">
            <v>0</v>
          </cell>
          <cell r="H19">
            <v>0</v>
          </cell>
          <cell r="I19">
            <v>0</v>
          </cell>
          <cell r="J19">
            <v>0</v>
          </cell>
          <cell r="K19">
            <v>0</v>
          </cell>
          <cell r="L19">
            <v>0</v>
          </cell>
          <cell r="M19">
            <v>224.7</v>
          </cell>
          <cell r="N19">
            <v>0</v>
          </cell>
          <cell r="O19">
            <v>0</v>
          </cell>
          <cell r="P19">
            <v>0</v>
          </cell>
        </row>
        <row r="20">
          <cell r="C20" t="str">
            <v>640282</v>
          </cell>
          <cell r="E20">
            <v>211.58</v>
          </cell>
          <cell r="F20">
            <v>245.34</v>
          </cell>
          <cell r="G20">
            <v>272.82</v>
          </cell>
          <cell r="H20">
            <v>47.76</v>
          </cell>
          <cell r="I20">
            <v>283.14999999999998</v>
          </cell>
          <cell r="J20">
            <v>47.76</v>
          </cell>
          <cell r="K20">
            <v>55.72</v>
          </cell>
          <cell r="L20">
            <v>31.84</v>
          </cell>
          <cell r="M20">
            <v>66.040000000000006</v>
          </cell>
          <cell r="N20">
            <v>79.599999999999994</v>
          </cell>
          <cell r="O20">
            <v>31.84</v>
          </cell>
          <cell r="P20">
            <v>63.68</v>
          </cell>
        </row>
        <row r="21">
          <cell r="C21" t="str">
            <v>640301</v>
          </cell>
          <cell r="E21">
            <v>0</v>
          </cell>
          <cell r="F21">
            <v>0</v>
          </cell>
          <cell r="G21">
            <v>0</v>
          </cell>
          <cell r="H21">
            <v>0</v>
          </cell>
          <cell r="I21">
            <v>0</v>
          </cell>
          <cell r="J21">
            <v>4542.5</v>
          </cell>
          <cell r="K21">
            <v>0</v>
          </cell>
          <cell r="L21">
            <v>3678.95</v>
          </cell>
          <cell r="M21">
            <v>0</v>
          </cell>
          <cell r="N21">
            <v>0</v>
          </cell>
          <cell r="O21">
            <v>0</v>
          </cell>
          <cell r="P21">
            <v>160</v>
          </cell>
        </row>
        <row r="22">
          <cell r="C22" t="str">
            <v>640304</v>
          </cell>
          <cell r="E22">
            <v>0</v>
          </cell>
          <cell r="F22">
            <v>0</v>
          </cell>
          <cell r="G22">
            <v>3500</v>
          </cell>
          <cell r="H22">
            <v>612.5</v>
          </cell>
          <cell r="I22">
            <v>0</v>
          </cell>
          <cell r="J22">
            <v>0</v>
          </cell>
          <cell r="K22">
            <v>0</v>
          </cell>
          <cell r="L22">
            <v>0</v>
          </cell>
          <cell r="M22">
            <v>0</v>
          </cell>
          <cell r="N22">
            <v>0</v>
          </cell>
          <cell r="O22">
            <v>0</v>
          </cell>
          <cell r="P22">
            <v>0</v>
          </cell>
        </row>
        <row r="23">
          <cell r="C23" t="str">
            <v>640381</v>
          </cell>
          <cell r="E23">
            <v>0</v>
          </cell>
          <cell r="F23">
            <v>0</v>
          </cell>
          <cell r="G23">
            <v>1000</v>
          </cell>
          <cell r="H23">
            <v>0</v>
          </cell>
          <cell r="I23">
            <v>0</v>
          </cell>
          <cell r="J23">
            <v>3050</v>
          </cell>
          <cell r="K23">
            <v>0</v>
          </cell>
          <cell r="L23">
            <v>0</v>
          </cell>
          <cell r="M23">
            <v>0</v>
          </cell>
          <cell r="N23">
            <v>30000</v>
          </cell>
          <cell r="O23">
            <v>0</v>
          </cell>
          <cell r="P23">
            <v>432</v>
          </cell>
        </row>
        <row r="24">
          <cell r="C24" t="str">
            <v>641405</v>
          </cell>
          <cell r="E24">
            <v>0</v>
          </cell>
          <cell r="F24">
            <v>0</v>
          </cell>
          <cell r="G24">
            <v>40</v>
          </cell>
          <cell r="H24">
            <v>40</v>
          </cell>
          <cell r="I24">
            <v>0</v>
          </cell>
          <cell r="J24">
            <v>0</v>
          </cell>
          <cell r="K24">
            <v>0</v>
          </cell>
          <cell r="L24">
            <v>0</v>
          </cell>
          <cell r="M24">
            <v>0</v>
          </cell>
          <cell r="N24">
            <v>0</v>
          </cell>
          <cell r="O24">
            <v>0</v>
          </cell>
          <cell r="P24">
            <v>60</v>
          </cell>
        </row>
        <row r="25">
          <cell r="C25" t="str">
            <v>641508</v>
          </cell>
          <cell r="E25">
            <v>82.9</v>
          </cell>
          <cell r="F25">
            <v>0</v>
          </cell>
          <cell r="G25">
            <v>0</v>
          </cell>
          <cell r="H25">
            <v>0</v>
          </cell>
          <cell r="I25">
            <v>0</v>
          </cell>
          <cell r="J25">
            <v>750</v>
          </cell>
          <cell r="K25">
            <v>0</v>
          </cell>
          <cell r="L25">
            <v>0</v>
          </cell>
          <cell r="M25">
            <v>0</v>
          </cell>
          <cell r="N25">
            <v>0</v>
          </cell>
          <cell r="O25">
            <v>0</v>
          </cell>
          <cell r="P25">
            <v>0</v>
          </cell>
        </row>
        <row r="26">
          <cell r="C26" t="str">
            <v>642003</v>
          </cell>
          <cell r="E26">
            <v>1153.8</v>
          </cell>
          <cell r="F26">
            <v>792.35</v>
          </cell>
          <cell r="G26">
            <v>490.58</v>
          </cell>
          <cell r="H26">
            <v>1007.45</v>
          </cell>
          <cell r="I26">
            <v>169.96</v>
          </cell>
          <cell r="J26">
            <v>1503.74</v>
          </cell>
          <cell r="K26">
            <v>2030.21</v>
          </cell>
          <cell r="L26">
            <v>2041.75</v>
          </cell>
          <cell r="M26">
            <v>447.49</v>
          </cell>
          <cell r="N26">
            <v>159.72</v>
          </cell>
          <cell r="O26">
            <v>328.08</v>
          </cell>
          <cell r="P26">
            <v>0</v>
          </cell>
        </row>
        <row r="27">
          <cell r="C27" t="str">
            <v>642101</v>
          </cell>
          <cell r="E27">
            <v>0</v>
          </cell>
          <cell r="F27">
            <v>0</v>
          </cell>
          <cell r="G27">
            <v>0</v>
          </cell>
          <cell r="H27">
            <v>0</v>
          </cell>
          <cell r="I27">
            <v>0</v>
          </cell>
          <cell r="J27">
            <v>0</v>
          </cell>
          <cell r="K27">
            <v>1578</v>
          </cell>
          <cell r="L27">
            <v>0</v>
          </cell>
          <cell r="M27">
            <v>0</v>
          </cell>
          <cell r="N27">
            <v>0</v>
          </cell>
          <cell r="O27">
            <v>0</v>
          </cell>
          <cell r="P27">
            <v>0</v>
          </cell>
        </row>
        <row r="28">
          <cell r="C28" t="str">
            <v>647001</v>
          </cell>
          <cell r="E28">
            <v>0</v>
          </cell>
          <cell r="F28">
            <v>0</v>
          </cell>
          <cell r="G28">
            <v>0</v>
          </cell>
          <cell r="H28">
            <v>0</v>
          </cell>
          <cell r="I28">
            <v>0</v>
          </cell>
          <cell r="J28">
            <v>0</v>
          </cell>
          <cell r="K28">
            <v>550</v>
          </cell>
          <cell r="L28">
            <v>0</v>
          </cell>
          <cell r="M28">
            <v>0</v>
          </cell>
          <cell r="N28">
            <v>0</v>
          </cell>
          <cell r="O28">
            <v>0</v>
          </cell>
          <cell r="P28">
            <v>0</v>
          </cell>
        </row>
        <row r="29">
          <cell r="C29" t="str">
            <v>647002</v>
          </cell>
          <cell r="E29">
            <v>-750</v>
          </cell>
          <cell r="F29">
            <v>0</v>
          </cell>
          <cell r="G29">
            <v>329.9</v>
          </cell>
          <cell r="H29">
            <v>0</v>
          </cell>
          <cell r="I29">
            <v>0</v>
          </cell>
          <cell r="J29">
            <v>0</v>
          </cell>
          <cell r="K29">
            <v>0</v>
          </cell>
          <cell r="L29">
            <v>0</v>
          </cell>
          <cell r="M29">
            <v>0</v>
          </cell>
          <cell r="N29">
            <v>395</v>
          </cell>
          <cell r="O29">
            <v>0</v>
          </cell>
          <cell r="P29">
            <v>0</v>
          </cell>
        </row>
        <row r="30">
          <cell r="C30" t="str">
            <v>652001</v>
          </cell>
          <cell r="E30">
            <v>77.11</v>
          </cell>
          <cell r="F30">
            <v>209.94</v>
          </cell>
          <cell r="G30">
            <v>22.04</v>
          </cell>
          <cell r="H30">
            <v>187.27</v>
          </cell>
          <cell r="I30">
            <v>6.78</v>
          </cell>
          <cell r="J30">
            <v>0</v>
          </cell>
          <cell r="K30">
            <v>346</v>
          </cell>
          <cell r="L30">
            <v>62.94</v>
          </cell>
          <cell r="M30">
            <v>13.88</v>
          </cell>
          <cell r="N30">
            <v>218.08</v>
          </cell>
          <cell r="O30">
            <v>195.43</v>
          </cell>
          <cell r="P30">
            <v>770.62</v>
          </cell>
        </row>
        <row r="31">
          <cell r="C31" t="str">
            <v>654305</v>
          </cell>
          <cell r="E31">
            <v>44118.81</v>
          </cell>
          <cell r="F31">
            <v>4492.26</v>
          </cell>
          <cell r="G31">
            <v>27239.85</v>
          </cell>
          <cell r="H31">
            <v>8078.98</v>
          </cell>
          <cell r="I31">
            <v>16542.89</v>
          </cell>
          <cell r="J31">
            <v>21972.62</v>
          </cell>
          <cell r="K31">
            <v>36240.870000000003</v>
          </cell>
          <cell r="L31">
            <v>7314.07</v>
          </cell>
          <cell r="M31">
            <v>7860.38</v>
          </cell>
          <cell r="N31">
            <v>37714.07</v>
          </cell>
          <cell r="O31">
            <v>29705.68</v>
          </cell>
          <cell r="P31">
            <v>27989.72</v>
          </cell>
        </row>
        <row r="32">
          <cell r="C32" t="str">
            <v>654307</v>
          </cell>
          <cell r="E32">
            <v>0</v>
          </cell>
          <cell r="F32">
            <v>1050</v>
          </cell>
          <cell r="G32">
            <v>0</v>
          </cell>
          <cell r="H32">
            <v>0</v>
          </cell>
          <cell r="I32">
            <v>0</v>
          </cell>
          <cell r="J32">
            <v>0</v>
          </cell>
          <cell r="K32">
            <v>0</v>
          </cell>
          <cell r="L32">
            <v>0</v>
          </cell>
          <cell r="M32">
            <v>0</v>
          </cell>
          <cell r="N32">
            <v>0</v>
          </cell>
          <cell r="O32">
            <v>0</v>
          </cell>
          <cell r="P32">
            <v>0</v>
          </cell>
        </row>
        <row r="33">
          <cell r="C33" t="str">
            <v>900106</v>
          </cell>
          <cell r="E33">
            <v>-55283.75</v>
          </cell>
          <cell r="F33">
            <v>-55283.75</v>
          </cell>
          <cell r="G33">
            <v>-55283.75</v>
          </cell>
          <cell r="H33">
            <v>-55283.75</v>
          </cell>
          <cell r="I33">
            <v>-55283.75</v>
          </cell>
          <cell r="J33">
            <v>-55283.75</v>
          </cell>
          <cell r="K33">
            <v>-55283.75</v>
          </cell>
          <cell r="L33">
            <v>-55283.75</v>
          </cell>
          <cell r="M33">
            <v>-55283.75</v>
          </cell>
          <cell r="N33">
            <v>-55283.75</v>
          </cell>
          <cell r="O33">
            <v>-55283.75</v>
          </cell>
          <cell r="P33">
            <v>-55283.75</v>
          </cell>
        </row>
        <row r="34">
          <cell r="C34" t="str">
            <v>921200</v>
          </cell>
          <cell r="E34">
            <v>2643.33</v>
          </cell>
          <cell r="F34">
            <v>0</v>
          </cell>
          <cell r="G34">
            <v>0</v>
          </cell>
          <cell r="H34">
            <v>0</v>
          </cell>
          <cell r="I34">
            <v>0</v>
          </cell>
          <cell r="J34">
            <v>0</v>
          </cell>
          <cell r="K34">
            <v>0</v>
          </cell>
          <cell r="L34">
            <v>0</v>
          </cell>
          <cell r="M34">
            <v>0</v>
          </cell>
          <cell r="N34">
            <v>0</v>
          </cell>
          <cell r="O34">
            <v>0</v>
          </cell>
          <cell r="P34">
            <v>0</v>
          </cell>
        </row>
        <row r="35">
          <cell r="C35" t="str">
            <v>921203</v>
          </cell>
          <cell r="E35">
            <v>0</v>
          </cell>
          <cell r="F35">
            <v>0</v>
          </cell>
          <cell r="G35">
            <v>0</v>
          </cell>
          <cell r="H35">
            <v>0</v>
          </cell>
          <cell r="I35">
            <v>0</v>
          </cell>
          <cell r="J35">
            <v>0</v>
          </cell>
          <cell r="K35">
            <v>0</v>
          </cell>
          <cell r="L35">
            <v>0</v>
          </cell>
          <cell r="M35">
            <v>0</v>
          </cell>
          <cell r="N35">
            <v>625</v>
          </cell>
          <cell r="O35">
            <v>0</v>
          </cell>
          <cell r="P35">
            <v>0</v>
          </cell>
        </row>
        <row r="36">
          <cell r="C36" t="str">
            <v>921206</v>
          </cell>
          <cell r="E36">
            <v>118</v>
          </cell>
          <cell r="F36">
            <v>118</v>
          </cell>
          <cell r="G36">
            <v>118</v>
          </cell>
          <cell r="H36">
            <v>118</v>
          </cell>
          <cell r="I36">
            <v>118</v>
          </cell>
          <cell r="J36">
            <v>118</v>
          </cell>
          <cell r="K36">
            <v>118</v>
          </cell>
          <cell r="L36">
            <v>118</v>
          </cell>
          <cell r="M36">
            <v>118</v>
          </cell>
          <cell r="N36">
            <v>118</v>
          </cell>
          <cell r="O36">
            <v>118</v>
          </cell>
          <cell r="P36">
            <v>118</v>
          </cell>
        </row>
        <row r="37">
          <cell r="C37" t="str">
            <v>921213</v>
          </cell>
          <cell r="E37">
            <v>0</v>
          </cell>
          <cell r="F37">
            <v>0</v>
          </cell>
          <cell r="G37">
            <v>307.5</v>
          </cell>
          <cell r="H37">
            <v>0</v>
          </cell>
          <cell r="I37">
            <v>0</v>
          </cell>
          <cell r="J37">
            <v>0</v>
          </cell>
          <cell r="K37">
            <v>0</v>
          </cell>
          <cell r="L37">
            <v>0</v>
          </cell>
          <cell r="M37">
            <v>0</v>
          </cell>
          <cell r="N37">
            <v>0</v>
          </cell>
          <cell r="O37">
            <v>862.5</v>
          </cell>
          <cell r="P37">
            <v>2023.75</v>
          </cell>
        </row>
        <row r="38">
          <cell r="C38" t="str">
            <v>921308</v>
          </cell>
          <cell r="E38">
            <v>0</v>
          </cell>
          <cell r="F38">
            <v>0</v>
          </cell>
          <cell r="G38">
            <v>0</v>
          </cell>
          <cell r="H38">
            <v>311.83999999999997</v>
          </cell>
          <cell r="I38">
            <v>144.94999999999999</v>
          </cell>
          <cell r="J38">
            <v>0</v>
          </cell>
          <cell r="K38">
            <v>0</v>
          </cell>
          <cell r="L38">
            <v>0</v>
          </cell>
          <cell r="M38">
            <v>0</v>
          </cell>
          <cell r="N38">
            <v>0</v>
          </cell>
          <cell r="O38">
            <v>0</v>
          </cell>
          <cell r="P38">
            <v>0</v>
          </cell>
        </row>
        <row r="39">
          <cell r="C39" t="str">
            <v>921374</v>
          </cell>
          <cell r="E39">
            <v>0</v>
          </cell>
          <cell r="F39">
            <v>0</v>
          </cell>
          <cell r="G39">
            <v>0</v>
          </cell>
          <cell r="H39">
            <v>0</v>
          </cell>
          <cell r="I39">
            <v>0</v>
          </cell>
          <cell r="J39">
            <v>0</v>
          </cell>
          <cell r="K39">
            <v>0</v>
          </cell>
          <cell r="L39">
            <v>0</v>
          </cell>
          <cell r="M39">
            <v>0</v>
          </cell>
          <cell r="N39">
            <v>0</v>
          </cell>
          <cell r="O39">
            <v>3735</v>
          </cell>
          <cell r="P39">
            <v>0</v>
          </cell>
        </row>
        <row r="40">
          <cell r="C40" t="str">
            <v>921395</v>
          </cell>
          <cell r="E40">
            <v>50</v>
          </cell>
          <cell r="F40">
            <v>50</v>
          </cell>
          <cell r="G40">
            <v>30</v>
          </cell>
          <cell r="H40">
            <v>30</v>
          </cell>
          <cell r="I40">
            <v>0</v>
          </cell>
          <cell r="J40">
            <v>0</v>
          </cell>
          <cell r="K40">
            <v>0</v>
          </cell>
          <cell r="L40">
            <v>0</v>
          </cell>
          <cell r="M40">
            <v>0</v>
          </cell>
          <cell r="N40">
            <v>0</v>
          </cell>
          <cell r="O40">
            <v>0</v>
          </cell>
          <cell r="P40">
            <v>0</v>
          </cell>
        </row>
        <row r="41">
          <cell r="C41" t="str">
            <v>921409</v>
          </cell>
          <cell r="E41">
            <v>0</v>
          </cell>
          <cell r="F41">
            <v>228</v>
          </cell>
          <cell r="G41">
            <v>0</v>
          </cell>
          <cell r="H41">
            <v>0</v>
          </cell>
          <cell r="I41">
            <v>0</v>
          </cell>
          <cell r="J41">
            <v>0</v>
          </cell>
          <cell r="K41">
            <v>0</v>
          </cell>
          <cell r="L41">
            <v>0</v>
          </cell>
          <cell r="M41">
            <v>511</v>
          </cell>
          <cell r="N41">
            <v>0</v>
          </cell>
          <cell r="O41">
            <v>322</v>
          </cell>
          <cell r="P41">
            <v>0</v>
          </cell>
        </row>
        <row r="42">
          <cell r="C42" t="str">
            <v>924001</v>
          </cell>
          <cell r="E42">
            <v>0</v>
          </cell>
          <cell r="F42">
            <v>0</v>
          </cell>
          <cell r="G42">
            <v>0</v>
          </cell>
          <cell r="H42">
            <v>0</v>
          </cell>
          <cell r="I42">
            <v>0</v>
          </cell>
          <cell r="J42">
            <v>0</v>
          </cell>
          <cell r="K42">
            <v>0</v>
          </cell>
          <cell r="L42">
            <v>0</v>
          </cell>
          <cell r="M42">
            <v>594</v>
          </cell>
          <cell r="N42">
            <v>0</v>
          </cell>
          <cell r="O42">
            <v>1039.6199999999999</v>
          </cell>
          <cell r="P42">
            <v>0</v>
          </cell>
        </row>
        <row r="43">
          <cell r="C43" t="str">
            <v>924212</v>
          </cell>
          <cell r="E43">
            <v>0</v>
          </cell>
          <cell r="F43">
            <v>0</v>
          </cell>
          <cell r="G43">
            <v>0</v>
          </cell>
          <cell r="H43">
            <v>0</v>
          </cell>
          <cell r="I43">
            <v>232.79</v>
          </cell>
          <cell r="J43">
            <v>228.72</v>
          </cell>
          <cell r="K43">
            <v>184.14</v>
          </cell>
          <cell r="L43">
            <v>257.91000000000003</v>
          </cell>
          <cell r="M43">
            <v>108.35</v>
          </cell>
          <cell r="N43">
            <v>204.12</v>
          </cell>
          <cell r="O43">
            <v>543.16999999999996</v>
          </cell>
          <cell r="P43">
            <v>-1800</v>
          </cell>
        </row>
        <row r="44">
          <cell r="C44" t="str">
            <v>924902</v>
          </cell>
          <cell r="E44">
            <v>120</v>
          </cell>
          <cell r="F44">
            <v>585</v>
          </cell>
          <cell r="G44">
            <v>125</v>
          </cell>
          <cell r="H44">
            <v>125</v>
          </cell>
          <cell r="I44">
            <v>125</v>
          </cell>
          <cell r="J44">
            <v>125</v>
          </cell>
          <cell r="K44">
            <v>125</v>
          </cell>
          <cell r="L44">
            <v>125</v>
          </cell>
          <cell r="M44">
            <v>875</v>
          </cell>
          <cell r="N44">
            <v>125</v>
          </cell>
          <cell r="O44">
            <v>185</v>
          </cell>
          <cell r="P44">
            <v>0</v>
          </cell>
        </row>
        <row r="45">
          <cell r="C45" t="str">
            <v>924904</v>
          </cell>
          <cell r="E45">
            <v>0</v>
          </cell>
          <cell r="F45">
            <v>0</v>
          </cell>
          <cell r="G45">
            <v>0</v>
          </cell>
          <cell r="H45">
            <v>0</v>
          </cell>
          <cell r="I45">
            <v>4160</v>
          </cell>
          <cell r="J45">
            <v>0</v>
          </cell>
          <cell r="K45">
            <v>0</v>
          </cell>
          <cell r="L45">
            <v>0</v>
          </cell>
          <cell r="M45">
            <v>0</v>
          </cell>
          <cell r="N45">
            <v>0</v>
          </cell>
          <cell r="O45">
            <v>0</v>
          </cell>
          <cell r="P45">
            <v>0</v>
          </cell>
        </row>
        <row r="46">
          <cell r="C46" t="str">
            <v>924905</v>
          </cell>
          <cell r="E46">
            <v>0</v>
          </cell>
          <cell r="F46">
            <v>0</v>
          </cell>
          <cell r="G46">
            <v>0</v>
          </cell>
          <cell r="H46">
            <v>0</v>
          </cell>
          <cell r="I46">
            <v>0</v>
          </cell>
          <cell r="J46">
            <v>0</v>
          </cell>
          <cell r="K46">
            <v>0</v>
          </cell>
          <cell r="L46">
            <v>0</v>
          </cell>
          <cell r="M46">
            <v>47.5</v>
          </cell>
          <cell r="N46">
            <v>0</v>
          </cell>
          <cell r="O46">
            <v>0</v>
          </cell>
          <cell r="P46">
            <v>0</v>
          </cell>
        </row>
        <row r="47">
          <cell r="C47" t="str">
            <v>960100</v>
          </cell>
          <cell r="E47">
            <v>0</v>
          </cell>
          <cell r="F47">
            <v>0</v>
          </cell>
          <cell r="G47">
            <v>0</v>
          </cell>
          <cell r="H47">
            <v>-6892.04</v>
          </cell>
          <cell r="I47">
            <v>6357.87</v>
          </cell>
          <cell r="J47">
            <v>-6357.87</v>
          </cell>
          <cell r="K47">
            <v>845.69</v>
          </cell>
          <cell r="L47">
            <v>-743.25</v>
          </cell>
          <cell r="M47">
            <v>0</v>
          </cell>
          <cell r="N47">
            <v>0</v>
          </cell>
          <cell r="O47">
            <v>0</v>
          </cell>
          <cell r="P47">
            <v>0</v>
          </cell>
        </row>
        <row r="48">
          <cell r="C48" t="str">
            <v>960200</v>
          </cell>
          <cell r="E48">
            <v>0</v>
          </cell>
          <cell r="F48">
            <v>0</v>
          </cell>
          <cell r="G48">
            <v>0</v>
          </cell>
          <cell r="H48">
            <v>-2343.29</v>
          </cell>
          <cell r="I48">
            <v>2161.6799999999998</v>
          </cell>
          <cell r="J48">
            <v>-2161.6799999999998</v>
          </cell>
          <cell r="K48">
            <v>287.54000000000002</v>
          </cell>
          <cell r="L48">
            <v>-252.71</v>
          </cell>
          <cell r="M48">
            <v>0</v>
          </cell>
          <cell r="N48">
            <v>0</v>
          </cell>
          <cell r="O48">
            <v>0</v>
          </cell>
          <cell r="P48">
            <v>0</v>
          </cell>
        </row>
        <row r="49">
          <cell r="C49" t="str">
            <v>960300</v>
          </cell>
          <cell r="E49">
            <v>0</v>
          </cell>
          <cell r="F49">
            <v>0</v>
          </cell>
          <cell r="G49">
            <v>0</v>
          </cell>
          <cell r="H49">
            <v>-537.29999999999995</v>
          </cell>
          <cell r="I49">
            <v>2311.4</v>
          </cell>
          <cell r="J49">
            <v>-2311.4</v>
          </cell>
          <cell r="K49">
            <v>546.53</v>
          </cell>
          <cell r="L49">
            <v>-546.53</v>
          </cell>
          <cell r="M49">
            <v>0</v>
          </cell>
          <cell r="N49">
            <v>0</v>
          </cell>
          <cell r="O49">
            <v>0</v>
          </cell>
          <cell r="P49">
            <v>0</v>
          </cell>
        </row>
        <row r="50">
          <cell r="C50" t="str">
            <v>960400</v>
          </cell>
          <cell r="E50">
            <v>0</v>
          </cell>
          <cell r="F50">
            <v>0</v>
          </cell>
          <cell r="G50">
            <v>0</v>
          </cell>
          <cell r="H50">
            <v>0</v>
          </cell>
          <cell r="I50">
            <v>0</v>
          </cell>
          <cell r="J50">
            <v>0</v>
          </cell>
          <cell r="K50">
            <v>0</v>
          </cell>
          <cell r="L50">
            <v>2068.4899999999998</v>
          </cell>
          <cell r="M50">
            <v>0</v>
          </cell>
          <cell r="N50">
            <v>0</v>
          </cell>
          <cell r="O50">
            <v>0</v>
          </cell>
          <cell r="P50">
            <v>0</v>
          </cell>
        </row>
        <row r="51">
          <cell r="C51" t="str">
            <v>970003</v>
          </cell>
          <cell r="E51">
            <v>-9.6</v>
          </cell>
          <cell r="F51">
            <v>0</v>
          </cell>
          <cell r="G51">
            <v>0.3</v>
          </cell>
          <cell r="H51">
            <v>0.9</v>
          </cell>
          <cell r="I51">
            <v>1.1000000000000001</v>
          </cell>
          <cell r="J51">
            <v>0.3</v>
          </cell>
          <cell r="K51">
            <v>0.6</v>
          </cell>
          <cell r="L51">
            <v>0.6</v>
          </cell>
          <cell r="M51">
            <v>1</v>
          </cell>
          <cell r="N51">
            <v>-0.8</v>
          </cell>
          <cell r="O51">
            <v>0</v>
          </cell>
          <cell r="P51">
            <v>0.6</v>
          </cell>
        </row>
        <row r="52">
          <cell r="C52" t="str">
            <v>970004</v>
          </cell>
          <cell r="E52">
            <v>8.61</v>
          </cell>
          <cell r="F52">
            <v>5.3</v>
          </cell>
          <cell r="G52">
            <v>2.2599999999999998</v>
          </cell>
          <cell r="H52">
            <v>-1.34</v>
          </cell>
          <cell r="I52">
            <v>6.77</v>
          </cell>
          <cell r="J52">
            <v>-1.4</v>
          </cell>
          <cell r="K52">
            <v>1.23</v>
          </cell>
          <cell r="L52">
            <v>3.49</v>
          </cell>
          <cell r="M52">
            <v>4.1500000000000004</v>
          </cell>
          <cell r="N52">
            <v>0.05</v>
          </cell>
          <cell r="O52">
            <v>0.8</v>
          </cell>
          <cell r="P52">
            <v>1.45</v>
          </cell>
        </row>
        <row r="53">
          <cell r="C53" t="str">
            <v>970005</v>
          </cell>
          <cell r="E53">
            <v>194.62</v>
          </cell>
          <cell r="F53">
            <v>-75.180000000000007</v>
          </cell>
          <cell r="G53">
            <v>121.06</v>
          </cell>
          <cell r="H53">
            <v>72</v>
          </cell>
          <cell r="I53">
            <v>72</v>
          </cell>
          <cell r="J53">
            <v>72</v>
          </cell>
          <cell r="K53">
            <v>72</v>
          </cell>
          <cell r="L53">
            <v>72</v>
          </cell>
          <cell r="M53">
            <v>72</v>
          </cell>
          <cell r="N53">
            <v>72</v>
          </cell>
          <cell r="O53">
            <v>72</v>
          </cell>
          <cell r="P53">
            <v>72</v>
          </cell>
        </row>
        <row r="54">
          <cell r="C54" t="str">
            <v>970008</v>
          </cell>
          <cell r="E54">
            <v>67</v>
          </cell>
          <cell r="F54">
            <v>80.5</v>
          </cell>
          <cell r="G54">
            <v>80.5</v>
          </cell>
          <cell r="H54">
            <v>80.5</v>
          </cell>
          <cell r="I54">
            <v>80.5</v>
          </cell>
          <cell r="J54">
            <v>80.5</v>
          </cell>
          <cell r="K54">
            <v>80.5</v>
          </cell>
          <cell r="L54">
            <v>80.5</v>
          </cell>
          <cell r="M54">
            <v>80.5</v>
          </cell>
          <cell r="N54">
            <v>80.5</v>
          </cell>
          <cell r="O54">
            <v>80.5</v>
          </cell>
          <cell r="P54">
            <v>80.5</v>
          </cell>
        </row>
        <row r="55">
          <cell r="C55" t="str">
            <v>970023</v>
          </cell>
          <cell r="E55">
            <v>0</v>
          </cell>
          <cell r="F55">
            <v>0</v>
          </cell>
          <cell r="G55">
            <v>0</v>
          </cell>
          <cell r="H55">
            <v>0</v>
          </cell>
          <cell r="I55">
            <v>0</v>
          </cell>
          <cell r="J55">
            <v>30</v>
          </cell>
          <cell r="K55">
            <v>0</v>
          </cell>
          <cell r="L55">
            <v>0</v>
          </cell>
          <cell r="M55">
            <v>0</v>
          </cell>
          <cell r="N55">
            <v>0</v>
          </cell>
          <cell r="O55">
            <v>20</v>
          </cell>
          <cell r="P55">
            <v>0</v>
          </cell>
        </row>
        <row r="56">
          <cell r="C56" t="str">
            <v>970024</v>
          </cell>
          <cell r="E56">
            <v>240</v>
          </cell>
          <cell r="F56">
            <v>240</v>
          </cell>
          <cell r="G56">
            <v>240</v>
          </cell>
          <cell r="H56">
            <v>240</v>
          </cell>
          <cell r="I56">
            <v>240</v>
          </cell>
          <cell r="J56">
            <v>240</v>
          </cell>
          <cell r="K56">
            <v>240</v>
          </cell>
          <cell r="L56">
            <v>240</v>
          </cell>
          <cell r="M56">
            <v>240</v>
          </cell>
          <cell r="N56">
            <v>240</v>
          </cell>
          <cell r="O56">
            <v>240</v>
          </cell>
          <cell r="P56">
            <v>240</v>
          </cell>
        </row>
        <row r="57">
          <cell r="C57" t="str">
            <v>970180</v>
          </cell>
          <cell r="E57">
            <v>0</v>
          </cell>
          <cell r="F57">
            <v>0</v>
          </cell>
          <cell r="G57">
            <v>0</v>
          </cell>
          <cell r="H57">
            <v>0</v>
          </cell>
          <cell r="I57">
            <v>30</v>
          </cell>
          <cell r="J57">
            <v>30</v>
          </cell>
          <cell r="K57">
            <v>30</v>
          </cell>
          <cell r="L57">
            <v>30</v>
          </cell>
          <cell r="M57">
            <v>30</v>
          </cell>
          <cell r="N57">
            <v>25</v>
          </cell>
          <cell r="O57">
            <v>25</v>
          </cell>
          <cell r="P57">
            <v>25</v>
          </cell>
        </row>
        <row r="58">
          <cell r="C58" t="str">
            <v>995300</v>
          </cell>
          <cell r="E58">
            <v>0</v>
          </cell>
          <cell r="F58">
            <v>0</v>
          </cell>
          <cell r="G58">
            <v>0</v>
          </cell>
          <cell r="H58">
            <v>0</v>
          </cell>
          <cell r="I58">
            <v>0</v>
          </cell>
          <cell r="J58">
            <v>0</v>
          </cell>
          <cell r="K58">
            <v>0</v>
          </cell>
          <cell r="L58">
            <v>0</v>
          </cell>
          <cell r="M58">
            <v>0</v>
          </cell>
          <cell r="N58">
            <v>202.5</v>
          </cell>
          <cell r="O58">
            <v>0</v>
          </cell>
          <cell r="P58">
            <v>0</v>
          </cell>
        </row>
        <row r="59">
          <cell r="C59" t="str">
            <v>995402</v>
          </cell>
          <cell r="E59">
            <v>317</v>
          </cell>
          <cell r="F59">
            <v>418.5</v>
          </cell>
          <cell r="G59">
            <v>262</v>
          </cell>
          <cell r="H59">
            <v>0</v>
          </cell>
          <cell r="I59">
            <v>165</v>
          </cell>
          <cell r="J59">
            <v>0</v>
          </cell>
          <cell r="K59">
            <v>0</v>
          </cell>
          <cell r="L59">
            <v>0</v>
          </cell>
          <cell r="M59">
            <v>2029.5</v>
          </cell>
          <cell r="N59">
            <v>2555</v>
          </cell>
          <cell r="O59">
            <v>15000</v>
          </cell>
          <cell r="P59">
            <v>11568.5</v>
          </cell>
        </row>
        <row r="60">
          <cell r="E60">
            <v>23520.77</v>
          </cell>
          <cell r="F60">
            <v>-25373.5</v>
          </cell>
          <cell r="G60">
            <v>6613.1</v>
          </cell>
          <cell r="H60">
            <v>-28373.119999999999</v>
          </cell>
          <cell r="I60">
            <v>-1053.26</v>
          </cell>
          <cell r="J60">
            <v>-13398.69</v>
          </cell>
          <cell r="K60">
            <v>9614.14</v>
          </cell>
          <cell r="L60">
            <v>-21445.63</v>
          </cell>
          <cell r="M60">
            <v>-20595.96</v>
          </cell>
          <cell r="N60">
            <v>37481.919999999998</v>
          </cell>
          <cell r="O60">
            <v>18418.79</v>
          </cell>
        </row>
      </sheetData>
      <sheetData sheetId="6">
        <row r="153">
          <cell r="R153">
            <v>76.45</v>
          </cell>
        </row>
      </sheetData>
      <sheetData sheetId="7" refreshError="1"/>
      <sheetData sheetId="8" refreshError="1"/>
      <sheetData sheetId="9">
        <row r="3">
          <cell r="L3">
            <v>49275</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sabra.wilson@umm.edu"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mcbrik@holycrosshealth.org"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hjacobs@fmh.org"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cohler@umm.edu"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jdeibel@mdmercy.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tiebert@jhu.edu"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kfmcgrath@umm.edu"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jsessa@lifebridgehealth.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Chanie_Carlton@bshsi.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kackerman@gcmh.com"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rebecca.righter@peninsula.org"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breilly@aahs.org"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mailto:Beth.e.Kelly@medstar.net"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mailto:aruble@wmhs.com"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mailto:Beth.E.Kelly@medstar.ne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mailto:jkelly@uhcc.com"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mailto:sbrewer@CarrollHospitalCenter.org"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mailto:Beth.E.Kelly@medstar.net"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mailto:jclague1@umm.edu"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mailto:kfmcgrath@umm.edu"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mailto:cfleisch@umm.edu"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mailto:mary.golway@calverthealthmed.org"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mailto:jsessa@lifebridgehealth.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mailto:laurie.fetterman@umm.edu" TargetMode="External"/></Relationships>
</file>

<file path=xl/worksheets/_rels/sheet4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2.bin"/><Relationship Id="rId1" Type="http://schemas.openxmlformats.org/officeDocument/2006/relationships/hyperlink" Target="mailto:cspence@mccreadyhealth.org" TargetMode="External"/><Relationship Id="rId4" Type="http://schemas.openxmlformats.org/officeDocument/2006/relationships/comments" Target="../comments2.xm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mailto:fmoll1@jhmi.edu"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mailto:cohler@umm.edu"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mailto:Mdudley@dchweb.org"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mailto:cmoye@adventisthealthcare.com"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mailto:mtodd@atlanticgeneral.org" TargetMode="Externa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mailto:PaulNicholson@umm.ed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mailto:jsessa@lifebridgehealth.org"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mailto:mcbrik@holycrosshealth.org"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mailto:Beth.e.Kelly@medstar.net"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mailto:mmiddleton@sheppardpratt.org" TargetMode="External"/></Relationships>
</file>

<file path=xl/worksheets/_rels/sheet57.xml.rels><?xml version="1.0" encoding="UTF-8" standalone="yes"?>
<Relationships xmlns="http://schemas.openxmlformats.org/package/2006/relationships"><Relationship Id="rId1" Type="http://schemas.openxmlformats.org/officeDocument/2006/relationships/hyperlink" Target="mailto:Rachana.Patani@MWPH.or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allen.twigg@meritushealth.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54"/>
  <sheetViews>
    <sheetView zoomScaleNormal="100" workbookViewId="0">
      <selection activeCell="F38" sqref="F38"/>
    </sheetView>
  </sheetViews>
  <sheetFormatPr defaultColWidth="9.265625" defaultRowHeight="14.25" x14ac:dyDescent="0.45"/>
  <cols>
    <col min="1" max="1" width="18.73046875" style="453" customWidth="1"/>
    <col min="2" max="2" width="52" style="453" bestFit="1" customWidth="1"/>
    <col min="3" max="3" width="13.73046875" style="452" bestFit="1" customWidth="1"/>
    <col min="4" max="4" width="13.265625" style="452" bestFit="1" customWidth="1"/>
    <col min="5" max="5" width="15.265625" style="453" bestFit="1" customWidth="1"/>
    <col min="6" max="6" width="12.1328125" style="453" bestFit="1" customWidth="1"/>
    <col min="7" max="8" width="9.265625" style="453"/>
    <col min="9" max="9" width="10.265625" style="453" bestFit="1" customWidth="1"/>
    <col min="10" max="13" width="9.265625" style="453"/>
    <col min="14" max="14" width="10.265625" style="453" bestFit="1" customWidth="1"/>
    <col min="15" max="15" width="15.265625" style="453" bestFit="1" customWidth="1"/>
    <col min="16" max="16384" width="9.265625" style="453"/>
  </cols>
  <sheetData>
    <row r="1" spans="1:7" x14ac:dyDescent="0.45">
      <c r="A1" s="265" t="s">
        <v>694</v>
      </c>
      <c r="B1" s="265"/>
    </row>
    <row r="2" spans="1:7" s="456" customFormat="1" ht="42.75" x14ac:dyDescent="0.45">
      <c r="A2" s="447" t="s">
        <v>544</v>
      </c>
      <c r="B2" s="447" t="s">
        <v>197</v>
      </c>
      <c r="C2" s="451" t="s">
        <v>545</v>
      </c>
      <c r="D2" s="451" t="s">
        <v>546</v>
      </c>
      <c r="E2" s="447" t="s">
        <v>547</v>
      </c>
      <c r="F2" s="454"/>
      <c r="G2" s="454"/>
    </row>
    <row r="3" spans="1:7" s="456" customFormat="1" x14ac:dyDescent="0.45">
      <c r="A3" s="457">
        <v>210001</v>
      </c>
      <c r="B3" s="457" t="s">
        <v>194</v>
      </c>
      <c r="C3" s="915">
        <v>0</v>
      </c>
      <c r="D3" s="915">
        <v>325953</v>
      </c>
      <c r="E3" s="916">
        <f>C3+D3</f>
        <v>325953</v>
      </c>
      <c r="F3" s="455"/>
      <c r="G3" s="455"/>
    </row>
    <row r="4" spans="1:7" s="456" customFormat="1" x14ac:dyDescent="0.45">
      <c r="A4" s="458" t="s">
        <v>656</v>
      </c>
      <c r="B4" s="457" t="s">
        <v>657</v>
      </c>
      <c r="C4" s="915">
        <f>108249163+11483419</f>
        <v>119732582</v>
      </c>
      <c r="D4" s="915">
        <f>1389993+213195</f>
        <v>1603188</v>
      </c>
      <c r="E4" s="916">
        <f t="shared" ref="E4:E52" si="0">C4+D4</f>
        <v>121335770</v>
      </c>
      <c r="F4" s="455"/>
      <c r="G4" s="455"/>
    </row>
    <row r="5" spans="1:7" s="456" customFormat="1" x14ac:dyDescent="0.45">
      <c r="A5" s="458" t="s">
        <v>658</v>
      </c>
      <c r="B5" s="457" t="s">
        <v>693</v>
      </c>
      <c r="C5" s="915">
        <f>4654172+0</f>
        <v>4654172</v>
      </c>
      <c r="D5" s="915">
        <f>293523+100492</f>
        <v>394015</v>
      </c>
      <c r="E5" s="916">
        <f t="shared" si="0"/>
        <v>5048187</v>
      </c>
      <c r="F5" s="455"/>
      <c r="G5" s="455"/>
    </row>
    <row r="6" spans="1:7" s="456" customFormat="1" x14ac:dyDescent="0.45">
      <c r="A6" s="457">
        <v>210004</v>
      </c>
      <c r="B6" s="457" t="s">
        <v>492</v>
      </c>
      <c r="C6" s="915">
        <v>0</v>
      </c>
      <c r="D6" s="913">
        <v>504632.60000000003</v>
      </c>
      <c r="E6" s="916">
        <f t="shared" si="0"/>
        <v>504632.60000000003</v>
      </c>
      <c r="F6" s="455"/>
      <c r="G6" s="455"/>
    </row>
    <row r="7" spans="1:7" s="456" customFormat="1" x14ac:dyDescent="0.45">
      <c r="A7" s="457">
        <v>210005</v>
      </c>
      <c r="B7" s="457" t="s">
        <v>659</v>
      </c>
      <c r="C7" s="915">
        <v>0</v>
      </c>
      <c r="D7" s="913">
        <v>346113.4</v>
      </c>
      <c r="E7" s="916">
        <f t="shared" si="0"/>
        <v>346113.4</v>
      </c>
      <c r="F7" s="455"/>
      <c r="G7" s="455"/>
    </row>
    <row r="8" spans="1:7" s="456" customFormat="1" x14ac:dyDescent="0.45">
      <c r="A8" s="457">
        <v>210006</v>
      </c>
      <c r="B8" s="457" t="s">
        <v>660</v>
      </c>
      <c r="C8" s="915">
        <v>0</v>
      </c>
      <c r="D8" s="913">
        <v>105314.8</v>
      </c>
      <c r="E8" s="916">
        <f t="shared" si="0"/>
        <v>105314.8</v>
      </c>
      <c r="F8" s="455"/>
      <c r="G8" s="455"/>
    </row>
    <row r="9" spans="1:7" s="456" customFormat="1" x14ac:dyDescent="0.45">
      <c r="A9" s="457">
        <v>210008</v>
      </c>
      <c r="B9" s="457" t="s">
        <v>661</v>
      </c>
      <c r="C9" s="915">
        <v>5222206</v>
      </c>
      <c r="D9" s="913">
        <v>524091.4</v>
      </c>
      <c r="E9" s="916">
        <f t="shared" si="0"/>
        <v>5746297.4000000004</v>
      </c>
      <c r="F9" s="455"/>
      <c r="G9" s="455"/>
    </row>
    <row r="10" spans="1:7" s="456" customFormat="1" x14ac:dyDescent="0.45">
      <c r="A10" s="457">
        <v>210009</v>
      </c>
      <c r="B10" s="457" t="s">
        <v>493</v>
      </c>
      <c r="C10" s="914">
        <v>119235430</v>
      </c>
      <c r="D10" s="913">
        <v>2352718.9</v>
      </c>
      <c r="E10" s="916">
        <f t="shared" si="0"/>
        <v>121588148.90000001</v>
      </c>
      <c r="F10" s="455"/>
      <c r="G10" s="455"/>
    </row>
    <row r="11" spans="1:7" s="456" customFormat="1" x14ac:dyDescent="0.45">
      <c r="A11" s="457">
        <v>210010</v>
      </c>
      <c r="B11" s="457" t="s">
        <v>662</v>
      </c>
      <c r="C11" s="914">
        <v>0</v>
      </c>
      <c r="D11" s="913">
        <v>49851.200000000004</v>
      </c>
      <c r="E11" s="916">
        <f t="shared" si="0"/>
        <v>49851.200000000004</v>
      </c>
      <c r="F11" s="455"/>
      <c r="G11" s="455"/>
    </row>
    <row r="12" spans="1:7" s="456" customFormat="1" x14ac:dyDescent="0.45">
      <c r="A12" s="457">
        <v>210011</v>
      </c>
      <c r="B12" s="457" t="s">
        <v>663</v>
      </c>
      <c r="C12" s="914">
        <v>8822978.5049858764</v>
      </c>
      <c r="D12" s="913">
        <v>431097.2</v>
      </c>
      <c r="E12" s="916">
        <f t="shared" si="0"/>
        <v>9254075.7049858756</v>
      </c>
      <c r="F12" s="455"/>
      <c r="G12" s="455"/>
    </row>
    <row r="13" spans="1:7" s="456" customFormat="1" x14ac:dyDescent="0.45">
      <c r="A13" s="457">
        <v>210012</v>
      </c>
      <c r="B13" s="457" t="s">
        <v>664</v>
      </c>
      <c r="C13" s="914">
        <v>17345062.650161888</v>
      </c>
      <c r="D13" s="913">
        <v>769856.9</v>
      </c>
      <c r="E13" s="916">
        <f t="shared" si="0"/>
        <v>18114919.550161887</v>
      </c>
      <c r="F13" s="455"/>
      <c r="G13" s="455"/>
    </row>
    <row r="14" spans="1:7" s="456" customFormat="1" x14ac:dyDescent="0.45">
      <c r="A14" s="457">
        <v>210013</v>
      </c>
      <c r="B14" s="457" t="s">
        <v>665</v>
      </c>
      <c r="C14" s="914">
        <v>0</v>
      </c>
      <c r="D14" s="913">
        <v>109889.83418000001</v>
      </c>
      <c r="E14" s="916">
        <f t="shared" si="0"/>
        <v>109889.83418000001</v>
      </c>
      <c r="F14" s="455"/>
      <c r="G14" s="455"/>
    </row>
    <row r="15" spans="1:7" s="456" customFormat="1" x14ac:dyDescent="0.45">
      <c r="A15" s="457">
        <v>210015</v>
      </c>
      <c r="B15" s="457" t="s">
        <v>666</v>
      </c>
      <c r="C15" s="914">
        <v>8779316.6365507785</v>
      </c>
      <c r="D15" s="913">
        <v>518001.60000000003</v>
      </c>
      <c r="E15" s="916">
        <f t="shared" si="0"/>
        <v>9297318.2365507782</v>
      </c>
      <c r="F15" s="455"/>
      <c r="G15" s="455"/>
    </row>
    <row r="16" spans="1:7" s="456" customFormat="1" x14ac:dyDescent="0.45">
      <c r="A16" s="457">
        <v>210016</v>
      </c>
      <c r="B16" s="457" t="s">
        <v>667</v>
      </c>
      <c r="C16" s="914">
        <v>0</v>
      </c>
      <c r="D16" s="913">
        <v>271147.90000000002</v>
      </c>
      <c r="E16" s="916">
        <f t="shared" si="0"/>
        <v>271147.90000000002</v>
      </c>
      <c r="F16" s="455"/>
      <c r="G16" s="455"/>
    </row>
    <row r="17" spans="1:7" s="456" customFormat="1" x14ac:dyDescent="0.45">
      <c r="A17" s="457">
        <v>210017</v>
      </c>
      <c r="B17" s="457" t="s">
        <v>668</v>
      </c>
      <c r="C17" s="914">
        <v>0</v>
      </c>
      <c r="D17" s="913">
        <v>55258.400000000001</v>
      </c>
      <c r="E17" s="916">
        <f t="shared" si="0"/>
        <v>55258.400000000001</v>
      </c>
      <c r="F17" s="455"/>
      <c r="G17" s="455"/>
    </row>
    <row r="18" spans="1:7" s="456" customFormat="1" x14ac:dyDescent="0.45">
      <c r="A18" s="457">
        <v>210018</v>
      </c>
      <c r="B18" s="457" t="s">
        <v>669</v>
      </c>
      <c r="C18" s="914">
        <v>0</v>
      </c>
      <c r="D18" s="913">
        <v>178461.4</v>
      </c>
      <c r="E18" s="916">
        <f t="shared" si="0"/>
        <v>178461.4</v>
      </c>
      <c r="F18" s="455"/>
      <c r="G18" s="455"/>
    </row>
    <row r="19" spans="1:7" s="456" customFormat="1" x14ac:dyDescent="0.45">
      <c r="A19" s="457">
        <v>210019</v>
      </c>
      <c r="B19" s="457" t="s">
        <v>428</v>
      </c>
      <c r="C19" s="914">
        <v>0</v>
      </c>
      <c r="D19" s="913">
        <v>437069.3</v>
      </c>
      <c r="E19" s="916">
        <f t="shared" si="0"/>
        <v>437069.3</v>
      </c>
      <c r="F19" s="455"/>
      <c r="G19" s="455"/>
    </row>
    <row r="20" spans="1:7" s="456" customFormat="1" x14ac:dyDescent="0.45">
      <c r="A20" s="457">
        <v>210022</v>
      </c>
      <c r="B20" s="457" t="s">
        <v>670</v>
      </c>
      <c r="C20" s="914">
        <v>598256.29259507696</v>
      </c>
      <c r="D20" s="913">
        <v>310897.10000000003</v>
      </c>
      <c r="E20" s="916">
        <f t="shared" si="0"/>
        <v>909153.39259507693</v>
      </c>
      <c r="F20" s="455"/>
      <c r="G20" s="455"/>
    </row>
    <row r="21" spans="1:7" s="456" customFormat="1" x14ac:dyDescent="0.45">
      <c r="A21" s="457">
        <v>210023</v>
      </c>
      <c r="B21" s="457" t="s">
        <v>671</v>
      </c>
      <c r="C21" s="914">
        <v>1295673.25376</v>
      </c>
      <c r="D21" s="913">
        <v>601774.6</v>
      </c>
      <c r="E21" s="916">
        <f t="shared" si="0"/>
        <v>1897447.8537599999</v>
      </c>
      <c r="F21" s="455"/>
      <c r="G21" s="455"/>
    </row>
    <row r="22" spans="1:7" s="456" customFormat="1" x14ac:dyDescent="0.45">
      <c r="A22" s="457">
        <v>210024</v>
      </c>
      <c r="B22" s="457" t="s">
        <v>430</v>
      </c>
      <c r="C22" s="914">
        <v>13134515.132040247</v>
      </c>
      <c r="D22" s="913">
        <v>434442.4</v>
      </c>
      <c r="E22" s="916">
        <f t="shared" si="0"/>
        <v>13568957.532040248</v>
      </c>
      <c r="F22" s="455"/>
      <c r="G22" s="455"/>
    </row>
    <row r="23" spans="1:7" s="456" customFormat="1" x14ac:dyDescent="0.45">
      <c r="A23" s="457">
        <v>210027</v>
      </c>
      <c r="B23" s="457" t="s">
        <v>672</v>
      </c>
      <c r="C23" s="914">
        <v>0</v>
      </c>
      <c r="D23" s="913">
        <v>329028.90000000002</v>
      </c>
      <c r="E23" s="916">
        <f t="shared" si="0"/>
        <v>329028.90000000002</v>
      </c>
      <c r="F23" s="455"/>
      <c r="G23" s="455"/>
    </row>
    <row r="24" spans="1:7" s="456" customFormat="1" x14ac:dyDescent="0.45">
      <c r="A24" s="457">
        <v>210028</v>
      </c>
      <c r="B24" s="457" t="s">
        <v>673</v>
      </c>
      <c r="C24" s="914">
        <v>0</v>
      </c>
      <c r="D24" s="913">
        <v>190011.2</v>
      </c>
      <c r="E24" s="916">
        <f t="shared" si="0"/>
        <v>190011.2</v>
      </c>
      <c r="F24" s="455"/>
      <c r="G24" s="455"/>
    </row>
    <row r="25" spans="1:7" s="456" customFormat="1" x14ac:dyDescent="0.45">
      <c r="A25" s="457">
        <v>210029</v>
      </c>
      <c r="B25" s="457" t="s">
        <v>674</v>
      </c>
      <c r="C25" s="914">
        <v>25126323.900739532</v>
      </c>
      <c r="D25" s="913">
        <v>645219.5</v>
      </c>
      <c r="E25" s="916">
        <f t="shared" si="0"/>
        <v>25771543.400739532</v>
      </c>
      <c r="F25" s="455"/>
      <c r="G25" s="455"/>
    </row>
    <row r="26" spans="1:7" s="456" customFormat="1" x14ac:dyDescent="0.45">
      <c r="A26" s="457">
        <v>210030</v>
      </c>
      <c r="B26" s="457" t="s">
        <v>675</v>
      </c>
      <c r="C26" s="914">
        <v>0</v>
      </c>
      <c r="D26" s="913">
        <v>59206.5</v>
      </c>
      <c r="E26" s="916">
        <f t="shared" si="0"/>
        <v>59206.5</v>
      </c>
      <c r="F26" s="455"/>
      <c r="G26" s="455"/>
    </row>
    <row r="27" spans="1:7" s="456" customFormat="1" x14ac:dyDescent="0.45">
      <c r="A27" s="457">
        <v>210032</v>
      </c>
      <c r="B27" s="457" t="s">
        <v>230</v>
      </c>
      <c r="C27" s="914">
        <v>0</v>
      </c>
      <c r="D27" s="913">
        <v>160871.30000000002</v>
      </c>
      <c r="E27" s="916">
        <f t="shared" si="0"/>
        <v>160871.30000000002</v>
      </c>
      <c r="F27" s="455"/>
      <c r="G27" s="455"/>
    </row>
    <row r="28" spans="1:7" s="456" customFormat="1" x14ac:dyDescent="0.45">
      <c r="A28" s="457">
        <v>210033</v>
      </c>
      <c r="B28" s="457" t="s">
        <v>676</v>
      </c>
      <c r="C28" s="914">
        <v>0</v>
      </c>
      <c r="D28" s="913">
        <v>235036.1</v>
      </c>
      <c r="E28" s="916">
        <f t="shared" si="0"/>
        <v>235036.1</v>
      </c>
      <c r="F28" s="455"/>
      <c r="G28" s="455"/>
    </row>
    <row r="29" spans="1:7" s="456" customFormat="1" x14ac:dyDescent="0.45">
      <c r="A29" s="457">
        <v>210034</v>
      </c>
      <c r="B29" s="457" t="s">
        <v>677</v>
      </c>
      <c r="C29" s="914">
        <v>3866850.9143537958</v>
      </c>
      <c r="D29" s="913">
        <v>193637.5</v>
      </c>
      <c r="E29" s="916">
        <f t="shared" si="0"/>
        <v>4060488.4143537958</v>
      </c>
      <c r="F29" s="455"/>
      <c r="G29" s="455"/>
    </row>
    <row r="30" spans="1:7" s="456" customFormat="1" x14ac:dyDescent="0.45">
      <c r="A30" s="457">
        <v>210035</v>
      </c>
      <c r="B30" s="457" t="s">
        <v>678</v>
      </c>
      <c r="C30" s="914">
        <v>0</v>
      </c>
      <c r="D30" s="913">
        <v>148862.30000000002</v>
      </c>
      <c r="E30" s="916">
        <f t="shared" si="0"/>
        <v>148862.30000000002</v>
      </c>
      <c r="F30" s="455"/>
      <c r="G30" s="455"/>
    </row>
    <row r="31" spans="1:7" s="456" customFormat="1" x14ac:dyDescent="0.45">
      <c r="A31" s="457">
        <v>210037</v>
      </c>
      <c r="B31" s="457" t="s">
        <v>679</v>
      </c>
      <c r="C31" s="914">
        <v>0</v>
      </c>
      <c r="D31" s="913">
        <v>203067.80000000002</v>
      </c>
      <c r="E31" s="916">
        <f t="shared" si="0"/>
        <v>203067.80000000002</v>
      </c>
      <c r="F31" s="455"/>
      <c r="G31" s="455"/>
    </row>
    <row r="32" spans="1:7" s="456" customFormat="1" x14ac:dyDescent="0.45">
      <c r="A32" s="457">
        <v>210038</v>
      </c>
      <c r="B32" s="457" t="s">
        <v>680</v>
      </c>
      <c r="C32" s="914">
        <v>4875718.937990238</v>
      </c>
      <c r="D32" s="913">
        <v>239136.4</v>
      </c>
      <c r="E32" s="916">
        <f t="shared" si="0"/>
        <v>5114855.3379902383</v>
      </c>
      <c r="F32" s="455"/>
      <c r="G32" s="455"/>
    </row>
    <row r="33" spans="1:7" s="456" customFormat="1" x14ac:dyDescent="0.45">
      <c r="A33" s="457">
        <v>210039</v>
      </c>
      <c r="B33" s="457" t="s">
        <v>681</v>
      </c>
      <c r="C33" s="914">
        <v>0</v>
      </c>
      <c r="D33" s="913">
        <v>149192</v>
      </c>
      <c r="E33" s="916">
        <f t="shared" si="0"/>
        <v>149192</v>
      </c>
      <c r="F33" s="455"/>
      <c r="G33" s="455"/>
    </row>
    <row r="34" spans="1:7" s="456" customFormat="1" x14ac:dyDescent="0.45">
      <c r="A34" s="457">
        <v>210040</v>
      </c>
      <c r="B34" s="457" t="s">
        <v>528</v>
      </c>
      <c r="C34" s="914">
        <v>0</v>
      </c>
      <c r="D34" s="913">
        <v>258801</v>
      </c>
      <c r="E34" s="916">
        <f t="shared" si="0"/>
        <v>258801</v>
      </c>
      <c r="F34" s="455"/>
      <c r="G34" s="455"/>
    </row>
    <row r="35" spans="1:7" s="456" customFormat="1" x14ac:dyDescent="0.45">
      <c r="A35" s="457">
        <v>210043</v>
      </c>
      <c r="B35" s="457" t="s">
        <v>682</v>
      </c>
      <c r="C35" s="915">
        <v>650488</v>
      </c>
      <c r="D35" s="915">
        <v>416534</v>
      </c>
      <c r="E35" s="916">
        <f t="shared" si="0"/>
        <v>1067022</v>
      </c>
      <c r="F35" s="455"/>
      <c r="G35" s="455"/>
    </row>
    <row r="36" spans="1:7" s="456" customFormat="1" x14ac:dyDescent="0.45">
      <c r="A36" s="457">
        <v>210044</v>
      </c>
      <c r="B36" s="457" t="s">
        <v>482</v>
      </c>
      <c r="C36" s="915">
        <v>7731237</v>
      </c>
      <c r="D36" s="915">
        <v>462643</v>
      </c>
      <c r="E36" s="916">
        <f t="shared" si="0"/>
        <v>8193880</v>
      </c>
      <c r="F36" s="455"/>
      <c r="G36" s="455"/>
    </row>
    <row r="37" spans="1:7" s="456" customFormat="1" x14ac:dyDescent="0.45">
      <c r="A37" s="457">
        <v>210045</v>
      </c>
      <c r="B37" s="457" t="s">
        <v>683</v>
      </c>
      <c r="C37" s="915">
        <v>0</v>
      </c>
      <c r="D37" s="915">
        <v>16897</v>
      </c>
      <c r="E37" s="916">
        <f t="shared" si="0"/>
        <v>16897</v>
      </c>
      <c r="F37" s="455"/>
      <c r="G37" s="455"/>
    </row>
    <row r="38" spans="1:7" s="456" customFormat="1" x14ac:dyDescent="0.45">
      <c r="A38" s="457">
        <v>210048</v>
      </c>
      <c r="B38" s="457" t="s">
        <v>281</v>
      </c>
      <c r="C38" s="915">
        <v>0</v>
      </c>
      <c r="D38" s="915">
        <v>303037</v>
      </c>
      <c r="E38" s="916">
        <f t="shared" si="0"/>
        <v>303037</v>
      </c>
      <c r="F38" s="455"/>
      <c r="G38" s="455"/>
    </row>
    <row r="39" spans="1:7" s="456" customFormat="1" x14ac:dyDescent="0.45">
      <c r="A39" s="457">
        <v>210049</v>
      </c>
      <c r="B39" s="457" t="s">
        <v>684</v>
      </c>
      <c r="C39" s="915">
        <v>0</v>
      </c>
      <c r="D39" s="915">
        <v>341416</v>
      </c>
      <c r="E39" s="916">
        <f t="shared" si="0"/>
        <v>341416</v>
      </c>
      <c r="F39" s="455"/>
      <c r="G39" s="455"/>
    </row>
    <row r="40" spans="1:7" s="456" customFormat="1" x14ac:dyDescent="0.45">
      <c r="A40" s="457">
        <v>210051</v>
      </c>
      <c r="B40" s="457" t="s">
        <v>685</v>
      </c>
      <c r="C40" s="915">
        <v>0</v>
      </c>
      <c r="D40" s="915">
        <v>232582</v>
      </c>
      <c r="E40" s="916">
        <f t="shared" si="0"/>
        <v>232582</v>
      </c>
      <c r="F40" s="455"/>
      <c r="G40" s="455"/>
    </row>
    <row r="41" spans="1:7" s="456" customFormat="1" x14ac:dyDescent="0.45">
      <c r="A41" s="457">
        <v>210056</v>
      </c>
      <c r="B41" s="459" t="s">
        <v>437</v>
      </c>
      <c r="C41" s="915">
        <v>4725287</v>
      </c>
      <c r="D41" s="915">
        <v>297578</v>
      </c>
      <c r="E41" s="916">
        <f t="shared" si="0"/>
        <v>5022865</v>
      </c>
      <c r="F41" s="455"/>
      <c r="G41" s="455"/>
    </row>
    <row r="42" spans="1:7" s="456" customFormat="1" x14ac:dyDescent="0.45">
      <c r="A42" s="457">
        <v>210057</v>
      </c>
      <c r="B42" s="459" t="s">
        <v>686</v>
      </c>
      <c r="C42" s="915">
        <v>66671</v>
      </c>
      <c r="D42" s="915">
        <v>401328</v>
      </c>
      <c r="E42" s="916">
        <f t="shared" si="0"/>
        <v>467999</v>
      </c>
      <c r="F42" s="455"/>
      <c r="G42" s="455"/>
    </row>
    <row r="43" spans="1:7" s="456" customFormat="1" x14ac:dyDescent="0.45">
      <c r="A43" s="457">
        <v>210058</v>
      </c>
      <c r="B43" s="459" t="s">
        <v>687</v>
      </c>
      <c r="C43" s="915">
        <v>4059878</v>
      </c>
      <c r="D43" s="915">
        <v>124287</v>
      </c>
      <c r="E43" s="916">
        <f t="shared" si="0"/>
        <v>4184165</v>
      </c>
      <c r="F43" s="455"/>
      <c r="G43" s="455"/>
    </row>
    <row r="44" spans="1:7" s="456" customFormat="1" x14ac:dyDescent="0.45">
      <c r="A44" s="457">
        <v>210060</v>
      </c>
      <c r="B44" s="459" t="s">
        <v>232</v>
      </c>
      <c r="C44" s="915">
        <v>0</v>
      </c>
      <c r="D44" s="915">
        <v>48728</v>
      </c>
      <c r="E44" s="916">
        <f t="shared" si="0"/>
        <v>48728</v>
      </c>
      <c r="F44" s="455"/>
      <c r="G44" s="455"/>
    </row>
    <row r="45" spans="1:7" s="456" customFormat="1" x14ac:dyDescent="0.45">
      <c r="A45" s="457">
        <v>210061</v>
      </c>
      <c r="B45" s="459" t="s">
        <v>242</v>
      </c>
      <c r="C45" s="915">
        <v>0</v>
      </c>
      <c r="D45" s="915">
        <v>107265</v>
      </c>
      <c r="E45" s="916">
        <f t="shared" si="0"/>
        <v>107265</v>
      </c>
      <c r="F45" s="455"/>
      <c r="G45" s="455"/>
    </row>
    <row r="46" spans="1:7" s="456" customFormat="1" x14ac:dyDescent="0.45">
      <c r="A46" s="457">
        <v>210062</v>
      </c>
      <c r="B46" s="459" t="s">
        <v>688</v>
      </c>
      <c r="C46" s="915">
        <v>0</v>
      </c>
      <c r="D46" s="915">
        <v>270323</v>
      </c>
      <c r="E46" s="916">
        <f t="shared" si="0"/>
        <v>270323</v>
      </c>
      <c r="F46" s="455"/>
      <c r="G46" s="455"/>
    </row>
    <row r="47" spans="1:7" s="456" customFormat="1" x14ac:dyDescent="0.45">
      <c r="A47" s="457">
        <v>210063</v>
      </c>
      <c r="B47" s="459" t="s">
        <v>689</v>
      </c>
      <c r="C47" s="915">
        <v>0</v>
      </c>
      <c r="D47" s="915">
        <v>408177</v>
      </c>
      <c r="E47" s="916">
        <f t="shared" si="0"/>
        <v>408177</v>
      </c>
      <c r="F47" s="455"/>
      <c r="G47" s="455"/>
    </row>
    <row r="48" spans="1:7" s="456" customFormat="1" x14ac:dyDescent="0.45">
      <c r="A48" s="457">
        <v>210064</v>
      </c>
      <c r="B48" s="459" t="s">
        <v>198</v>
      </c>
      <c r="C48" s="915">
        <v>0</v>
      </c>
      <c r="D48" s="915">
        <v>59432</v>
      </c>
      <c r="E48" s="916">
        <f t="shared" si="0"/>
        <v>59432</v>
      </c>
      <c r="F48" s="455"/>
      <c r="G48" s="455"/>
    </row>
    <row r="49" spans="1:7" s="456" customFormat="1" x14ac:dyDescent="0.45">
      <c r="A49" s="457">
        <v>210065</v>
      </c>
      <c r="B49" s="459" t="s">
        <v>690</v>
      </c>
      <c r="C49" s="915">
        <v>0</v>
      </c>
      <c r="D49" s="915">
        <v>96340</v>
      </c>
      <c r="E49" s="916">
        <f t="shared" si="0"/>
        <v>96340</v>
      </c>
      <c r="F49" s="455"/>
      <c r="G49" s="455"/>
    </row>
    <row r="50" spans="1:7" s="456" customFormat="1" x14ac:dyDescent="0.45">
      <c r="A50" s="457">
        <v>213300</v>
      </c>
      <c r="B50" s="459" t="s">
        <v>691</v>
      </c>
      <c r="C50" s="915">
        <v>0</v>
      </c>
      <c r="D50" s="915">
        <v>59447</v>
      </c>
      <c r="E50" s="916">
        <f t="shared" si="0"/>
        <v>59447</v>
      </c>
      <c r="F50" s="455"/>
      <c r="G50" s="455"/>
    </row>
    <row r="51" spans="1:7" s="456" customFormat="1" x14ac:dyDescent="0.45">
      <c r="A51" s="457">
        <v>214000</v>
      </c>
      <c r="B51" s="459" t="s">
        <v>199</v>
      </c>
      <c r="C51" s="915">
        <v>2692100</v>
      </c>
      <c r="D51" s="915">
        <v>150869</v>
      </c>
      <c r="E51" s="916">
        <f t="shared" si="0"/>
        <v>2842969</v>
      </c>
      <c r="F51" s="455"/>
      <c r="G51" s="455"/>
    </row>
    <row r="52" spans="1:7" s="456" customFormat="1" x14ac:dyDescent="0.45">
      <c r="A52" s="457">
        <v>213029</v>
      </c>
      <c r="B52" s="459" t="s">
        <v>692</v>
      </c>
      <c r="C52" s="915">
        <v>0</v>
      </c>
      <c r="D52" s="915">
        <v>59478</v>
      </c>
      <c r="E52" s="916">
        <f t="shared" si="0"/>
        <v>59478</v>
      </c>
      <c r="F52" s="455"/>
      <c r="G52" s="455"/>
    </row>
    <row r="53" spans="1:7" s="456" customFormat="1" x14ac:dyDescent="0.45">
      <c r="A53" s="450"/>
      <c r="B53" s="460" t="s">
        <v>195</v>
      </c>
      <c r="C53" s="917">
        <f>SUM(C3:C52)</f>
        <v>352614747.22317743</v>
      </c>
      <c r="D53" s="917">
        <f>SUM(D3:D52)</f>
        <v>16992206.434180003</v>
      </c>
      <c r="E53" s="918">
        <f>SUM(E3:E52)</f>
        <v>369606953.65735739</v>
      </c>
      <c r="F53" s="499"/>
      <c r="G53" s="455"/>
    </row>
    <row r="54" spans="1:7" x14ac:dyDescent="0.45">
      <c r="E54" s="452"/>
    </row>
  </sheetData>
  <pageMargins left="0.7" right="0.7" top="0.75" bottom="0.75" header="0.3" footer="0.3"/>
  <pageSetup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318"/>
  <sheetViews>
    <sheetView showGridLines="0" topLeftCell="A133" zoomScale="80" zoomScaleNormal="80" zoomScaleSheetLayoutView="80" workbookViewId="0">
      <selection activeCell="A150" sqref="A150"/>
    </sheetView>
  </sheetViews>
  <sheetFormatPr defaultColWidth="45.73046875" defaultRowHeight="18" customHeight="1" x14ac:dyDescent="0.35"/>
  <cols>
    <col min="1" max="1" width="8.265625" style="349" customWidth="1"/>
    <col min="2" max="2" width="55.3984375" style="350" bestFit="1" customWidth="1"/>
    <col min="3" max="3" width="9.59765625" style="350" customWidth="1"/>
    <col min="4" max="4" width="45.73046875" style="350"/>
    <col min="5" max="5" width="12.3984375" style="350" customWidth="1"/>
    <col min="6" max="6" width="18.59765625" style="350" customWidth="1"/>
    <col min="7" max="7" width="23.59765625" style="350" customWidth="1"/>
    <col min="8" max="8" width="17.1328125" style="350" customWidth="1"/>
    <col min="9" max="9" width="21.1328125" style="350" customWidth="1"/>
    <col min="10" max="10" width="19.86328125" style="350" customWidth="1"/>
    <col min="11" max="11" width="17.59765625" style="350" customWidth="1"/>
    <col min="12" max="16384" width="45.73046875" style="350"/>
  </cols>
  <sheetData>
    <row r="1" spans="1:11" ht="13.9" x14ac:dyDescent="0.4">
      <c r="C1" s="351"/>
      <c r="D1" s="352"/>
      <c r="E1" s="351"/>
      <c r="F1" s="351"/>
      <c r="G1" s="351"/>
      <c r="H1" s="351"/>
      <c r="I1" s="351"/>
      <c r="J1" s="351"/>
      <c r="K1" s="351"/>
    </row>
    <row r="2" spans="1:11" ht="13.9" x14ac:dyDescent="0.4">
      <c r="D2" s="996" t="s">
        <v>700</v>
      </c>
      <c r="E2" s="997"/>
      <c r="F2" s="997"/>
      <c r="G2" s="997"/>
      <c r="H2" s="997"/>
    </row>
    <row r="3" spans="1:11" ht="13.9" x14ac:dyDescent="0.4">
      <c r="B3" s="356" t="s">
        <v>0</v>
      </c>
    </row>
    <row r="5" spans="1:11" ht="13.9" x14ac:dyDescent="0.4">
      <c r="B5" s="357" t="s">
        <v>40</v>
      </c>
      <c r="C5" s="1002" t="s">
        <v>707</v>
      </c>
      <c r="D5" s="1003"/>
      <c r="E5" s="1003"/>
      <c r="F5" s="1003"/>
      <c r="G5" s="1004"/>
    </row>
    <row r="6" spans="1:11" ht="13.9" x14ac:dyDescent="0.4">
      <c r="B6" s="357" t="s">
        <v>3</v>
      </c>
      <c r="C6" s="1005">
        <v>210003</v>
      </c>
      <c r="D6" s="1006"/>
      <c r="E6" s="1006"/>
      <c r="F6" s="1006"/>
      <c r="G6" s="1007"/>
    </row>
    <row r="7" spans="1:11" ht="13.9" x14ac:dyDescent="0.4">
      <c r="B7" s="357" t="s">
        <v>4</v>
      </c>
      <c r="C7" s="1008">
        <v>2500</v>
      </c>
      <c r="D7" s="1009"/>
      <c r="E7" s="1009"/>
      <c r="F7" s="1009"/>
      <c r="G7" s="1010"/>
    </row>
    <row r="9" spans="1:11" ht="13.9" x14ac:dyDescent="0.4">
      <c r="B9" s="357" t="s">
        <v>1</v>
      </c>
      <c r="C9" s="1002" t="s">
        <v>708</v>
      </c>
      <c r="D9" s="1003"/>
      <c r="E9" s="1003"/>
      <c r="F9" s="1003"/>
      <c r="G9" s="1004"/>
    </row>
    <row r="10" spans="1:11" ht="13.9" x14ac:dyDescent="0.4">
      <c r="B10" s="357" t="s">
        <v>2</v>
      </c>
      <c r="C10" s="1011" t="s">
        <v>709</v>
      </c>
      <c r="D10" s="1012"/>
      <c r="E10" s="1012"/>
      <c r="F10" s="1012"/>
      <c r="G10" s="1013"/>
    </row>
    <row r="11" spans="1:11" ht="13.9" x14ac:dyDescent="0.4">
      <c r="B11" s="357" t="s">
        <v>32</v>
      </c>
      <c r="C11" s="954" t="s">
        <v>710</v>
      </c>
      <c r="D11" s="998"/>
      <c r="E11" s="998"/>
      <c r="F11" s="998"/>
      <c r="G11" s="998"/>
    </row>
    <row r="12" spans="1:11" ht="13.9" x14ac:dyDescent="0.4">
      <c r="B12" s="357"/>
      <c r="C12" s="357"/>
      <c r="D12" s="357"/>
      <c r="E12" s="357"/>
      <c r="F12" s="357"/>
      <c r="G12" s="357"/>
    </row>
    <row r="13" spans="1:11" ht="13.9" x14ac:dyDescent="0.35">
      <c r="B13" s="1000"/>
      <c r="C13" s="1001"/>
      <c r="D13" s="1001"/>
      <c r="E13" s="1001"/>
      <c r="F13" s="1001"/>
      <c r="G13" s="1001"/>
      <c r="H13" s="991"/>
      <c r="I13" s="351"/>
    </row>
    <row r="14" spans="1:11" ht="13.9" x14ac:dyDescent="0.4">
      <c r="B14" s="358"/>
    </row>
    <row r="15" spans="1:11" ht="13.9" x14ac:dyDescent="0.4">
      <c r="B15" s="358"/>
    </row>
    <row r="16" spans="1:11" ht="27.75" x14ac:dyDescent="0.4">
      <c r="A16" s="352" t="s">
        <v>181</v>
      </c>
      <c r="B16" s="351"/>
      <c r="C16" s="351"/>
      <c r="D16" s="351"/>
      <c r="E16" s="351"/>
      <c r="F16" s="359" t="s">
        <v>9</v>
      </c>
      <c r="G16" s="359" t="s">
        <v>37</v>
      </c>
      <c r="H16" s="359" t="s">
        <v>29</v>
      </c>
      <c r="I16" s="359" t="s">
        <v>30</v>
      </c>
      <c r="J16" s="359" t="s">
        <v>33</v>
      </c>
      <c r="K16" s="359" t="s">
        <v>34</v>
      </c>
    </row>
    <row r="17" spans="1:11" ht="13.9" x14ac:dyDescent="0.4">
      <c r="A17" s="354" t="s">
        <v>184</v>
      </c>
      <c r="B17" s="356" t="s">
        <v>182</v>
      </c>
    </row>
    <row r="18" spans="1:11" ht="13.9" x14ac:dyDescent="0.4">
      <c r="A18" s="357" t="s">
        <v>185</v>
      </c>
      <c r="B18" s="350" t="s">
        <v>183</v>
      </c>
      <c r="F18" s="573" t="s">
        <v>73</v>
      </c>
      <c r="G18" s="573" t="s">
        <v>73</v>
      </c>
      <c r="H18" s="574">
        <v>5777808.5251398627</v>
      </c>
      <c r="I18" s="575">
        <v>0</v>
      </c>
      <c r="J18" s="574">
        <v>4803249.1462404085</v>
      </c>
      <c r="K18" s="576">
        <f>(H18+I18)-J18</f>
        <v>974559.37889945414</v>
      </c>
    </row>
    <row r="19" spans="1:11" ht="27.75" x14ac:dyDescent="0.4">
      <c r="A19" s="352" t="s">
        <v>8</v>
      </c>
      <c r="B19" s="351"/>
      <c r="C19" s="351"/>
      <c r="D19" s="351"/>
      <c r="E19" s="351"/>
      <c r="F19" s="359" t="s">
        <v>9</v>
      </c>
      <c r="G19" s="359" t="s">
        <v>37</v>
      </c>
      <c r="H19" s="359" t="s">
        <v>29</v>
      </c>
      <c r="I19" s="359" t="s">
        <v>30</v>
      </c>
      <c r="J19" s="359" t="s">
        <v>33</v>
      </c>
      <c r="K19" s="359" t="s">
        <v>34</v>
      </c>
    </row>
    <row r="20" spans="1:11" ht="13.9" x14ac:dyDescent="0.4">
      <c r="A20" s="354" t="s">
        <v>74</v>
      </c>
      <c r="B20" s="356" t="s">
        <v>41</v>
      </c>
    </row>
    <row r="21" spans="1:11" ht="13.9" x14ac:dyDescent="0.4">
      <c r="A21" s="357" t="s">
        <v>75</v>
      </c>
      <c r="B21" s="350" t="s">
        <v>42</v>
      </c>
      <c r="F21" s="573">
        <v>785</v>
      </c>
      <c r="G21" s="573">
        <v>6600</v>
      </c>
      <c r="H21" s="574">
        <v>147656</v>
      </c>
      <c r="I21" s="575">
        <f t="shared" ref="I21:I34" si="0">H21*F$114</f>
        <v>126814.3847291955</v>
      </c>
      <c r="J21" s="574"/>
      <c r="K21" s="576">
        <f t="shared" ref="K21:K34" si="1">(H21+I21)-J21</f>
        <v>274470.3847291955</v>
      </c>
    </row>
    <row r="22" spans="1:11" ht="13.9" x14ac:dyDescent="0.4">
      <c r="A22" s="357" t="s">
        <v>76</v>
      </c>
      <c r="B22" s="350" t="s">
        <v>6</v>
      </c>
      <c r="F22" s="573">
        <v>238</v>
      </c>
      <c r="G22" s="573">
        <v>520</v>
      </c>
      <c r="H22" s="574">
        <v>8568</v>
      </c>
      <c r="I22" s="575">
        <f t="shared" si="0"/>
        <v>7358.6284902729794</v>
      </c>
      <c r="J22" s="574"/>
      <c r="K22" s="576">
        <f t="shared" si="1"/>
        <v>15926.628490272979</v>
      </c>
    </row>
    <row r="23" spans="1:11" ht="13.9" x14ac:dyDescent="0.4">
      <c r="A23" s="357" t="s">
        <v>77</v>
      </c>
      <c r="B23" s="350" t="s">
        <v>43</v>
      </c>
      <c r="F23" s="573"/>
      <c r="G23" s="573"/>
      <c r="H23" s="574"/>
      <c r="I23" s="575">
        <f t="shared" si="0"/>
        <v>0</v>
      </c>
      <c r="J23" s="574"/>
      <c r="K23" s="576">
        <f t="shared" si="1"/>
        <v>0</v>
      </c>
    </row>
    <row r="24" spans="1:11" ht="13.9" x14ac:dyDescent="0.4">
      <c r="A24" s="357" t="s">
        <v>78</v>
      </c>
      <c r="B24" s="350" t="s">
        <v>44</v>
      </c>
      <c r="F24" s="573"/>
      <c r="G24" s="573"/>
      <c r="H24" s="574"/>
      <c r="I24" s="575">
        <f t="shared" si="0"/>
        <v>0</v>
      </c>
      <c r="J24" s="574"/>
      <c r="K24" s="576">
        <f t="shared" si="1"/>
        <v>0</v>
      </c>
    </row>
    <row r="25" spans="1:11" ht="13.9" x14ac:dyDescent="0.4">
      <c r="A25" s="357" t="s">
        <v>79</v>
      </c>
      <c r="B25" s="350" t="s">
        <v>5</v>
      </c>
      <c r="F25" s="573">
        <v>178</v>
      </c>
      <c r="G25" s="573">
        <v>1700</v>
      </c>
      <c r="H25" s="574">
        <v>6480</v>
      </c>
      <c r="I25" s="575">
        <f t="shared" si="0"/>
        <v>5565.3492783577158</v>
      </c>
      <c r="J25" s="574"/>
      <c r="K25" s="576">
        <f t="shared" si="1"/>
        <v>12045.349278357717</v>
      </c>
    </row>
    <row r="26" spans="1:11" ht="13.9" x14ac:dyDescent="0.4">
      <c r="A26" s="357" t="s">
        <v>80</v>
      </c>
      <c r="B26" s="350" t="s">
        <v>45</v>
      </c>
      <c r="F26" s="573"/>
      <c r="G26" s="573"/>
      <c r="H26" s="574"/>
      <c r="I26" s="575">
        <f t="shared" si="0"/>
        <v>0</v>
      </c>
      <c r="J26" s="574"/>
      <c r="K26" s="576">
        <f t="shared" si="1"/>
        <v>0</v>
      </c>
    </row>
    <row r="27" spans="1:11" ht="13.9" x14ac:dyDescent="0.4">
      <c r="A27" s="357" t="s">
        <v>81</v>
      </c>
      <c r="B27" s="350" t="s">
        <v>498</v>
      </c>
      <c r="F27" s="573"/>
      <c r="G27" s="573"/>
      <c r="H27" s="574"/>
      <c r="I27" s="575">
        <f t="shared" si="0"/>
        <v>0</v>
      </c>
      <c r="J27" s="574"/>
      <c r="K27" s="576">
        <f t="shared" si="1"/>
        <v>0</v>
      </c>
    </row>
    <row r="28" spans="1:11" ht="13.9" x14ac:dyDescent="0.4">
      <c r="A28" s="357" t="s">
        <v>82</v>
      </c>
      <c r="B28" s="350" t="s">
        <v>47</v>
      </c>
      <c r="F28" s="573">
        <v>3168</v>
      </c>
      <c r="G28" s="573">
        <v>400</v>
      </c>
      <c r="H28" s="574">
        <v>122790</v>
      </c>
      <c r="I28" s="575">
        <f t="shared" si="0"/>
        <v>105458.21572369504</v>
      </c>
      <c r="J28" s="574"/>
      <c r="K28" s="576">
        <f t="shared" si="1"/>
        <v>228248.21572369506</v>
      </c>
    </row>
    <row r="29" spans="1:11" ht="13.9" x14ac:dyDescent="0.4">
      <c r="A29" s="357" t="s">
        <v>83</v>
      </c>
      <c r="B29" s="350" t="s">
        <v>48</v>
      </c>
      <c r="F29" s="573"/>
      <c r="G29" s="573">
        <v>2657</v>
      </c>
      <c r="H29" s="574">
        <v>518570.78000000009</v>
      </c>
      <c r="I29" s="575">
        <f t="shared" si="0"/>
        <v>445374.61670530838</v>
      </c>
      <c r="J29" s="574"/>
      <c r="K29" s="576">
        <f t="shared" si="1"/>
        <v>963945.39670530846</v>
      </c>
    </row>
    <row r="30" spans="1:11" ht="13.9" x14ac:dyDescent="0.4">
      <c r="A30" s="357" t="s">
        <v>84</v>
      </c>
      <c r="B30" s="988"/>
      <c r="C30" s="989"/>
      <c r="D30" s="990"/>
      <c r="F30" s="573"/>
      <c r="G30" s="573"/>
      <c r="H30" s="574"/>
      <c r="I30" s="575">
        <f t="shared" si="0"/>
        <v>0</v>
      </c>
      <c r="J30" s="574"/>
      <c r="K30" s="576">
        <f t="shared" si="1"/>
        <v>0</v>
      </c>
    </row>
    <row r="31" spans="1:11" ht="13.9" x14ac:dyDescent="0.4">
      <c r="A31" s="357" t="s">
        <v>133</v>
      </c>
      <c r="B31" s="988"/>
      <c r="C31" s="989"/>
      <c r="D31" s="990"/>
      <c r="F31" s="573"/>
      <c r="G31" s="573"/>
      <c r="H31" s="574"/>
      <c r="I31" s="575">
        <f t="shared" si="0"/>
        <v>0</v>
      </c>
      <c r="J31" s="574"/>
      <c r="K31" s="576">
        <f t="shared" si="1"/>
        <v>0</v>
      </c>
    </row>
    <row r="32" spans="1:11" ht="13.9" x14ac:dyDescent="0.4">
      <c r="A32" s="357" t="s">
        <v>134</v>
      </c>
      <c r="B32" s="525"/>
      <c r="C32" s="526"/>
      <c r="D32" s="527"/>
      <c r="F32" s="573"/>
      <c r="G32" s="573" t="s">
        <v>85</v>
      </c>
      <c r="H32" s="574"/>
      <c r="I32" s="575">
        <f t="shared" si="0"/>
        <v>0</v>
      </c>
      <c r="J32" s="574"/>
      <c r="K32" s="576">
        <f t="shared" si="1"/>
        <v>0</v>
      </c>
    </row>
    <row r="33" spans="1:11" ht="13.9" x14ac:dyDescent="0.4">
      <c r="A33" s="357" t="s">
        <v>135</v>
      </c>
      <c r="B33" s="525"/>
      <c r="C33" s="526"/>
      <c r="D33" s="527"/>
      <c r="F33" s="573"/>
      <c r="G33" s="573" t="s">
        <v>85</v>
      </c>
      <c r="H33" s="574"/>
      <c r="I33" s="575">
        <f t="shared" si="0"/>
        <v>0</v>
      </c>
      <c r="J33" s="574"/>
      <c r="K33" s="576">
        <f t="shared" si="1"/>
        <v>0</v>
      </c>
    </row>
    <row r="34" spans="1:11" ht="13.9" x14ac:dyDescent="0.4">
      <c r="A34" s="357" t="s">
        <v>136</v>
      </c>
      <c r="B34" s="988"/>
      <c r="C34" s="989"/>
      <c r="D34" s="990"/>
      <c r="F34" s="573"/>
      <c r="G34" s="573" t="s">
        <v>85</v>
      </c>
      <c r="H34" s="574"/>
      <c r="I34" s="575">
        <f t="shared" si="0"/>
        <v>0</v>
      </c>
      <c r="J34" s="574"/>
      <c r="K34" s="576">
        <f t="shared" si="1"/>
        <v>0</v>
      </c>
    </row>
    <row r="35" spans="1:11" ht="13.5" x14ac:dyDescent="0.35">
      <c r="K35" s="577"/>
    </row>
    <row r="36" spans="1:11" ht="13.9" x14ac:dyDescent="0.4">
      <c r="A36" s="354" t="s">
        <v>137</v>
      </c>
      <c r="B36" s="356" t="s">
        <v>138</v>
      </c>
      <c r="E36" s="356" t="s">
        <v>7</v>
      </c>
      <c r="F36" s="578">
        <f t="shared" ref="F36:K36" si="2">SUM(F21:F34)</f>
        <v>4369</v>
      </c>
      <c r="G36" s="578">
        <f t="shared" si="2"/>
        <v>11877</v>
      </c>
      <c r="H36" s="578">
        <f t="shared" si="2"/>
        <v>804064.78</v>
      </c>
      <c r="I36" s="576">
        <f t="shared" si="2"/>
        <v>690571.19492682954</v>
      </c>
      <c r="J36" s="576">
        <f t="shared" si="2"/>
        <v>0</v>
      </c>
      <c r="K36" s="576">
        <f t="shared" si="2"/>
        <v>1494635.9749268298</v>
      </c>
    </row>
    <row r="37" spans="1:11" ht="14.25" thickBot="1" x14ac:dyDescent="0.45">
      <c r="B37" s="356"/>
      <c r="F37" s="362"/>
      <c r="G37" s="362"/>
      <c r="H37" s="579"/>
      <c r="I37" s="579"/>
      <c r="J37" s="579"/>
      <c r="K37" s="364"/>
    </row>
    <row r="38" spans="1:11" ht="27.75" x14ac:dyDescent="0.4">
      <c r="F38" s="359" t="s">
        <v>9</v>
      </c>
      <c r="G38" s="359" t="s">
        <v>37</v>
      </c>
      <c r="H38" s="359" t="s">
        <v>29</v>
      </c>
      <c r="I38" s="359" t="s">
        <v>30</v>
      </c>
      <c r="J38" s="359" t="s">
        <v>33</v>
      </c>
      <c r="K38" s="359" t="s">
        <v>34</v>
      </c>
    </row>
    <row r="39" spans="1:11" ht="13.9" x14ac:dyDescent="0.4">
      <c r="A39" s="354" t="s">
        <v>86</v>
      </c>
      <c r="B39" s="356" t="s">
        <v>49</v>
      </c>
    </row>
    <row r="40" spans="1:11" ht="13.9" x14ac:dyDescent="0.4">
      <c r="A40" s="357" t="s">
        <v>87</v>
      </c>
      <c r="B40" s="350" t="s">
        <v>31</v>
      </c>
      <c r="F40" s="573">
        <v>114696</v>
      </c>
      <c r="G40" s="573">
        <v>30250</v>
      </c>
      <c r="H40" s="574">
        <v>4485830.2299999995</v>
      </c>
      <c r="I40" s="575">
        <v>0</v>
      </c>
      <c r="J40" s="574">
        <v>2583507.1800000002</v>
      </c>
      <c r="K40" s="576">
        <f t="shared" ref="K40:K47" si="3">(H40+I40)-J40</f>
        <v>1902323.0499999993</v>
      </c>
    </row>
    <row r="41" spans="1:11" ht="13.9" x14ac:dyDescent="0.4">
      <c r="A41" s="357" t="s">
        <v>88</v>
      </c>
      <c r="B41" s="999" t="s">
        <v>50</v>
      </c>
      <c r="C41" s="999"/>
      <c r="F41" s="573">
        <v>34408</v>
      </c>
      <c r="G41" s="573"/>
      <c r="H41" s="574">
        <v>1154540.6500000001</v>
      </c>
      <c r="I41" s="575">
        <v>0</v>
      </c>
      <c r="J41" s="574"/>
      <c r="K41" s="576">
        <f t="shared" si="3"/>
        <v>1154540.6500000001</v>
      </c>
    </row>
    <row r="42" spans="1:11" ht="13.9" x14ac:dyDescent="0.4">
      <c r="A42" s="357" t="s">
        <v>89</v>
      </c>
      <c r="B42" s="580" t="s">
        <v>11</v>
      </c>
      <c r="C42" s="580"/>
      <c r="F42" s="573">
        <v>65280</v>
      </c>
      <c r="G42" s="573"/>
      <c r="H42" s="574"/>
      <c r="I42" s="575">
        <v>0</v>
      </c>
      <c r="J42" s="574"/>
      <c r="K42" s="576">
        <f t="shared" si="3"/>
        <v>0</v>
      </c>
    </row>
    <row r="43" spans="1:11" ht="13.9" x14ac:dyDescent="0.4">
      <c r="A43" s="357" t="s">
        <v>90</v>
      </c>
      <c r="B43" s="365" t="s">
        <v>10</v>
      </c>
      <c r="C43" s="365"/>
      <c r="D43" s="365"/>
      <c r="F43" s="573"/>
      <c r="G43" s="573"/>
      <c r="H43" s="574"/>
      <c r="I43" s="575">
        <v>0</v>
      </c>
      <c r="J43" s="574"/>
      <c r="K43" s="576">
        <f t="shared" si="3"/>
        <v>0</v>
      </c>
    </row>
    <row r="44" spans="1:11" ht="13.9" x14ac:dyDescent="0.4">
      <c r="A44" s="357" t="s">
        <v>91</v>
      </c>
      <c r="B44" s="988"/>
      <c r="C44" s="989"/>
      <c r="D44" s="990"/>
      <c r="F44" s="581"/>
      <c r="G44" s="581"/>
      <c r="H44" s="581"/>
      <c r="I44" s="582">
        <v>0</v>
      </c>
      <c r="J44" s="581"/>
      <c r="K44" s="583">
        <f t="shared" si="3"/>
        <v>0</v>
      </c>
    </row>
    <row r="45" spans="1:11" ht="13.9" x14ac:dyDescent="0.4">
      <c r="A45" s="357" t="s">
        <v>139</v>
      </c>
      <c r="B45" s="988"/>
      <c r="C45" s="989"/>
      <c r="D45" s="990"/>
      <c r="F45" s="573"/>
      <c r="G45" s="573"/>
      <c r="H45" s="574"/>
      <c r="I45" s="575">
        <v>0</v>
      </c>
      <c r="J45" s="574"/>
      <c r="K45" s="576">
        <f t="shared" si="3"/>
        <v>0</v>
      </c>
    </row>
    <row r="46" spans="1:11" ht="13.9" x14ac:dyDescent="0.4">
      <c r="A46" s="357" t="s">
        <v>140</v>
      </c>
      <c r="B46" s="988"/>
      <c r="C46" s="989"/>
      <c r="D46" s="990"/>
      <c r="F46" s="573"/>
      <c r="G46" s="573"/>
      <c r="H46" s="574"/>
      <c r="I46" s="575">
        <v>0</v>
      </c>
      <c r="J46" s="574"/>
      <c r="K46" s="576">
        <f t="shared" si="3"/>
        <v>0</v>
      </c>
    </row>
    <row r="47" spans="1:11" ht="13.9" x14ac:dyDescent="0.4">
      <c r="A47" s="357" t="s">
        <v>141</v>
      </c>
      <c r="B47" s="988"/>
      <c r="C47" s="989"/>
      <c r="D47" s="990"/>
      <c r="F47" s="573"/>
      <c r="G47" s="573"/>
      <c r="H47" s="574"/>
      <c r="I47" s="575">
        <v>0</v>
      </c>
      <c r="J47" s="574"/>
      <c r="K47" s="576">
        <f t="shared" si="3"/>
        <v>0</v>
      </c>
    </row>
    <row r="49" spans="1:11" ht="13.9" x14ac:dyDescent="0.4">
      <c r="A49" s="354" t="s">
        <v>142</v>
      </c>
      <c r="B49" s="356" t="s">
        <v>143</v>
      </c>
      <c r="E49" s="356" t="s">
        <v>7</v>
      </c>
      <c r="F49" s="584">
        <f t="shared" ref="F49:K49" si="4">SUM(F40:F47)</f>
        <v>214384</v>
      </c>
      <c r="G49" s="584">
        <f t="shared" si="4"/>
        <v>30250</v>
      </c>
      <c r="H49" s="576">
        <f t="shared" si="4"/>
        <v>5640370.8799999999</v>
      </c>
      <c r="I49" s="576">
        <f t="shared" si="4"/>
        <v>0</v>
      </c>
      <c r="J49" s="576">
        <f t="shared" si="4"/>
        <v>2583507.1800000002</v>
      </c>
      <c r="K49" s="576">
        <f t="shared" si="4"/>
        <v>3056863.6999999993</v>
      </c>
    </row>
    <row r="50" spans="1:11" ht="13.9" thickBot="1" x14ac:dyDescent="0.4">
      <c r="G50" s="366"/>
      <c r="H50" s="366"/>
      <c r="I50" s="366"/>
      <c r="J50" s="366"/>
      <c r="K50" s="366"/>
    </row>
    <row r="51" spans="1:11" ht="27.75" x14ac:dyDescent="0.4">
      <c r="F51" s="359" t="s">
        <v>9</v>
      </c>
      <c r="G51" s="359" t="s">
        <v>37</v>
      </c>
      <c r="H51" s="359" t="s">
        <v>29</v>
      </c>
      <c r="I51" s="359" t="s">
        <v>30</v>
      </c>
      <c r="J51" s="359" t="s">
        <v>33</v>
      </c>
      <c r="K51" s="359" t="s">
        <v>34</v>
      </c>
    </row>
    <row r="52" spans="1:11" ht="13.9" x14ac:dyDescent="0.4">
      <c r="A52" s="354" t="s">
        <v>92</v>
      </c>
      <c r="B52" s="992" t="s">
        <v>38</v>
      </c>
      <c r="C52" s="993"/>
    </row>
    <row r="53" spans="1:11" ht="13.9" x14ac:dyDescent="0.4">
      <c r="A53" s="357" t="s">
        <v>51</v>
      </c>
      <c r="B53" s="994" t="s">
        <v>711</v>
      </c>
      <c r="C53" s="995"/>
      <c r="D53" s="990"/>
      <c r="F53" s="573">
        <v>99448</v>
      </c>
      <c r="G53" s="573"/>
      <c r="H53" s="574">
        <v>2837339.641866711</v>
      </c>
      <c r="I53" s="575">
        <v>0</v>
      </c>
      <c r="J53" s="574"/>
      <c r="K53" s="576">
        <f t="shared" ref="K53:K62" si="5">(H53+I53)-J53</f>
        <v>2837339.641866711</v>
      </c>
    </row>
    <row r="54" spans="1:11" ht="13.9" x14ac:dyDescent="0.4">
      <c r="A54" s="357" t="s">
        <v>93</v>
      </c>
      <c r="B54" s="525" t="s">
        <v>712</v>
      </c>
      <c r="C54" s="526"/>
      <c r="D54" s="527"/>
      <c r="F54" s="573">
        <v>33939</v>
      </c>
      <c r="G54" s="573">
        <v>15880.1</v>
      </c>
      <c r="H54" s="574">
        <v>9075269.9090886172</v>
      </c>
      <c r="I54" s="575">
        <v>0</v>
      </c>
      <c r="J54" s="574">
        <v>1281000</v>
      </c>
      <c r="K54" s="576">
        <f t="shared" si="5"/>
        <v>7794269.9090886172</v>
      </c>
    </row>
    <row r="55" spans="1:11" ht="13.9" x14ac:dyDescent="0.4">
      <c r="A55" s="357" t="s">
        <v>94</v>
      </c>
      <c r="B55" s="988" t="s">
        <v>713</v>
      </c>
      <c r="C55" s="989"/>
      <c r="D55" s="990"/>
      <c r="F55" s="573">
        <v>29120</v>
      </c>
      <c r="G55" s="573">
        <v>18949.650000000001</v>
      </c>
      <c r="H55" s="574">
        <v>9264510.2197532561</v>
      </c>
      <c r="I55" s="575">
        <v>0</v>
      </c>
      <c r="J55" s="574">
        <v>2048000</v>
      </c>
      <c r="K55" s="576">
        <f t="shared" si="5"/>
        <v>7216510.2197532561</v>
      </c>
    </row>
    <row r="56" spans="1:11" ht="13.9" x14ac:dyDescent="0.4">
      <c r="A56" s="357" t="s">
        <v>95</v>
      </c>
      <c r="B56" s="988" t="s">
        <v>714</v>
      </c>
      <c r="C56" s="989"/>
      <c r="D56" s="990"/>
      <c r="F56" s="573">
        <v>65310</v>
      </c>
      <c r="G56" s="573">
        <v>5693</v>
      </c>
      <c r="H56" s="574">
        <v>13836359.742383756</v>
      </c>
      <c r="I56" s="575">
        <v>0</v>
      </c>
      <c r="J56" s="574">
        <v>2857000</v>
      </c>
      <c r="K56" s="576">
        <f t="shared" si="5"/>
        <v>10979359.742383756</v>
      </c>
    </row>
    <row r="57" spans="1:11" ht="13.9" x14ac:dyDescent="0.4">
      <c r="A57" s="357" t="s">
        <v>96</v>
      </c>
      <c r="B57" s="988" t="s">
        <v>715</v>
      </c>
      <c r="C57" s="989"/>
      <c r="D57" s="990"/>
      <c r="F57" s="573">
        <v>20519</v>
      </c>
      <c r="G57" s="573">
        <v>4041.45</v>
      </c>
      <c r="H57" s="574">
        <v>3250073.7775289835</v>
      </c>
      <c r="I57" s="575">
        <v>0</v>
      </c>
      <c r="J57" s="574">
        <v>507000</v>
      </c>
      <c r="K57" s="576">
        <f t="shared" si="5"/>
        <v>2743073.7775289835</v>
      </c>
    </row>
    <row r="58" spans="1:11" ht="13.9" x14ac:dyDescent="0.4">
      <c r="A58" s="357" t="s">
        <v>97</v>
      </c>
      <c r="B58" s="525" t="s">
        <v>716</v>
      </c>
      <c r="C58" s="526"/>
      <c r="D58" s="527"/>
      <c r="F58" s="573">
        <v>192</v>
      </c>
      <c r="G58" s="573">
        <v>19896.05</v>
      </c>
      <c r="H58" s="574">
        <v>8841319.6376415193</v>
      </c>
      <c r="I58" s="575">
        <v>0</v>
      </c>
      <c r="J58" s="574">
        <v>2604000</v>
      </c>
      <c r="K58" s="576">
        <f t="shared" si="5"/>
        <v>6237319.6376415193</v>
      </c>
    </row>
    <row r="59" spans="1:11" ht="13.9" x14ac:dyDescent="0.4">
      <c r="A59" s="357" t="s">
        <v>98</v>
      </c>
      <c r="B59" s="988" t="s">
        <v>717</v>
      </c>
      <c r="C59" s="989"/>
      <c r="D59" s="990"/>
      <c r="F59" s="573">
        <v>17756</v>
      </c>
      <c r="G59" s="573"/>
      <c r="H59" s="574">
        <v>1660929.9874827466</v>
      </c>
      <c r="I59" s="575">
        <v>0</v>
      </c>
      <c r="J59" s="574"/>
      <c r="K59" s="576">
        <f t="shared" si="5"/>
        <v>1660929.9874827466</v>
      </c>
    </row>
    <row r="60" spans="1:11" ht="13.9" x14ac:dyDescent="0.4">
      <c r="A60" s="357" t="s">
        <v>99</v>
      </c>
      <c r="B60" s="525" t="s">
        <v>718</v>
      </c>
      <c r="C60" s="526"/>
      <c r="D60" s="527"/>
      <c r="F60" s="573">
        <v>35206</v>
      </c>
      <c r="G60" s="573">
        <v>61156</v>
      </c>
      <c r="H60" s="574">
        <v>1295146.7577158872</v>
      </c>
      <c r="I60" s="575">
        <v>0</v>
      </c>
      <c r="J60" s="574">
        <v>702000</v>
      </c>
      <c r="K60" s="576">
        <f t="shared" si="5"/>
        <v>593146.75771588716</v>
      </c>
    </row>
    <row r="61" spans="1:11" ht="13.9" x14ac:dyDescent="0.4">
      <c r="A61" s="357" t="s">
        <v>100</v>
      </c>
      <c r="B61" s="525" t="s">
        <v>719</v>
      </c>
      <c r="C61" s="526"/>
      <c r="D61" s="527"/>
      <c r="F61" s="573">
        <v>39989</v>
      </c>
      <c r="G61" s="573"/>
      <c r="H61" s="574">
        <v>1715685.3265385169</v>
      </c>
      <c r="I61" s="575">
        <v>0</v>
      </c>
      <c r="J61" s="574">
        <v>164000</v>
      </c>
      <c r="K61" s="576">
        <f t="shared" si="5"/>
        <v>1551685.3265385169</v>
      </c>
    </row>
    <row r="62" spans="1:11" ht="13.9" x14ac:dyDescent="0.4">
      <c r="A62" s="357" t="s">
        <v>101</v>
      </c>
      <c r="B62" s="988" t="s">
        <v>334</v>
      </c>
      <c r="C62" s="989"/>
      <c r="D62" s="990"/>
      <c r="F62" s="573">
        <v>36937</v>
      </c>
      <c r="G62" s="573"/>
      <c r="H62" s="574">
        <v>3534669.0000000005</v>
      </c>
      <c r="I62" s="575">
        <v>0</v>
      </c>
      <c r="J62" s="574"/>
      <c r="K62" s="576">
        <f t="shared" si="5"/>
        <v>3534669.0000000005</v>
      </c>
    </row>
    <row r="63" spans="1:11" ht="13.9" x14ac:dyDescent="0.4">
      <c r="A63" s="357"/>
      <c r="I63" s="585"/>
    </row>
    <row r="64" spans="1:11" ht="13.9" x14ac:dyDescent="0.4">
      <c r="A64" s="357" t="s">
        <v>144</v>
      </c>
      <c r="B64" s="356" t="s">
        <v>145</v>
      </c>
      <c r="E64" s="356" t="s">
        <v>7</v>
      </c>
      <c r="F64" s="578">
        <f t="shared" ref="F64:K64" si="6">SUM(F53:F62)</f>
        <v>378416</v>
      </c>
      <c r="G64" s="578">
        <f t="shared" si="6"/>
        <v>125616.25</v>
      </c>
      <c r="H64" s="576">
        <f t="shared" si="6"/>
        <v>55311304</v>
      </c>
      <c r="I64" s="576">
        <f t="shared" si="6"/>
        <v>0</v>
      </c>
      <c r="J64" s="576">
        <f t="shared" si="6"/>
        <v>10163000</v>
      </c>
      <c r="K64" s="576">
        <f t="shared" si="6"/>
        <v>45148304</v>
      </c>
    </row>
    <row r="65" spans="1:11" ht="13.5" x14ac:dyDescent="0.35">
      <c r="F65" s="369"/>
      <c r="G65" s="369"/>
      <c r="H65" s="369"/>
      <c r="I65" s="369"/>
      <c r="J65" s="369"/>
      <c r="K65" s="369"/>
    </row>
    <row r="66" spans="1:11" ht="27.75" x14ac:dyDescent="0.4">
      <c r="F66" s="371" t="s">
        <v>9</v>
      </c>
      <c r="G66" s="371" t="s">
        <v>37</v>
      </c>
      <c r="H66" s="371" t="s">
        <v>29</v>
      </c>
      <c r="I66" s="371" t="s">
        <v>30</v>
      </c>
      <c r="J66" s="371" t="s">
        <v>33</v>
      </c>
      <c r="K66" s="371" t="s">
        <v>34</v>
      </c>
    </row>
    <row r="67" spans="1:11" ht="13.9" x14ac:dyDescent="0.4">
      <c r="A67" s="354" t="s">
        <v>102</v>
      </c>
      <c r="B67" s="356" t="s">
        <v>12</v>
      </c>
      <c r="F67" s="373"/>
      <c r="G67" s="373"/>
      <c r="H67" s="373"/>
      <c r="I67" s="586"/>
      <c r="J67" s="373"/>
      <c r="K67" s="376"/>
    </row>
    <row r="68" spans="1:11" ht="13.9" x14ac:dyDescent="0.4">
      <c r="A68" s="357" t="s">
        <v>103</v>
      </c>
      <c r="B68" s="350" t="s">
        <v>52</v>
      </c>
      <c r="F68" s="587"/>
      <c r="G68" s="587"/>
      <c r="H68" s="587"/>
      <c r="I68" s="575">
        <v>0</v>
      </c>
      <c r="J68" s="587"/>
      <c r="K68" s="576">
        <f>(H68+I68)-J68</f>
        <v>0</v>
      </c>
    </row>
    <row r="69" spans="1:11" ht="13.9" x14ac:dyDescent="0.4">
      <c r="A69" s="357" t="s">
        <v>104</v>
      </c>
      <c r="B69" s="350" t="s">
        <v>53</v>
      </c>
      <c r="F69" s="587"/>
      <c r="G69" s="587"/>
      <c r="H69" s="587"/>
      <c r="I69" s="575">
        <v>0</v>
      </c>
      <c r="J69" s="587"/>
      <c r="K69" s="576">
        <f>(H69+I69)-J69</f>
        <v>0</v>
      </c>
    </row>
    <row r="70" spans="1:11" ht="13.9" x14ac:dyDescent="0.4">
      <c r="A70" s="357" t="s">
        <v>178</v>
      </c>
      <c r="B70" s="525"/>
      <c r="C70" s="526"/>
      <c r="D70" s="527"/>
      <c r="E70" s="356"/>
      <c r="F70" s="377"/>
      <c r="G70" s="377"/>
      <c r="H70" s="588"/>
      <c r="I70" s="575">
        <v>0</v>
      </c>
      <c r="J70" s="588"/>
      <c r="K70" s="576">
        <f>(H70+I70)-J70</f>
        <v>0</v>
      </c>
    </row>
    <row r="71" spans="1:11" ht="13.9" x14ac:dyDescent="0.4">
      <c r="A71" s="357" t="s">
        <v>179</v>
      </c>
      <c r="B71" s="525"/>
      <c r="C71" s="526"/>
      <c r="D71" s="527"/>
      <c r="E71" s="356"/>
      <c r="F71" s="377"/>
      <c r="G71" s="377"/>
      <c r="H71" s="588"/>
      <c r="I71" s="575">
        <v>0</v>
      </c>
      <c r="J71" s="588"/>
      <c r="K71" s="576">
        <f>(H71+I71)-J71</f>
        <v>0</v>
      </c>
    </row>
    <row r="72" spans="1:11" ht="13.9" x14ac:dyDescent="0.4">
      <c r="A72" s="357" t="s">
        <v>180</v>
      </c>
      <c r="B72" s="379"/>
      <c r="C72" s="380"/>
      <c r="D72" s="381"/>
      <c r="E72" s="356"/>
      <c r="F72" s="573"/>
      <c r="G72" s="573"/>
      <c r="H72" s="574"/>
      <c r="I72" s="575">
        <v>0</v>
      </c>
      <c r="J72" s="574"/>
      <c r="K72" s="576">
        <f>(H72+I72)-J72</f>
        <v>0</v>
      </c>
    </row>
    <row r="73" spans="1:11" ht="13.9" x14ac:dyDescent="0.4">
      <c r="A73" s="357"/>
      <c r="E73" s="356"/>
      <c r="F73" s="382"/>
      <c r="G73" s="382"/>
      <c r="H73" s="589"/>
      <c r="I73" s="586"/>
      <c r="J73" s="589"/>
      <c r="K73" s="376"/>
    </row>
    <row r="74" spans="1:11" ht="13.9" x14ac:dyDescent="0.4">
      <c r="A74" s="354" t="s">
        <v>146</v>
      </c>
      <c r="B74" s="356" t="s">
        <v>147</v>
      </c>
      <c r="E74" s="356" t="s">
        <v>7</v>
      </c>
      <c r="F74" s="590">
        <f t="shared" ref="F74:K74" si="7">SUM(F68:F72)</f>
        <v>0</v>
      </c>
      <c r="G74" s="590">
        <f t="shared" si="7"/>
        <v>0</v>
      </c>
      <c r="H74" s="590">
        <f t="shared" si="7"/>
        <v>0</v>
      </c>
      <c r="I74" s="591">
        <f t="shared" si="7"/>
        <v>0</v>
      </c>
      <c r="J74" s="590">
        <f t="shared" si="7"/>
        <v>0</v>
      </c>
      <c r="K74" s="592">
        <f t="shared" si="7"/>
        <v>0</v>
      </c>
    </row>
    <row r="75" spans="1:11" ht="27.75" x14ac:dyDescent="0.4">
      <c r="F75" s="359" t="s">
        <v>9</v>
      </c>
      <c r="G75" s="359" t="s">
        <v>37</v>
      </c>
      <c r="H75" s="359" t="s">
        <v>29</v>
      </c>
      <c r="I75" s="359" t="s">
        <v>30</v>
      </c>
      <c r="J75" s="359" t="s">
        <v>33</v>
      </c>
      <c r="K75" s="359" t="s">
        <v>34</v>
      </c>
    </row>
    <row r="76" spans="1:11" ht="13.9" x14ac:dyDescent="0.4">
      <c r="A76" s="354" t="s">
        <v>105</v>
      </c>
      <c r="B76" s="356" t="s">
        <v>106</v>
      </c>
    </row>
    <row r="77" spans="1:11" ht="13.9" x14ac:dyDescent="0.4">
      <c r="A77" s="357" t="s">
        <v>107</v>
      </c>
      <c r="B77" s="350" t="s">
        <v>54</v>
      </c>
      <c r="F77" s="573"/>
      <c r="G77" s="573"/>
      <c r="H77" s="574"/>
      <c r="I77" s="575">
        <v>0</v>
      </c>
      <c r="J77" s="574"/>
      <c r="K77" s="576">
        <f>(H77+I77)-J77</f>
        <v>0</v>
      </c>
    </row>
    <row r="78" spans="1:11" ht="13.9" x14ac:dyDescent="0.4">
      <c r="A78" s="357" t="s">
        <v>108</v>
      </c>
      <c r="B78" s="350" t="s">
        <v>55</v>
      </c>
      <c r="F78" s="573"/>
      <c r="G78" s="573"/>
      <c r="H78" s="574"/>
      <c r="I78" s="575">
        <v>0</v>
      </c>
      <c r="J78" s="574"/>
      <c r="K78" s="576">
        <f>(H78+I78)-J78</f>
        <v>0</v>
      </c>
    </row>
    <row r="79" spans="1:11" ht="13.9" x14ac:dyDescent="0.4">
      <c r="A79" s="357" t="s">
        <v>109</v>
      </c>
      <c r="B79" s="350" t="s">
        <v>13</v>
      </c>
      <c r="F79" s="573"/>
      <c r="G79" s="573"/>
      <c r="H79" s="574"/>
      <c r="I79" s="575">
        <v>0</v>
      </c>
      <c r="J79" s="574"/>
      <c r="K79" s="576">
        <f>(H79+I79)-J79</f>
        <v>0</v>
      </c>
    </row>
    <row r="80" spans="1:11" ht="13.9" x14ac:dyDescent="0.4">
      <c r="A80" s="357" t="s">
        <v>110</v>
      </c>
      <c r="B80" s="350" t="s">
        <v>56</v>
      </c>
      <c r="F80" s="573"/>
      <c r="G80" s="573"/>
      <c r="H80" s="574"/>
      <c r="I80" s="575">
        <v>0</v>
      </c>
      <c r="J80" s="574"/>
      <c r="K80" s="576">
        <f>(H80+I80)-J80</f>
        <v>0</v>
      </c>
    </row>
    <row r="81" spans="1:11" ht="13.9" x14ac:dyDescent="0.4">
      <c r="A81" s="357"/>
      <c r="K81" s="593"/>
    </row>
    <row r="82" spans="1:11" ht="13.9" x14ac:dyDescent="0.4">
      <c r="A82" s="357" t="s">
        <v>148</v>
      </c>
      <c r="B82" s="356" t="s">
        <v>149</v>
      </c>
      <c r="E82" s="356" t="s">
        <v>7</v>
      </c>
      <c r="F82" s="590">
        <f t="shared" ref="F82:K82" si="8">SUM(F77:F80)</f>
        <v>0</v>
      </c>
      <c r="G82" s="590">
        <f t="shared" si="8"/>
        <v>0</v>
      </c>
      <c r="H82" s="592">
        <f t="shared" si="8"/>
        <v>0</v>
      </c>
      <c r="I82" s="592">
        <f t="shared" si="8"/>
        <v>0</v>
      </c>
      <c r="J82" s="592">
        <f t="shared" si="8"/>
        <v>0</v>
      </c>
      <c r="K82" s="592">
        <f t="shared" si="8"/>
        <v>0</v>
      </c>
    </row>
    <row r="83" spans="1:11" ht="14.25" thickBot="1" x14ac:dyDescent="0.45">
      <c r="A83" s="357"/>
      <c r="F83" s="366"/>
      <c r="G83" s="366"/>
      <c r="H83" s="366"/>
      <c r="I83" s="366"/>
      <c r="J83" s="366"/>
      <c r="K83" s="366"/>
    </row>
    <row r="84" spans="1:11" ht="27.75" x14ac:dyDescent="0.4">
      <c r="F84" s="359" t="s">
        <v>9</v>
      </c>
      <c r="G84" s="359" t="s">
        <v>37</v>
      </c>
      <c r="H84" s="359" t="s">
        <v>29</v>
      </c>
      <c r="I84" s="359" t="s">
        <v>30</v>
      </c>
      <c r="J84" s="359" t="s">
        <v>33</v>
      </c>
      <c r="K84" s="359" t="s">
        <v>34</v>
      </c>
    </row>
    <row r="85" spans="1:11" ht="13.9" x14ac:dyDescent="0.4">
      <c r="A85" s="354" t="s">
        <v>111</v>
      </c>
      <c r="B85" s="356" t="s">
        <v>57</v>
      </c>
    </row>
    <row r="86" spans="1:11" ht="13.9" x14ac:dyDescent="0.4">
      <c r="A86" s="357" t="s">
        <v>112</v>
      </c>
      <c r="B86" s="350" t="s">
        <v>113</v>
      </c>
      <c r="F86" s="573"/>
      <c r="G86" s="573"/>
      <c r="H86" s="574"/>
      <c r="I86" s="575">
        <f t="shared" ref="I86:I96" si="9">H86*F$114</f>
        <v>0</v>
      </c>
      <c r="J86" s="574"/>
      <c r="K86" s="576">
        <f t="shared" ref="K86:K96" si="10">(H86+I86)-J86</f>
        <v>0</v>
      </c>
    </row>
    <row r="87" spans="1:11" ht="13.9" x14ac:dyDescent="0.4">
      <c r="A87" s="357" t="s">
        <v>114</v>
      </c>
      <c r="B87" s="350" t="s">
        <v>14</v>
      </c>
      <c r="F87" s="573"/>
      <c r="G87" s="573"/>
      <c r="H87" s="574"/>
      <c r="I87" s="575">
        <f t="shared" si="9"/>
        <v>0</v>
      </c>
      <c r="J87" s="574"/>
      <c r="K87" s="576">
        <f t="shared" si="10"/>
        <v>0</v>
      </c>
    </row>
    <row r="88" spans="1:11" ht="13.9" x14ac:dyDescent="0.4">
      <c r="A88" s="357" t="s">
        <v>115</v>
      </c>
      <c r="B88" s="350" t="s">
        <v>116</v>
      </c>
      <c r="F88" s="573"/>
      <c r="G88" s="573"/>
      <c r="H88" s="574"/>
      <c r="I88" s="575">
        <f t="shared" si="9"/>
        <v>0</v>
      </c>
      <c r="J88" s="574"/>
      <c r="K88" s="576">
        <f t="shared" si="10"/>
        <v>0</v>
      </c>
    </row>
    <row r="89" spans="1:11" ht="13.9" x14ac:dyDescent="0.4">
      <c r="A89" s="357" t="s">
        <v>117</v>
      </c>
      <c r="B89" s="350" t="s">
        <v>58</v>
      </c>
      <c r="F89" s="573"/>
      <c r="G89" s="573"/>
      <c r="H89" s="574"/>
      <c r="I89" s="575">
        <f t="shared" si="9"/>
        <v>0</v>
      </c>
      <c r="J89" s="574"/>
      <c r="K89" s="576">
        <f t="shared" si="10"/>
        <v>0</v>
      </c>
    </row>
    <row r="90" spans="1:11" ht="13.9" x14ac:dyDescent="0.4">
      <c r="A90" s="357" t="s">
        <v>118</v>
      </c>
      <c r="B90" s="991" t="s">
        <v>59</v>
      </c>
      <c r="C90" s="991"/>
      <c r="F90" s="573"/>
      <c r="G90" s="573"/>
      <c r="H90" s="574"/>
      <c r="I90" s="575">
        <f t="shared" si="9"/>
        <v>0</v>
      </c>
      <c r="J90" s="574"/>
      <c r="K90" s="576">
        <f t="shared" si="10"/>
        <v>0</v>
      </c>
    </row>
    <row r="91" spans="1:11" ht="13.9" x14ac:dyDescent="0.4">
      <c r="A91" s="357" t="s">
        <v>119</v>
      </c>
      <c r="B91" s="350" t="s">
        <v>60</v>
      </c>
      <c r="F91" s="573">
        <v>195</v>
      </c>
      <c r="G91" s="573"/>
      <c r="H91" s="574">
        <v>24843</v>
      </c>
      <c r="I91" s="575">
        <f t="shared" si="9"/>
        <v>21336.415450963075</v>
      </c>
      <c r="J91" s="574"/>
      <c r="K91" s="576">
        <f t="shared" si="10"/>
        <v>46179.415450963075</v>
      </c>
    </row>
    <row r="92" spans="1:11" ht="13.9" x14ac:dyDescent="0.4">
      <c r="A92" s="357" t="s">
        <v>120</v>
      </c>
      <c r="B92" s="350" t="s">
        <v>121</v>
      </c>
      <c r="F92" s="385"/>
      <c r="G92" s="385"/>
      <c r="H92" s="594"/>
      <c r="I92" s="575">
        <f t="shared" si="9"/>
        <v>0</v>
      </c>
      <c r="J92" s="594"/>
      <c r="K92" s="576">
        <f t="shared" si="10"/>
        <v>0</v>
      </c>
    </row>
    <row r="93" spans="1:11" ht="13.9" x14ac:dyDescent="0.4">
      <c r="A93" s="357" t="s">
        <v>122</v>
      </c>
      <c r="B93" s="350" t="s">
        <v>123</v>
      </c>
      <c r="F93" s="573">
        <v>1232</v>
      </c>
      <c r="G93" s="573"/>
      <c r="H93" s="574">
        <v>39960</v>
      </c>
      <c r="I93" s="575">
        <f t="shared" si="9"/>
        <v>34319.653883205916</v>
      </c>
      <c r="J93" s="574"/>
      <c r="K93" s="576">
        <f t="shared" si="10"/>
        <v>74279.653883205916</v>
      </c>
    </row>
    <row r="94" spans="1:11" ht="13.9" x14ac:dyDescent="0.4">
      <c r="A94" s="357" t="s">
        <v>124</v>
      </c>
      <c r="B94" s="988"/>
      <c r="C94" s="989"/>
      <c r="D94" s="990"/>
      <c r="F94" s="573"/>
      <c r="G94" s="573"/>
      <c r="H94" s="574"/>
      <c r="I94" s="575">
        <f t="shared" si="9"/>
        <v>0</v>
      </c>
      <c r="J94" s="574"/>
      <c r="K94" s="576">
        <f t="shared" si="10"/>
        <v>0</v>
      </c>
    </row>
    <row r="95" spans="1:11" ht="13.9" x14ac:dyDescent="0.4">
      <c r="A95" s="357" t="s">
        <v>125</v>
      </c>
      <c r="B95" s="988"/>
      <c r="C95" s="989"/>
      <c r="D95" s="990"/>
      <c r="F95" s="573"/>
      <c r="G95" s="573"/>
      <c r="H95" s="574"/>
      <c r="I95" s="575">
        <f t="shared" si="9"/>
        <v>0</v>
      </c>
      <c r="J95" s="574"/>
      <c r="K95" s="576">
        <f t="shared" si="10"/>
        <v>0</v>
      </c>
    </row>
    <row r="96" spans="1:11" ht="13.9" x14ac:dyDescent="0.4">
      <c r="A96" s="357" t="s">
        <v>126</v>
      </c>
      <c r="B96" s="988"/>
      <c r="C96" s="989"/>
      <c r="D96" s="990"/>
      <c r="F96" s="573"/>
      <c r="G96" s="573"/>
      <c r="H96" s="574"/>
      <c r="I96" s="575">
        <f t="shared" si="9"/>
        <v>0</v>
      </c>
      <c r="J96" s="574"/>
      <c r="K96" s="576">
        <f t="shared" si="10"/>
        <v>0</v>
      </c>
    </row>
    <row r="97" spans="1:11" ht="13.9" x14ac:dyDescent="0.4">
      <c r="A97" s="357"/>
    </row>
    <row r="98" spans="1:11" ht="13.9" x14ac:dyDescent="0.4">
      <c r="A98" s="354" t="s">
        <v>150</v>
      </c>
      <c r="B98" s="356" t="s">
        <v>151</v>
      </c>
      <c r="E98" s="356" t="s">
        <v>7</v>
      </c>
      <c r="F98" s="578">
        <f t="shared" ref="F98:K98" si="11">SUM(F86:F96)</f>
        <v>1427</v>
      </c>
      <c r="G98" s="578">
        <f t="shared" si="11"/>
        <v>0</v>
      </c>
      <c r="H98" s="578">
        <f t="shared" si="11"/>
        <v>64803</v>
      </c>
      <c r="I98" s="578">
        <f t="shared" si="11"/>
        <v>55656.069334168991</v>
      </c>
      <c r="J98" s="578">
        <f t="shared" si="11"/>
        <v>0</v>
      </c>
      <c r="K98" s="578">
        <f t="shared" si="11"/>
        <v>120459.06933416899</v>
      </c>
    </row>
    <row r="99" spans="1:11" ht="14.25" thickBot="1" x14ac:dyDescent="0.45">
      <c r="B99" s="356"/>
      <c r="F99" s="366"/>
      <c r="G99" s="366"/>
      <c r="H99" s="366"/>
      <c r="I99" s="366"/>
      <c r="J99" s="366"/>
      <c r="K99" s="366"/>
    </row>
    <row r="100" spans="1:11" ht="27.75" x14ac:dyDescent="0.4">
      <c r="F100" s="359" t="s">
        <v>9</v>
      </c>
      <c r="G100" s="359" t="s">
        <v>37</v>
      </c>
      <c r="H100" s="359" t="s">
        <v>29</v>
      </c>
      <c r="I100" s="359" t="s">
        <v>30</v>
      </c>
      <c r="J100" s="359" t="s">
        <v>33</v>
      </c>
      <c r="K100" s="359" t="s">
        <v>34</v>
      </c>
    </row>
    <row r="101" spans="1:11" ht="13.9" x14ac:dyDescent="0.4">
      <c r="A101" s="354" t="s">
        <v>130</v>
      </c>
      <c r="B101" s="356" t="s">
        <v>63</v>
      </c>
    </row>
    <row r="102" spans="1:11" ht="13.9" x14ac:dyDescent="0.4">
      <c r="A102" s="357" t="s">
        <v>131</v>
      </c>
      <c r="B102" s="350" t="s">
        <v>152</v>
      </c>
      <c r="F102" s="573">
        <v>4800</v>
      </c>
      <c r="G102" s="573"/>
      <c r="H102" s="574">
        <v>396827</v>
      </c>
      <c r="I102" s="575">
        <f>H102*F$114</f>
        <v>340814.94723500882</v>
      </c>
      <c r="J102" s="574"/>
      <c r="K102" s="576">
        <f>(H102+I102)-J102</f>
        <v>737641.94723500882</v>
      </c>
    </row>
    <row r="103" spans="1:11" ht="13.9" x14ac:dyDescent="0.4">
      <c r="A103" s="357" t="s">
        <v>132</v>
      </c>
      <c r="B103" s="991" t="s">
        <v>62</v>
      </c>
      <c r="C103" s="991"/>
      <c r="F103" s="573"/>
      <c r="G103" s="573"/>
      <c r="H103" s="574"/>
      <c r="I103" s="575">
        <f>H103*F$114</f>
        <v>0</v>
      </c>
      <c r="J103" s="574"/>
      <c r="K103" s="576">
        <f>(H103+I103)-J103</f>
        <v>0</v>
      </c>
    </row>
    <row r="104" spans="1:11" ht="13.9" x14ac:dyDescent="0.4">
      <c r="A104" s="357" t="s">
        <v>128</v>
      </c>
      <c r="B104" s="988" t="s">
        <v>720</v>
      </c>
      <c r="C104" s="989"/>
      <c r="D104" s="990"/>
      <c r="F104" s="573">
        <v>48</v>
      </c>
      <c r="G104" s="573"/>
      <c r="H104" s="574">
        <v>5000</v>
      </c>
      <c r="I104" s="575">
        <f>H104*F$114</f>
        <v>4294.2509863871264</v>
      </c>
      <c r="J104" s="574"/>
      <c r="K104" s="576">
        <f>(H104+I104)-J104</f>
        <v>9294.2509863871273</v>
      </c>
    </row>
    <row r="105" spans="1:11" ht="13.9" x14ac:dyDescent="0.4">
      <c r="A105" s="357" t="s">
        <v>127</v>
      </c>
      <c r="B105" s="988"/>
      <c r="C105" s="989"/>
      <c r="D105" s="990"/>
      <c r="F105" s="573"/>
      <c r="G105" s="573"/>
      <c r="H105" s="574"/>
      <c r="I105" s="575">
        <f>H105*F$114</f>
        <v>0</v>
      </c>
      <c r="J105" s="574"/>
      <c r="K105" s="576">
        <f>(H105+I105)-J105</f>
        <v>0</v>
      </c>
    </row>
    <row r="106" spans="1:11" ht="13.9" x14ac:dyDescent="0.4">
      <c r="A106" s="357" t="s">
        <v>129</v>
      </c>
      <c r="B106" s="988"/>
      <c r="C106" s="989"/>
      <c r="D106" s="990"/>
      <c r="F106" s="573"/>
      <c r="G106" s="573"/>
      <c r="H106" s="574"/>
      <c r="I106" s="575">
        <f>H106*F$114</f>
        <v>0</v>
      </c>
      <c r="J106" s="574"/>
      <c r="K106" s="576">
        <f>(H106+I106)-J106</f>
        <v>0</v>
      </c>
    </row>
    <row r="107" spans="1:11" ht="13.9" x14ac:dyDescent="0.4">
      <c r="B107" s="356"/>
    </row>
    <row r="108" spans="1:11" s="365" customFormat="1" ht="13.9" x14ac:dyDescent="0.4">
      <c r="A108" s="354" t="s">
        <v>153</v>
      </c>
      <c r="B108" s="386" t="s">
        <v>154</v>
      </c>
      <c r="C108" s="350"/>
      <c r="D108" s="350"/>
      <c r="E108" s="356" t="s">
        <v>7</v>
      </c>
      <c r="F108" s="578">
        <f t="shared" ref="F108:K108" si="12">SUM(F102:F106)</f>
        <v>4848</v>
      </c>
      <c r="G108" s="578">
        <f t="shared" si="12"/>
        <v>0</v>
      </c>
      <c r="H108" s="576">
        <f t="shared" si="12"/>
        <v>401827</v>
      </c>
      <c r="I108" s="576">
        <f t="shared" si="12"/>
        <v>345109.19822139596</v>
      </c>
      <c r="J108" s="576">
        <f t="shared" si="12"/>
        <v>0</v>
      </c>
      <c r="K108" s="576">
        <f t="shared" si="12"/>
        <v>746936.19822139596</v>
      </c>
    </row>
    <row r="109" spans="1:11" s="365" customFormat="1" ht="14.25" thickBot="1" x14ac:dyDescent="0.45">
      <c r="A109" s="387"/>
      <c r="B109" s="388"/>
      <c r="C109" s="389"/>
      <c r="D109" s="389"/>
      <c r="E109" s="389"/>
      <c r="F109" s="366"/>
      <c r="G109" s="366"/>
      <c r="H109" s="366"/>
      <c r="I109" s="366"/>
      <c r="J109" s="366"/>
      <c r="K109" s="366"/>
    </row>
    <row r="110" spans="1:11" s="365" customFormat="1" ht="13.9" x14ac:dyDescent="0.4">
      <c r="A110" s="354" t="s">
        <v>156</v>
      </c>
      <c r="B110" s="356" t="s">
        <v>39</v>
      </c>
      <c r="C110" s="350"/>
      <c r="D110" s="350"/>
      <c r="E110" s="350"/>
      <c r="F110" s="350"/>
      <c r="G110" s="350"/>
      <c r="H110" s="350"/>
      <c r="I110" s="350"/>
      <c r="J110" s="350"/>
      <c r="K110" s="350"/>
    </row>
    <row r="111" spans="1:11" ht="13.9" x14ac:dyDescent="0.4">
      <c r="A111" s="354" t="s">
        <v>155</v>
      </c>
      <c r="B111" s="356" t="s">
        <v>164</v>
      </c>
      <c r="E111" s="356" t="s">
        <v>7</v>
      </c>
      <c r="F111" s="574">
        <v>11417000</v>
      </c>
    </row>
    <row r="112" spans="1:11" ht="13.9" x14ac:dyDescent="0.4">
      <c r="B112" s="356"/>
      <c r="E112" s="356"/>
      <c r="F112" s="595"/>
    </row>
    <row r="113" spans="1:6" ht="13.9" x14ac:dyDescent="0.4">
      <c r="A113" s="354"/>
      <c r="B113" s="356" t="s">
        <v>15</v>
      </c>
    </row>
    <row r="114" spans="1:6" ht="13.9" x14ac:dyDescent="0.4">
      <c r="A114" s="357" t="s">
        <v>171</v>
      </c>
      <c r="B114" s="350" t="s">
        <v>35</v>
      </c>
      <c r="F114" s="596">
        <v>0.85885019727742529</v>
      </c>
    </row>
    <row r="115" spans="1:6" ht="13.9" x14ac:dyDescent="0.4">
      <c r="A115" s="357"/>
      <c r="B115" s="356"/>
    </row>
    <row r="116" spans="1:6" ht="13.9" x14ac:dyDescent="0.4">
      <c r="A116" s="357" t="s">
        <v>170</v>
      </c>
      <c r="B116" s="356" t="s">
        <v>16</v>
      </c>
    </row>
    <row r="117" spans="1:6" ht="13.9" x14ac:dyDescent="0.4">
      <c r="A117" s="357" t="s">
        <v>172</v>
      </c>
      <c r="B117" s="350" t="s">
        <v>17</v>
      </c>
      <c r="F117" s="574">
        <v>311482096.91089714</v>
      </c>
    </row>
    <row r="118" spans="1:6" ht="13.9" x14ac:dyDescent="0.4">
      <c r="A118" s="357" t="s">
        <v>173</v>
      </c>
      <c r="B118" s="350" t="s">
        <v>18</v>
      </c>
      <c r="F118" s="574">
        <v>40026000</v>
      </c>
    </row>
    <row r="119" spans="1:6" ht="13.9" x14ac:dyDescent="0.4">
      <c r="A119" s="357" t="s">
        <v>174</v>
      </c>
      <c r="B119" s="356" t="s">
        <v>19</v>
      </c>
      <c r="F119" s="592">
        <f>SUM(F117:F118)</f>
        <v>351508096.91089714</v>
      </c>
    </row>
    <row r="120" spans="1:6" ht="13.9" x14ac:dyDescent="0.4">
      <c r="A120" s="357"/>
      <c r="B120" s="356"/>
    </row>
    <row r="121" spans="1:6" ht="13.9" x14ac:dyDescent="0.4">
      <c r="A121" s="357" t="s">
        <v>167</v>
      </c>
      <c r="B121" s="356" t="s">
        <v>36</v>
      </c>
      <c r="F121" s="574">
        <v>350398856.96500582</v>
      </c>
    </row>
    <row r="122" spans="1:6" ht="13.9" x14ac:dyDescent="0.4">
      <c r="A122" s="357"/>
    </row>
    <row r="123" spans="1:6" ht="13.9" x14ac:dyDescent="0.4">
      <c r="A123" s="357" t="s">
        <v>175</v>
      </c>
      <c r="B123" s="356" t="s">
        <v>20</v>
      </c>
      <c r="F123" s="574">
        <v>1109239.945891306</v>
      </c>
    </row>
    <row r="124" spans="1:6" ht="13.9" x14ac:dyDescent="0.4">
      <c r="A124" s="357"/>
    </row>
    <row r="125" spans="1:6" ht="13.9" x14ac:dyDescent="0.4">
      <c r="A125" s="357" t="s">
        <v>176</v>
      </c>
      <c r="B125" s="356" t="s">
        <v>21</v>
      </c>
      <c r="F125" s="574">
        <v>579319.17446484731</v>
      </c>
    </row>
    <row r="126" spans="1:6" ht="13.9" x14ac:dyDescent="0.4">
      <c r="A126" s="357"/>
    </row>
    <row r="127" spans="1:6" ht="13.9" x14ac:dyDescent="0.4">
      <c r="A127" s="357" t="s">
        <v>177</v>
      </c>
      <c r="B127" s="356" t="s">
        <v>22</v>
      </c>
      <c r="F127" s="574">
        <v>1688559.1203561532</v>
      </c>
    </row>
    <row r="128" spans="1:6" ht="13.9" x14ac:dyDescent="0.4">
      <c r="A128" s="357"/>
    </row>
    <row r="129" spans="1:11" ht="27.75" x14ac:dyDescent="0.4">
      <c r="F129" s="359" t="s">
        <v>9</v>
      </c>
      <c r="G129" s="359" t="s">
        <v>37</v>
      </c>
      <c r="H129" s="359" t="s">
        <v>29</v>
      </c>
      <c r="I129" s="359" t="s">
        <v>30</v>
      </c>
      <c r="J129" s="359" t="s">
        <v>33</v>
      </c>
      <c r="K129" s="359" t="s">
        <v>34</v>
      </c>
    </row>
    <row r="130" spans="1:11" ht="13.9" x14ac:dyDescent="0.4">
      <c r="A130" s="354" t="s">
        <v>157</v>
      </c>
      <c r="B130" s="356" t="s">
        <v>23</v>
      </c>
    </row>
    <row r="131" spans="1:11" ht="13.9" x14ac:dyDescent="0.4">
      <c r="A131" s="357" t="s">
        <v>158</v>
      </c>
      <c r="B131" s="350" t="s">
        <v>24</v>
      </c>
      <c r="F131" s="573"/>
      <c r="G131" s="573"/>
      <c r="H131" s="574"/>
      <c r="I131" s="575">
        <v>0</v>
      </c>
      <c r="J131" s="574"/>
      <c r="K131" s="576">
        <f>(H131+I131)-J131</f>
        <v>0</v>
      </c>
    </row>
    <row r="132" spans="1:11" ht="13.9" x14ac:dyDescent="0.4">
      <c r="A132" s="357" t="s">
        <v>159</v>
      </c>
      <c r="B132" s="350" t="s">
        <v>25</v>
      </c>
      <c r="F132" s="573"/>
      <c r="G132" s="573"/>
      <c r="H132" s="574"/>
      <c r="I132" s="575">
        <v>0</v>
      </c>
      <c r="J132" s="574"/>
      <c r="K132" s="576">
        <f>(H132+I132)-J132</f>
        <v>0</v>
      </c>
    </row>
    <row r="133" spans="1:11" ht="13.9" x14ac:dyDescent="0.4">
      <c r="A133" s="357" t="s">
        <v>160</v>
      </c>
      <c r="B133" s="988"/>
      <c r="C133" s="989"/>
      <c r="D133" s="990"/>
      <c r="F133" s="573"/>
      <c r="G133" s="573"/>
      <c r="H133" s="574"/>
      <c r="I133" s="575">
        <v>0</v>
      </c>
      <c r="J133" s="574"/>
      <c r="K133" s="576">
        <f>(H133+I133)-J133</f>
        <v>0</v>
      </c>
    </row>
    <row r="134" spans="1:11" ht="13.9" x14ac:dyDescent="0.4">
      <c r="A134" s="357" t="s">
        <v>161</v>
      </c>
      <c r="B134" s="988"/>
      <c r="C134" s="989"/>
      <c r="D134" s="990"/>
      <c r="F134" s="573"/>
      <c r="G134" s="573"/>
      <c r="H134" s="574"/>
      <c r="I134" s="575">
        <v>0</v>
      </c>
      <c r="J134" s="574"/>
      <c r="K134" s="576">
        <f>(H134+I134)-J134</f>
        <v>0</v>
      </c>
    </row>
    <row r="135" spans="1:11" ht="13.9" x14ac:dyDescent="0.4">
      <c r="A135" s="357" t="s">
        <v>162</v>
      </c>
      <c r="B135" s="988"/>
      <c r="C135" s="989"/>
      <c r="D135" s="990"/>
      <c r="F135" s="573"/>
      <c r="G135" s="573"/>
      <c r="H135" s="574"/>
      <c r="I135" s="575">
        <v>0</v>
      </c>
      <c r="J135" s="574"/>
      <c r="K135" s="576">
        <f>(H135+I135)-J135</f>
        <v>0</v>
      </c>
    </row>
    <row r="136" spans="1:11" ht="13.9" x14ac:dyDescent="0.4">
      <c r="A136" s="354"/>
    </row>
    <row r="137" spans="1:11" ht="13.9" x14ac:dyDescent="0.4">
      <c r="A137" s="354" t="s">
        <v>163</v>
      </c>
      <c r="B137" s="356" t="s">
        <v>27</v>
      </c>
      <c r="F137" s="578">
        <f t="shared" ref="F137:K137" si="13">SUM(F131:F135)</f>
        <v>0</v>
      </c>
      <c r="G137" s="578">
        <f t="shared" si="13"/>
        <v>0</v>
      </c>
      <c r="H137" s="576">
        <f t="shared" si="13"/>
        <v>0</v>
      </c>
      <c r="I137" s="576">
        <f t="shared" si="13"/>
        <v>0</v>
      </c>
      <c r="J137" s="576">
        <f t="shared" si="13"/>
        <v>0</v>
      </c>
      <c r="K137" s="576">
        <f t="shared" si="13"/>
        <v>0</v>
      </c>
    </row>
    <row r="138" spans="1:11" ht="13.5" x14ac:dyDescent="0.35">
      <c r="A138" s="350"/>
    </row>
    <row r="139" spans="1:11" ht="27.75" x14ac:dyDescent="0.4">
      <c r="F139" s="359" t="s">
        <v>9</v>
      </c>
      <c r="G139" s="359" t="s">
        <v>37</v>
      </c>
      <c r="H139" s="359" t="s">
        <v>29</v>
      </c>
      <c r="I139" s="359" t="s">
        <v>30</v>
      </c>
      <c r="J139" s="359" t="s">
        <v>33</v>
      </c>
      <c r="K139" s="359" t="s">
        <v>34</v>
      </c>
    </row>
    <row r="140" spans="1:11" ht="13.9" x14ac:dyDescent="0.4">
      <c r="A140" s="354" t="s">
        <v>166</v>
      </c>
      <c r="B140" s="356" t="s">
        <v>26</v>
      </c>
    </row>
    <row r="141" spans="1:11" ht="13.9" x14ac:dyDescent="0.4">
      <c r="A141" s="357" t="s">
        <v>137</v>
      </c>
      <c r="B141" s="356" t="s">
        <v>64</v>
      </c>
      <c r="F141" s="392">
        <f t="shared" ref="F141:K141" si="14">F36</f>
        <v>4369</v>
      </c>
      <c r="G141" s="392">
        <f t="shared" si="14"/>
        <v>11877</v>
      </c>
      <c r="H141" s="392">
        <f t="shared" si="14"/>
        <v>804064.78</v>
      </c>
      <c r="I141" s="392">
        <f t="shared" si="14"/>
        <v>690571.19492682954</v>
      </c>
      <c r="J141" s="392">
        <f t="shared" si="14"/>
        <v>0</v>
      </c>
      <c r="K141" s="392">
        <f t="shared" si="14"/>
        <v>1494635.9749268298</v>
      </c>
    </row>
    <row r="142" spans="1:11" ht="13.9" x14ac:dyDescent="0.4">
      <c r="A142" s="357" t="s">
        <v>142</v>
      </c>
      <c r="B142" s="356" t="s">
        <v>65</v>
      </c>
      <c r="F142" s="392">
        <f t="shared" ref="F142:K142" si="15">F49</f>
        <v>214384</v>
      </c>
      <c r="G142" s="392">
        <f t="shared" si="15"/>
        <v>30250</v>
      </c>
      <c r="H142" s="392">
        <f t="shared" si="15"/>
        <v>5640370.8799999999</v>
      </c>
      <c r="I142" s="392">
        <f t="shared" si="15"/>
        <v>0</v>
      </c>
      <c r="J142" s="392">
        <f t="shared" si="15"/>
        <v>2583507.1800000002</v>
      </c>
      <c r="K142" s="392">
        <f t="shared" si="15"/>
        <v>3056863.6999999993</v>
      </c>
    </row>
    <row r="143" spans="1:11" ht="13.9" x14ac:dyDescent="0.4">
      <c r="A143" s="357" t="s">
        <v>144</v>
      </c>
      <c r="B143" s="356" t="s">
        <v>66</v>
      </c>
      <c r="F143" s="392">
        <f t="shared" ref="F143:K143" si="16">F64</f>
        <v>378416</v>
      </c>
      <c r="G143" s="392">
        <f t="shared" si="16"/>
        <v>125616.25</v>
      </c>
      <c r="H143" s="392">
        <f t="shared" si="16"/>
        <v>55311304</v>
      </c>
      <c r="I143" s="392">
        <f t="shared" si="16"/>
        <v>0</v>
      </c>
      <c r="J143" s="392">
        <f t="shared" si="16"/>
        <v>10163000</v>
      </c>
      <c r="K143" s="392">
        <f t="shared" si="16"/>
        <v>45148304</v>
      </c>
    </row>
    <row r="144" spans="1:11" ht="13.9" x14ac:dyDescent="0.4">
      <c r="A144" s="357" t="s">
        <v>146</v>
      </c>
      <c r="B144" s="356" t="s">
        <v>67</v>
      </c>
      <c r="F144" s="392">
        <f t="shared" ref="F144:K144" si="17">F74</f>
        <v>0</v>
      </c>
      <c r="G144" s="392">
        <f t="shared" si="17"/>
        <v>0</v>
      </c>
      <c r="H144" s="392">
        <f t="shared" si="17"/>
        <v>0</v>
      </c>
      <c r="I144" s="392">
        <f t="shared" si="17"/>
        <v>0</v>
      </c>
      <c r="J144" s="392">
        <f t="shared" si="17"/>
        <v>0</v>
      </c>
      <c r="K144" s="392">
        <f t="shared" si="17"/>
        <v>0</v>
      </c>
    </row>
    <row r="145" spans="1:11" ht="13.9" x14ac:dyDescent="0.4">
      <c r="A145" s="357" t="s">
        <v>148</v>
      </c>
      <c r="B145" s="356" t="s">
        <v>68</v>
      </c>
      <c r="F145" s="392">
        <f t="shared" ref="F145:K145" si="18">F82</f>
        <v>0</v>
      </c>
      <c r="G145" s="392">
        <f t="shared" si="18"/>
        <v>0</v>
      </c>
      <c r="H145" s="392">
        <f t="shared" si="18"/>
        <v>0</v>
      </c>
      <c r="I145" s="392">
        <f t="shared" si="18"/>
        <v>0</v>
      </c>
      <c r="J145" s="392">
        <f t="shared" si="18"/>
        <v>0</v>
      </c>
      <c r="K145" s="392">
        <f t="shared" si="18"/>
        <v>0</v>
      </c>
    </row>
    <row r="146" spans="1:11" ht="13.9" x14ac:dyDescent="0.4">
      <c r="A146" s="357" t="s">
        <v>150</v>
      </c>
      <c r="B146" s="356" t="s">
        <v>69</v>
      </c>
      <c r="F146" s="392">
        <f t="shared" ref="F146:K146" si="19">F98</f>
        <v>1427</v>
      </c>
      <c r="G146" s="392">
        <f t="shared" si="19"/>
        <v>0</v>
      </c>
      <c r="H146" s="392">
        <f t="shared" si="19"/>
        <v>64803</v>
      </c>
      <c r="I146" s="392">
        <f t="shared" si="19"/>
        <v>55656.069334168991</v>
      </c>
      <c r="J146" s="392">
        <f t="shared" si="19"/>
        <v>0</v>
      </c>
      <c r="K146" s="392">
        <f t="shared" si="19"/>
        <v>120459.06933416899</v>
      </c>
    </row>
    <row r="147" spans="1:11" ht="13.9" x14ac:dyDescent="0.4">
      <c r="A147" s="357" t="s">
        <v>153</v>
      </c>
      <c r="B147" s="356" t="s">
        <v>61</v>
      </c>
      <c r="F147" s="578">
        <f t="shared" ref="F147:K147" si="20">F108</f>
        <v>4848</v>
      </c>
      <c r="G147" s="578">
        <f t="shared" si="20"/>
        <v>0</v>
      </c>
      <c r="H147" s="578">
        <f t="shared" si="20"/>
        <v>401827</v>
      </c>
      <c r="I147" s="578">
        <f t="shared" si="20"/>
        <v>345109.19822139596</v>
      </c>
      <c r="J147" s="578">
        <f t="shared" si="20"/>
        <v>0</v>
      </c>
      <c r="K147" s="578">
        <f t="shared" si="20"/>
        <v>746936.19822139596</v>
      </c>
    </row>
    <row r="148" spans="1:11" ht="13.9" x14ac:dyDescent="0.4">
      <c r="A148" s="357" t="s">
        <v>155</v>
      </c>
      <c r="B148" s="356" t="s">
        <v>70</v>
      </c>
      <c r="F148" s="394" t="s">
        <v>73</v>
      </c>
      <c r="G148" s="394" t="s">
        <v>73</v>
      </c>
      <c r="H148" s="597" t="s">
        <v>73</v>
      </c>
      <c r="I148" s="597" t="s">
        <v>73</v>
      </c>
      <c r="J148" s="597" t="s">
        <v>73</v>
      </c>
      <c r="K148" s="396">
        <f>F111</f>
        <v>11417000</v>
      </c>
    </row>
    <row r="149" spans="1:11" ht="13.9" x14ac:dyDescent="0.4">
      <c r="A149" s="357" t="s">
        <v>163</v>
      </c>
      <c r="B149" s="356" t="s">
        <v>71</v>
      </c>
      <c r="F149" s="578">
        <f t="shared" ref="F149:K149" si="21">F137</f>
        <v>0</v>
      </c>
      <c r="G149" s="578">
        <f t="shared" si="21"/>
        <v>0</v>
      </c>
      <c r="H149" s="578">
        <v>0</v>
      </c>
      <c r="I149" s="578">
        <f t="shared" si="21"/>
        <v>0</v>
      </c>
      <c r="J149" s="578">
        <f t="shared" si="21"/>
        <v>0</v>
      </c>
      <c r="K149" s="578">
        <f t="shared" si="21"/>
        <v>0</v>
      </c>
    </row>
    <row r="150" spans="1:11" ht="13.9" x14ac:dyDescent="0.4">
      <c r="A150" s="357" t="s">
        <v>185</v>
      </c>
      <c r="B150" s="356" t="s">
        <v>186</v>
      </c>
      <c r="F150" s="394" t="s">
        <v>73</v>
      </c>
      <c r="G150" s="394" t="s">
        <v>73</v>
      </c>
      <c r="H150" s="578">
        <f>H18</f>
        <v>5777808.5251398627</v>
      </c>
      <c r="I150" s="578">
        <f>I18</f>
        <v>0</v>
      </c>
      <c r="J150" s="578">
        <f>J18</f>
        <v>4803249.1462404085</v>
      </c>
      <c r="K150" s="578">
        <f>K18</f>
        <v>974559.37889945414</v>
      </c>
    </row>
    <row r="151" spans="1:11" ht="13.9" x14ac:dyDescent="0.4">
      <c r="B151" s="356"/>
      <c r="F151" s="369"/>
      <c r="G151" s="369"/>
      <c r="H151" s="369"/>
      <c r="I151" s="369"/>
      <c r="J151" s="369"/>
      <c r="K151" s="369"/>
    </row>
    <row r="152" spans="1:11" ht="13.9" x14ac:dyDescent="0.4">
      <c r="A152" s="354" t="s">
        <v>165</v>
      </c>
      <c r="B152" s="356" t="s">
        <v>26</v>
      </c>
      <c r="F152" s="397">
        <f t="shared" ref="F152:J152" si="22">SUM(F141:F150)</f>
        <v>603444</v>
      </c>
      <c r="G152" s="397">
        <f t="shared" si="22"/>
        <v>167743.25</v>
      </c>
      <c r="H152" s="397">
        <f t="shared" si="22"/>
        <v>68000178.185139865</v>
      </c>
      <c r="I152" s="397">
        <f t="shared" si="22"/>
        <v>1091336.4624823947</v>
      </c>
      <c r="J152" s="397">
        <f t="shared" si="22"/>
        <v>17549756.326240409</v>
      </c>
      <c r="K152" s="397">
        <f>SUM(K141:K150)</f>
        <v>62958758.321381852</v>
      </c>
    </row>
    <row r="153" spans="1:11" ht="18" customHeight="1" x14ac:dyDescent="0.35">
      <c r="H153" s="937"/>
    </row>
    <row r="154" spans="1:11" ht="13.9" x14ac:dyDescent="0.4">
      <c r="A154" s="354" t="s">
        <v>168</v>
      </c>
      <c r="B154" s="356" t="s">
        <v>28</v>
      </c>
      <c r="F154" s="598">
        <f>K152/F121</f>
        <v>0.17967740781662858</v>
      </c>
    </row>
    <row r="155" spans="1:11" ht="13.9" x14ac:dyDescent="0.4">
      <c r="A155" s="354" t="s">
        <v>169</v>
      </c>
      <c r="B155" s="356" t="s">
        <v>72</v>
      </c>
      <c r="F155" s="598">
        <f>K152/F127</f>
        <v>37.285492442871949</v>
      </c>
      <c r="G155" s="356"/>
    </row>
    <row r="156" spans="1:11" ht="13.9" x14ac:dyDescent="0.4">
      <c r="G156" s="356"/>
    </row>
    <row r="165" spans="2:4" ht="13.5" x14ac:dyDescent="0.35">
      <c r="D165" s="350" t="s">
        <v>700</v>
      </c>
    </row>
    <row r="166" spans="2:4" ht="13.5" x14ac:dyDescent="0.35">
      <c r="B166" s="350" t="s">
        <v>0</v>
      </c>
    </row>
    <row r="168" spans="2:4" ht="13.5" x14ac:dyDescent="0.35">
      <c r="B168" s="350" t="s">
        <v>40</v>
      </c>
    </row>
    <row r="169" spans="2:4" ht="13.5" x14ac:dyDescent="0.35">
      <c r="B169" s="350" t="s">
        <v>3</v>
      </c>
    </row>
    <row r="170" spans="2:4" ht="13.5" x14ac:dyDescent="0.35">
      <c r="B170" s="350" t="s">
        <v>4</v>
      </c>
    </row>
    <row r="172" spans="2:4" ht="13.5" x14ac:dyDescent="0.35">
      <c r="B172" s="350" t="s">
        <v>1</v>
      </c>
    </row>
    <row r="173" spans="2:4" ht="13.5" x14ac:dyDescent="0.35">
      <c r="B173" s="350" t="s">
        <v>2</v>
      </c>
    </row>
    <row r="174" spans="2:4" ht="13.5" x14ac:dyDescent="0.35">
      <c r="B174" s="350" t="s">
        <v>32</v>
      </c>
    </row>
    <row r="179" spans="1:11" ht="13.5" x14ac:dyDescent="0.35">
      <c r="A179" s="349" t="s">
        <v>181</v>
      </c>
      <c r="F179" s="350" t="s">
        <v>9</v>
      </c>
      <c r="G179" s="350" t="s">
        <v>37</v>
      </c>
      <c r="H179" s="350" t="s">
        <v>29</v>
      </c>
      <c r="I179" s="350" t="s">
        <v>30</v>
      </c>
      <c r="J179" s="350" t="s">
        <v>33</v>
      </c>
      <c r="K179" s="350" t="s">
        <v>34</v>
      </c>
    </row>
    <row r="180" spans="1:11" ht="13.5" x14ac:dyDescent="0.35">
      <c r="A180" s="349" t="s">
        <v>184</v>
      </c>
      <c r="B180" s="350" t="s">
        <v>182</v>
      </c>
    </row>
    <row r="181" spans="1:11" ht="13.5" x14ac:dyDescent="0.35">
      <c r="A181" s="349" t="s">
        <v>185</v>
      </c>
      <c r="B181" s="350" t="s">
        <v>183</v>
      </c>
      <c r="F181" s="350" t="s">
        <v>73</v>
      </c>
      <c r="G181" s="350" t="s">
        <v>73</v>
      </c>
      <c r="H181" s="350">
        <v>6743620.5200128127</v>
      </c>
      <c r="I181" s="350">
        <v>0</v>
      </c>
      <c r="J181" s="350">
        <v>5606154.8880311437</v>
      </c>
      <c r="K181" s="350">
        <v>1137465.631981669</v>
      </c>
    </row>
    <row r="182" spans="1:11" ht="13.5" x14ac:dyDescent="0.35">
      <c r="A182" s="349" t="s">
        <v>8</v>
      </c>
      <c r="F182" s="350" t="s">
        <v>9</v>
      </c>
      <c r="G182" s="350" t="s">
        <v>37</v>
      </c>
      <c r="H182" s="350" t="s">
        <v>29</v>
      </c>
      <c r="I182" s="350" t="s">
        <v>30</v>
      </c>
      <c r="J182" s="350" t="s">
        <v>33</v>
      </c>
      <c r="K182" s="350" t="s">
        <v>34</v>
      </c>
    </row>
    <row r="183" spans="1:11" ht="13.5" x14ac:dyDescent="0.35">
      <c r="A183" s="349" t="s">
        <v>74</v>
      </c>
      <c r="B183" s="350" t="s">
        <v>41</v>
      </c>
    </row>
    <row r="184" spans="1:11" ht="13.5" x14ac:dyDescent="0.35">
      <c r="A184" s="349" t="s">
        <v>75</v>
      </c>
      <c r="B184" s="350" t="s">
        <v>42</v>
      </c>
      <c r="F184" s="350">
        <v>785</v>
      </c>
      <c r="G184" s="350">
        <v>6600</v>
      </c>
      <c r="H184" s="350">
        <v>147656</v>
      </c>
      <c r="I184" s="350">
        <v>126814.3847291955</v>
      </c>
      <c r="K184" s="350">
        <v>274470.3847291955</v>
      </c>
    </row>
    <row r="185" spans="1:11" ht="13.5" x14ac:dyDescent="0.35">
      <c r="A185" s="349" t="s">
        <v>76</v>
      </c>
      <c r="B185" s="350" t="s">
        <v>6</v>
      </c>
      <c r="F185" s="350">
        <v>238</v>
      </c>
      <c r="G185" s="350">
        <v>520</v>
      </c>
      <c r="H185" s="350">
        <v>8568</v>
      </c>
      <c r="I185" s="350">
        <v>7358.6284902729794</v>
      </c>
      <c r="K185" s="350">
        <v>15926.628490272979</v>
      </c>
    </row>
    <row r="186" spans="1:11" ht="13.5" x14ac:dyDescent="0.35">
      <c r="A186" s="349" t="s">
        <v>77</v>
      </c>
      <c r="B186" s="350" t="s">
        <v>43</v>
      </c>
      <c r="I186" s="350">
        <v>0</v>
      </c>
      <c r="K186" s="350">
        <v>0</v>
      </c>
    </row>
    <row r="187" spans="1:11" ht="13.5" x14ac:dyDescent="0.35">
      <c r="A187" s="349" t="s">
        <v>78</v>
      </c>
      <c r="B187" s="350" t="s">
        <v>44</v>
      </c>
      <c r="I187" s="350">
        <v>0</v>
      </c>
      <c r="K187" s="350">
        <v>0</v>
      </c>
    </row>
    <row r="188" spans="1:11" ht="13.5" x14ac:dyDescent="0.35">
      <c r="A188" s="349" t="s">
        <v>79</v>
      </c>
      <c r="B188" s="350" t="s">
        <v>5</v>
      </c>
      <c r="F188" s="350">
        <v>178</v>
      </c>
      <c r="G188" s="350">
        <v>1700</v>
      </c>
      <c r="H188" s="350">
        <v>6480</v>
      </c>
      <c r="I188" s="350">
        <v>5565.3492783577158</v>
      </c>
      <c r="K188" s="350">
        <v>12045.349278357717</v>
      </c>
    </row>
    <row r="189" spans="1:11" ht="13.5" x14ac:dyDescent="0.35">
      <c r="A189" s="349" t="s">
        <v>80</v>
      </c>
      <c r="B189" s="350" t="s">
        <v>45</v>
      </c>
      <c r="I189" s="350">
        <v>0</v>
      </c>
      <c r="K189" s="350">
        <v>0</v>
      </c>
    </row>
    <row r="190" spans="1:11" ht="13.5" x14ac:dyDescent="0.35">
      <c r="A190" s="349" t="s">
        <v>81</v>
      </c>
      <c r="B190" s="350" t="s">
        <v>498</v>
      </c>
      <c r="I190" s="350">
        <v>0</v>
      </c>
      <c r="K190" s="350">
        <v>0</v>
      </c>
    </row>
    <row r="191" spans="1:11" ht="13.5" x14ac:dyDescent="0.35">
      <c r="A191" s="349" t="s">
        <v>82</v>
      </c>
      <c r="B191" s="350" t="s">
        <v>47</v>
      </c>
      <c r="F191" s="350">
        <v>3168</v>
      </c>
      <c r="G191" s="350">
        <v>400</v>
      </c>
      <c r="H191" s="350">
        <v>122790</v>
      </c>
      <c r="I191" s="350">
        <v>105458.21572369504</v>
      </c>
      <c r="K191" s="350">
        <v>228248.21572369506</v>
      </c>
    </row>
    <row r="192" spans="1:11" ht="13.5" x14ac:dyDescent="0.35">
      <c r="A192" s="349" t="s">
        <v>83</v>
      </c>
      <c r="B192" s="350" t="s">
        <v>48</v>
      </c>
      <c r="G192" s="350">
        <v>2657</v>
      </c>
      <c r="H192" s="350">
        <v>518570.78000000009</v>
      </c>
      <c r="I192" s="350">
        <v>445374.61670530838</v>
      </c>
      <c r="K192" s="350">
        <v>963945.39670530846</v>
      </c>
    </row>
    <row r="193" spans="1:11" ht="13.5" x14ac:dyDescent="0.35">
      <c r="A193" s="349" t="s">
        <v>84</v>
      </c>
      <c r="I193" s="350">
        <v>0</v>
      </c>
      <c r="K193" s="350">
        <v>0</v>
      </c>
    </row>
    <row r="194" spans="1:11" ht="13.5" x14ac:dyDescent="0.35">
      <c r="A194" s="349" t="s">
        <v>133</v>
      </c>
      <c r="I194" s="350">
        <v>0</v>
      </c>
      <c r="K194" s="350">
        <v>0</v>
      </c>
    </row>
    <row r="195" spans="1:11" ht="13.5" x14ac:dyDescent="0.35">
      <c r="A195" s="349" t="s">
        <v>134</v>
      </c>
      <c r="G195" s="350" t="s">
        <v>85</v>
      </c>
      <c r="I195" s="350">
        <v>0</v>
      </c>
      <c r="K195" s="350">
        <v>0</v>
      </c>
    </row>
    <row r="196" spans="1:11" ht="13.5" x14ac:dyDescent="0.35">
      <c r="A196" s="349" t="s">
        <v>135</v>
      </c>
      <c r="G196" s="350" t="s">
        <v>85</v>
      </c>
      <c r="I196" s="350">
        <v>0</v>
      </c>
      <c r="K196" s="350">
        <v>0</v>
      </c>
    </row>
    <row r="197" spans="1:11" ht="13.5" x14ac:dyDescent="0.35">
      <c r="A197" s="349" t="s">
        <v>136</v>
      </c>
      <c r="G197" s="350" t="s">
        <v>85</v>
      </c>
      <c r="I197" s="350">
        <v>0</v>
      </c>
      <c r="K197" s="350">
        <v>0</v>
      </c>
    </row>
    <row r="199" spans="1:11" ht="13.5" x14ac:dyDescent="0.35">
      <c r="A199" s="349" t="s">
        <v>137</v>
      </c>
      <c r="B199" s="350" t="s">
        <v>138</v>
      </c>
      <c r="E199" s="350" t="s">
        <v>7</v>
      </c>
      <c r="F199" s="350">
        <v>4369</v>
      </c>
      <c r="G199" s="350">
        <v>11877</v>
      </c>
      <c r="H199" s="350">
        <v>804064.78</v>
      </c>
      <c r="I199" s="350">
        <v>690571.19492682954</v>
      </c>
      <c r="J199" s="350">
        <v>0</v>
      </c>
      <c r="K199" s="350">
        <v>1494635.9749268298</v>
      </c>
    </row>
    <row r="201" spans="1:11" ht="13.5" x14ac:dyDescent="0.35">
      <c r="F201" s="350" t="s">
        <v>9</v>
      </c>
      <c r="G201" s="350" t="s">
        <v>37</v>
      </c>
      <c r="H201" s="350" t="s">
        <v>29</v>
      </c>
      <c r="I201" s="350" t="s">
        <v>30</v>
      </c>
      <c r="J201" s="350" t="s">
        <v>33</v>
      </c>
      <c r="K201" s="350" t="s">
        <v>34</v>
      </c>
    </row>
    <row r="202" spans="1:11" ht="13.5" x14ac:dyDescent="0.35">
      <c r="A202" s="349" t="s">
        <v>86</v>
      </c>
      <c r="B202" s="350" t="s">
        <v>49</v>
      </c>
    </row>
    <row r="203" spans="1:11" ht="13.5" x14ac:dyDescent="0.35">
      <c r="A203" s="349" t="s">
        <v>87</v>
      </c>
      <c r="B203" s="350" t="s">
        <v>31</v>
      </c>
      <c r="F203" s="350">
        <v>114696</v>
      </c>
      <c r="G203" s="350">
        <v>30250</v>
      </c>
      <c r="H203" s="350">
        <v>4485830.2299999995</v>
      </c>
      <c r="I203" s="350">
        <v>0</v>
      </c>
      <c r="J203" s="350">
        <v>2583507.1800000002</v>
      </c>
      <c r="K203" s="350">
        <v>1902323.0499999993</v>
      </c>
    </row>
    <row r="204" spans="1:11" ht="13.5" x14ac:dyDescent="0.35">
      <c r="A204" s="349" t="s">
        <v>88</v>
      </c>
      <c r="B204" s="350" t="s">
        <v>50</v>
      </c>
      <c r="F204" s="350">
        <v>34408</v>
      </c>
      <c r="H204" s="350">
        <v>1154540.6500000001</v>
      </c>
      <c r="I204" s="350">
        <v>0</v>
      </c>
      <c r="K204" s="350">
        <v>1154540.6500000001</v>
      </c>
    </row>
    <row r="205" spans="1:11" ht="13.5" x14ac:dyDescent="0.35">
      <c r="A205" s="349" t="s">
        <v>89</v>
      </c>
      <c r="B205" s="350" t="s">
        <v>11</v>
      </c>
      <c r="F205" s="350">
        <v>65280</v>
      </c>
      <c r="I205" s="350">
        <v>0</v>
      </c>
      <c r="K205" s="350">
        <v>0</v>
      </c>
    </row>
    <row r="206" spans="1:11" ht="13.5" x14ac:dyDescent="0.35">
      <c r="A206" s="349" t="s">
        <v>90</v>
      </c>
      <c r="B206" s="350" t="s">
        <v>10</v>
      </c>
      <c r="I206" s="350">
        <v>0</v>
      </c>
      <c r="K206" s="350">
        <v>0</v>
      </c>
    </row>
    <row r="207" spans="1:11" ht="13.5" x14ac:dyDescent="0.35">
      <c r="A207" s="349" t="s">
        <v>91</v>
      </c>
      <c r="I207" s="350">
        <v>0</v>
      </c>
      <c r="K207" s="350">
        <v>0</v>
      </c>
    </row>
    <row r="208" spans="1:11" ht="13.5" x14ac:dyDescent="0.35">
      <c r="A208" s="349" t="s">
        <v>139</v>
      </c>
      <c r="I208" s="350">
        <v>0</v>
      </c>
      <c r="K208" s="350">
        <v>0</v>
      </c>
    </row>
    <row r="209" spans="1:11" ht="13.5" x14ac:dyDescent="0.35">
      <c r="A209" s="349" t="s">
        <v>140</v>
      </c>
      <c r="I209" s="350">
        <v>0</v>
      </c>
      <c r="K209" s="350">
        <v>0</v>
      </c>
    </row>
    <row r="210" spans="1:11" ht="13.5" x14ac:dyDescent="0.35">
      <c r="A210" s="349" t="s">
        <v>141</v>
      </c>
      <c r="I210" s="350">
        <v>0</v>
      </c>
      <c r="K210" s="350">
        <v>0</v>
      </c>
    </row>
    <row r="212" spans="1:11" ht="13.5" x14ac:dyDescent="0.35">
      <c r="A212" s="349" t="s">
        <v>142</v>
      </c>
      <c r="B212" s="350" t="s">
        <v>143</v>
      </c>
      <c r="E212" s="350" t="s">
        <v>7</v>
      </c>
      <c r="F212" s="350">
        <v>214384</v>
      </c>
      <c r="G212" s="350">
        <v>30250</v>
      </c>
      <c r="H212" s="350">
        <v>5640370.8799999999</v>
      </c>
      <c r="I212" s="350">
        <v>0</v>
      </c>
      <c r="J212" s="350">
        <v>2583507.1800000002</v>
      </c>
      <c r="K212" s="350">
        <v>3056863.6999999993</v>
      </c>
    </row>
    <row r="214" spans="1:11" ht="13.5" x14ac:dyDescent="0.35">
      <c r="F214" s="350" t="s">
        <v>9</v>
      </c>
      <c r="G214" s="350" t="s">
        <v>37</v>
      </c>
      <c r="H214" s="350" t="s">
        <v>29</v>
      </c>
      <c r="I214" s="350" t="s">
        <v>30</v>
      </c>
      <c r="J214" s="350" t="s">
        <v>33</v>
      </c>
      <c r="K214" s="350" t="s">
        <v>34</v>
      </c>
    </row>
    <row r="215" spans="1:11" ht="13.5" x14ac:dyDescent="0.35">
      <c r="A215" s="349" t="s">
        <v>92</v>
      </c>
      <c r="B215" s="350" t="s">
        <v>38</v>
      </c>
    </row>
    <row r="216" spans="1:11" ht="13.5" x14ac:dyDescent="0.35">
      <c r="A216" s="349" t="s">
        <v>51</v>
      </c>
      <c r="B216" s="350" t="s">
        <v>711</v>
      </c>
      <c r="F216" s="350">
        <v>99448</v>
      </c>
      <c r="H216" s="350">
        <v>2837339.641866711</v>
      </c>
      <c r="I216" s="350">
        <v>0</v>
      </c>
      <c r="K216" s="350">
        <v>2837339.641866711</v>
      </c>
    </row>
    <row r="217" spans="1:11" ht="13.5" x14ac:dyDescent="0.35">
      <c r="A217" s="349" t="s">
        <v>93</v>
      </c>
      <c r="B217" s="350" t="s">
        <v>712</v>
      </c>
      <c r="F217" s="350">
        <v>33939</v>
      </c>
      <c r="G217" s="350">
        <v>15880.1</v>
      </c>
      <c r="H217" s="350">
        <v>9075269.9090886172</v>
      </c>
      <c r="I217" s="350">
        <v>0</v>
      </c>
      <c r="J217" s="350">
        <v>1281000</v>
      </c>
      <c r="K217" s="350">
        <v>7794269.9090886172</v>
      </c>
    </row>
    <row r="218" spans="1:11" ht="13.5" x14ac:dyDescent="0.35">
      <c r="A218" s="349" t="s">
        <v>94</v>
      </c>
      <c r="B218" s="350" t="s">
        <v>713</v>
      </c>
      <c r="F218" s="350">
        <v>29120</v>
      </c>
      <c r="G218" s="350">
        <v>18949.650000000001</v>
      </c>
      <c r="H218" s="350">
        <v>9264510.2197532561</v>
      </c>
      <c r="I218" s="350">
        <v>0</v>
      </c>
      <c r="J218" s="350">
        <v>2048000</v>
      </c>
      <c r="K218" s="350">
        <v>7216510.2197532561</v>
      </c>
    </row>
    <row r="219" spans="1:11" ht="13.5" x14ac:dyDescent="0.35">
      <c r="A219" s="349" t="s">
        <v>95</v>
      </c>
      <c r="B219" s="350" t="s">
        <v>714</v>
      </c>
      <c r="F219" s="350">
        <v>65310</v>
      </c>
      <c r="G219" s="350">
        <v>5693</v>
      </c>
      <c r="H219" s="350">
        <v>13836359.742383756</v>
      </c>
      <c r="I219" s="350">
        <v>0</v>
      </c>
      <c r="J219" s="350">
        <v>2857000</v>
      </c>
      <c r="K219" s="350">
        <v>10979359.742383756</v>
      </c>
    </row>
    <row r="220" spans="1:11" ht="13.5" x14ac:dyDescent="0.35">
      <c r="A220" s="349" t="s">
        <v>96</v>
      </c>
      <c r="B220" s="350" t="s">
        <v>715</v>
      </c>
      <c r="F220" s="350">
        <v>20519</v>
      </c>
      <c r="G220" s="350">
        <v>4041.45</v>
      </c>
      <c r="H220" s="350">
        <v>3250073.7775289835</v>
      </c>
      <c r="I220" s="350">
        <v>0</v>
      </c>
      <c r="J220" s="350">
        <v>507000</v>
      </c>
      <c r="K220" s="350">
        <v>2743073.7775289835</v>
      </c>
    </row>
    <row r="221" spans="1:11" ht="13.5" x14ac:dyDescent="0.35">
      <c r="A221" s="349" t="s">
        <v>97</v>
      </c>
      <c r="B221" s="350" t="s">
        <v>716</v>
      </c>
      <c r="F221" s="350">
        <v>192</v>
      </c>
      <c r="G221" s="350">
        <v>19896.05</v>
      </c>
      <c r="H221" s="350">
        <v>8841319.6376415193</v>
      </c>
      <c r="I221" s="350">
        <v>0</v>
      </c>
      <c r="J221" s="350">
        <v>2604000</v>
      </c>
      <c r="K221" s="350">
        <v>6237319.6376415193</v>
      </c>
    </row>
    <row r="222" spans="1:11" ht="13.5" x14ac:dyDescent="0.35">
      <c r="A222" s="349" t="s">
        <v>98</v>
      </c>
      <c r="B222" s="350" t="s">
        <v>717</v>
      </c>
      <c r="F222" s="350">
        <v>17756</v>
      </c>
      <c r="H222" s="350">
        <v>1660929.9874827466</v>
      </c>
      <c r="I222" s="350">
        <v>0</v>
      </c>
      <c r="K222" s="350">
        <v>1660929.9874827466</v>
      </c>
    </row>
    <row r="223" spans="1:11" ht="13.5" x14ac:dyDescent="0.35">
      <c r="A223" s="349" t="s">
        <v>99</v>
      </c>
      <c r="B223" s="350" t="s">
        <v>718</v>
      </c>
      <c r="F223" s="350">
        <v>35206</v>
      </c>
      <c r="G223" s="350">
        <v>61156</v>
      </c>
      <c r="H223" s="350">
        <v>1295146.7577158872</v>
      </c>
      <c r="I223" s="350">
        <v>0</v>
      </c>
      <c r="J223" s="350">
        <v>702000</v>
      </c>
      <c r="K223" s="350">
        <v>593146.75771588716</v>
      </c>
    </row>
    <row r="224" spans="1:11" ht="13.5" x14ac:dyDescent="0.35">
      <c r="A224" s="349" t="s">
        <v>100</v>
      </c>
      <c r="B224" s="350" t="s">
        <v>719</v>
      </c>
      <c r="F224" s="350">
        <v>39989</v>
      </c>
      <c r="H224" s="350">
        <v>1715685.3265385169</v>
      </c>
      <c r="I224" s="350">
        <v>0</v>
      </c>
      <c r="J224" s="350">
        <v>164000</v>
      </c>
      <c r="K224" s="350">
        <v>1551685.3265385169</v>
      </c>
    </row>
    <row r="225" spans="1:11" ht="13.5" x14ac:dyDescent="0.35">
      <c r="A225" s="349" t="s">
        <v>101</v>
      </c>
      <c r="B225" s="350" t="s">
        <v>334</v>
      </c>
      <c r="F225" s="350">
        <v>36937</v>
      </c>
      <c r="H225" s="350">
        <v>3534669.0000000005</v>
      </c>
      <c r="I225" s="350">
        <v>0</v>
      </c>
      <c r="K225" s="350">
        <v>3534669.0000000005</v>
      </c>
    </row>
    <row r="227" spans="1:11" ht="13.5" x14ac:dyDescent="0.35">
      <c r="A227" s="349" t="s">
        <v>144</v>
      </c>
      <c r="B227" s="350" t="s">
        <v>145</v>
      </c>
      <c r="E227" s="350" t="s">
        <v>7</v>
      </c>
      <c r="F227" s="350">
        <v>378416</v>
      </c>
      <c r="G227" s="350">
        <v>125616.25</v>
      </c>
      <c r="H227" s="350">
        <v>55311304</v>
      </c>
      <c r="I227" s="350">
        <v>0</v>
      </c>
      <c r="J227" s="350">
        <v>10163000</v>
      </c>
      <c r="K227" s="350">
        <v>45148304</v>
      </c>
    </row>
    <row r="229" spans="1:11" ht="13.5" x14ac:dyDescent="0.35">
      <c r="F229" s="350" t="s">
        <v>9</v>
      </c>
      <c r="G229" s="350" t="s">
        <v>37</v>
      </c>
      <c r="H229" s="350" t="s">
        <v>29</v>
      </c>
      <c r="I229" s="350" t="s">
        <v>30</v>
      </c>
      <c r="J229" s="350" t="s">
        <v>33</v>
      </c>
      <c r="K229" s="350" t="s">
        <v>34</v>
      </c>
    </row>
    <row r="230" spans="1:11" ht="13.5" x14ac:dyDescent="0.35">
      <c r="A230" s="349" t="s">
        <v>102</v>
      </c>
      <c r="B230" s="350" t="s">
        <v>12</v>
      </c>
    </row>
    <row r="231" spans="1:11" ht="13.5" x14ac:dyDescent="0.35">
      <c r="A231" s="349" t="s">
        <v>103</v>
      </c>
      <c r="B231" s="350" t="s">
        <v>52</v>
      </c>
      <c r="I231" s="350">
        <v>0</v>
      </c>
      <c r="K231" s="350">
        <v>0</v>
      </c>
    </row>
    <row r="232" spans="1:11" ht="13.5" x14ac:dyDescent="0.35">
      <c r="A232" s="349" t="s">
        <v>104</v>
      </c>
      <c r="B232" s="350" t="s">
        <v>53</v>
      </c>
      <c r="I232" s="350">
        <v>0</v>
      </c>
      <c r="K232" s="350">
        <v>0</v>
      </c>
    </row>
    <row r="233" spans="1:11" ht="13.5" x14ac:dyDescent="0.35">
      <c r="A233" s="349" t="s">
        <v>178</v>
      </c>
      <c r="I233" s="350">
        <v>0</v>
      </c>
      <c r="K233" s="350">
        <v>0</v>
      </c>
    </row>
    <row r="234" spans="1:11" ht="13.5" x14ac:dyDescent="0.35">
      <c r="A234" s="349" t="s">
        <v>179</v>
      </c>
      <c r="I234" s="350">
        <v>0</v>
      </c>
      <c r="K234" s="350">
        <v>0</v>
      </c>
    </row>
    <row r="235" spans="1:11" ht="13.5" x14ac:dyDescent="0.35">
      <c r="A235" s="349" t="s">
        <v>180</v>
      </c>
      <c r="I235" s="350">
        <v>0</v>
      </c>
      <c r="K235" s="350">
        <v>0</v>
      </c>
    </row>
    <row r="237" spans="1:11" ht="13.5" x14ac:dyDescent="0.35">
      <c r="A237" s="349" t="s">
        <v>146</v>
      </c>
      <c r="B237" s="350" t="s">
        <v>147</v>
      </c>
      <c r="E237" s="350" t="s">
        <v>7</v>
      </c>
      <c r="F237" s="350">
        <v>0</v>
      </c>
      <c r="G237" s="350">
        <v>0</v>
      </c>
      <c r="H237" s="350">
        <v>0</v>
      </c>
      <c r="I237" s="350">
        <v>0</v>
      </c>
      <c r="J237" s="350">
        <v>0</v>
      </c>
      <c r="K237" s="350">
        <v>0</v>
      </c>
    </row>
    <row r="238" spans="1:11" ht="13.5" x14ac:dyDescent="0.35">
      <c r="F238" s="350" t="s">
        <v>9</v>
      </c>
      <c r="G238" s="350" t="s">
        <v>37</v>
      </c>
      <c r="H238" s="350" t="s">
        <v>29</v>
      </c>
      <c r="I238" s="350" t="s">
        <v>30</v>
      </c>
      <c r="J238" s="350" t="s">
        <v>33</v>
      </c>
      <c r="K238" s="350" t="s">
        <v>34</v>
      </c>
    </row>
    <row r="239" spans="1:11" ht="13.5" x14ac:dyDescent="0.35">
      <c r="A239" s="349" t="s">
        <v>105</v>
      </c>
      <c r="B239" s="350" t="s">
        <v>106</v>
      </c>
    </row>
    <row r="240" spans="1:11" ht="13.5" x14ac:dyDescent="0.35">
      <c r="A240" s="349" t="s">
        <v>107</v>
      </c>
      <c r="B240" s="350" t="s">
        <v>54</v>
      </c>
      <c r="I240" s="350">
        <v>0</v>
      </c>
      <c r="K240" s="350">
        <v>0</v>
      </c>
    </row>
    <row r="241" spans="1:11" ht="13.5" x14ac:dyDescent="0.35">
      <c r="A241" s="349" t="s">
        <v>108</v>
      </c>
      <c r="B241" s="350" t="s">
        <v>55</v>
      </c>
      <c r="I241" s="350">
        <v>0</v>
      </c>
      <c r="K241" s="350">
        <v>0</v>
      </c>
    </row>
    <row r="242" spans="1:11" ht="13.5" x14ac:dyDescent="0.35">
      <c r="A242" s="349" t="s">
        <v>109</v>
      </c>
      <c r="B242" s="350" t="s">
        <v>13</v>
      </c>
      <c r="I242" s="350">
        <v>0</v>
      </c>
      <c r="K242" s="350">
        <v>0</v>
      </c>
    </row>
    <row r="243" spans="1:11" ht="13.5" x14ac:dyDescent="0.35">
      <c r="A243" s="349" t="s">
        <v>110</v>
      </c>
      <c r="B243" s="350" t="s">
        <v>56</v>
      </c>
      <c r="I243" s="350">
        <v>0</v>
      </c>
      <c r="K243" s="350">
        <v>0</v>
      </c>
    </row>
    <row r="245" spans="1:11" ht="13.5" x14ac:dyDescent="0.35">
      <c r="A245" s="349" t="s">
        <v>148</v>
      </c>
      <c r="B245" s="350" t="s">
        <v>149</v>
      </c>
      <c r="E245" s="350" t="s">
        <v>7</v>
      </c>
      <c r="F245" s="350">
        <v>0</v>
      </c>
      <c r="G245" s="350">
        <v>0</v>
      </c>
      <c r="H245" s="350">
        <v>0</v>
      </c>
      <c r="I245" s="350">
        <v>0</v>
      </c>
      <c r="J245" s="350">
        <v>0</v>
      </c>
      <c r="K245" s="350">
        <v>0</v>
      </c>
    </row>
    <row r="247" spans="1:11" ht="13.5" x14ac:dyDescent="0.35">
      <c r="F247" s="350" t="s">
        <v>9</v>
      </c>
      <c r="G247" s="350" t="s">
        <v>37</v>
      </c>
      <c r="H247" s="350" t="s">
        <v>29</v>
      </c>
      <c r="I247" s="350" t="s">
        <v>30</v>
      </c>
      <c r="J247" s="350" t="s">
        <v>33</v>
      </c>
      <c r="K247" s="350" t="s">
        <v>34</v>
      </c>
    </row>
    <row r="248" spans="1:11" ht="13.5" x14ac:dyDescent="0.35">
      <c r="A248" s="349" t="s">
        <v>111</v>
      </c>
      <c r="B248" s="350" t="s">
        <v>57</v>
      </c>
    </row>
    <row r="249" spans="1:11" ht="13.5" x14ac:dyDescent="0.35">
      <c r="A249" s="349" t="s">
        <v>112</v>
      </c>
      <c r="B249" s="350" t="s">
        <v>113</v>
      </c>
      <c r="I249" s="350">
        <v>0</v>
      </c>
      <c r="K249" s="350">
        <v>0</v>
      </c>
    </row>
    <row r="250" spans="1:11" ht="13.5" x14ac:dyDescent="0.35">
      <c r="A250" s="349" t="s">
        <v>114</v>
      </c>
      <c r="B250" s="350" t="s">
        <v>14</v>
      </c>
      <c r="I250" s="350">
        <v>0</v>
      </c>
      <c r="K250" s="350">
        <v>0</v>
      </c>
    </row>
    <row r="251" spans="1:11" ht="13.5" x14ac:dyDescent="0.35">
      <c r="A251" s="349" t="s">
        <v>115</v>
      </c>
      <c r="B251" s="350" t="s">
        <v>116</v>
      </c>
      <c r="I251" s="350">
        <v>0</v>
      </c>
      <c r="K251" s="350">
        <v>0</v>
      </c>
    </row>
    <row r="252" spans="1:11" ht="13.5" x14ac:dyDescent="0.35">
      <c r="A252" s="349" t="s">
        <v>117</v>
      </c>
      <c r="B252" s="350" t="s">
        <v>58</v>
      </c>
      <c r="I252" s="350">
        <v>0</v>
      </c>
      <c r="K252" s="350">
        <v>0</v>
      </c>
    </row>
    <row r="253" spans="1:11" ht="13.5" x14ac:dyDescent="0.35">
      <c r="A253" s="349" t="s">
        <v>118</v>
      </c>
      <c r="B253" s="350" t="s">
        <v>59</v>
      </c>
      <c r="I253" s="350">
        <v>0</v>
      </c>
      <c r="K253" s="350">
        <v>0</v>
      </c>
    </row>
    <row r="254" spans="1:11" ht="13.5" x14ac:dyDescent="0.35">
      <c r="A254" s="349" t="s">
        <v>119</v>
      </c>
      <c r="B254" s="350" t="s">
        <v>60</v>
      </c>
      <c r="F254" s="350">
        <v>195</v>
      </c>
      <c r="H254" s="350">
        <v>24843</v>
      </c>
      <c r="I254" s="350">
        <v>21336.415450963075</v>
      </c>
      <c r="K254" s="350">
        <v>46179.415450963075</v>
      </c>
    </row>
    <row r="255" spans="1:11" ht="13.5" x14ac:dyDescent="0.35">
      <c r="A255" s="349" t="s">
        <v>120</v>
      </c>
      <c r="B255" s="350" t="s">
        <v>121</v>
      </c>
      <c r="I255" s="350">
        <v>0</v>
      </c>
      <c r="K255" s="350">
        <v>0</v>
      </c>
    </row>
    <row r="256" spans="1:11" ht="13.5" x14ac:dyDescent="0.35">
      <c r="A256" s="349" t="s">
        <v>122</v>
      </c>
      <c r="B256" s="350" t="s">
        <v>123</v>
      </c>
      <c r="F256" s="350">
        <v>1232</v>
      </c>
      <c r="H256" s="350">
        <v>39960</v>
      </c>
      <c r="I256" s="350">
        <v>34319.653883205916</v>
      </c>
      <c r="K256" s="350">
        <v>74279.653883205916</v>
      </c>
    </row>
    <row r="257" spans="1:11" ht="13.5" x14ac:dyDescent="0.35">
      <c r="A257" s="349" t="s">
        <v>124</v>
      </c>
      <c r="I257" s="350">
        <v>0</v>
      </c>
      <c r="K257" s="350">
        <v>0</v>
      </c>
    </row>
    <row r="258" spans="1:11" ht="13.5" x14ac:dyDescent="0.35">
      <c r="A258" s="349" t="s">
        <v>125</v>
      </c>
      <c r="I258" s="350">
        <v>0</v>
      </c>
      <c r="K258" s="350">
        <v>0</v>
      </c>
    </row>
    <row r="259" spans="1:11" ht="13.5" x14ac:dyDescent="0.35">
      <c r="A259" s="349" t="s">
        <v>126</v>
      </c>
      <c r="I259" s="350">
        <v>0</v>
      </c>
      <c r="K259" s="350">
        <v>0</v>
      </c>
    </row>
    <row r="261" spans="1:11" ht="13.5" x14ac:dyDescent="0.35">
      <c r="A261" s="349" t="s">
        <v>150</v>
      </c>
      <c r="B261" s="350" t="s">
        <v>151</v>
      </c>
      <c r="E261" s="350" t="s">
        <v>7</v>
      </c>
      <c r="F261" s="350">
        <v>1427</v>
      </c>
      <c r="G261" s="350">
        <v>0</v>
      </c>
      <c r="H261" s="350">
        <v>64803</v>
      </c>
      <c r="I261" s="350">
        <v>55656.069334168991</v>
      </c>
      <c r="J261" s="350">
        <v>0</v>
      </c>
      <c r="K261" s="350">
        <v>120459.06933416899</v>
      </c>
    </row>
    <row r="263" spans="1:11" ht="13.5" x14ac:dyDescent="0.35">
      <c r="F263" s="350" t="s">
        <v>9</v>
      </c>
      <c r="G263" s="350" t="s">
        <v>37</v>
      </c>
      <c r="H263" s="350" t="s">
        <v>29</v>
      </c>
      <c r="I263" s="350" t="s">
        <v>30</v>
      </c>
      <c r="J263" s="350" t="s">
        <v>33</v>
      </c>
      <c r="K263" s="350" t="s">
        <v>34</v>
      </c>
    </row>
    <row r="264" spans="1:11" ht="13.5" x14ac:dyDescent="0.35">
      <c r="A264" s="349" t="s">
        <v>130</v>
      </c>
      <c r="B264" s="350" t="s">
        <v>63</v>
      </c>
    </row>
    <row r="265" spans="1:11" ht="13.5" x14ac:dyDescent="0.35">
      <c r="A265" s="349" t="s">
        <v>131</v>
      </c>
      <c r="B265" s="350" t="s">
        <v>152</v>
      </c>
      <c r="F265" s="350">
        <v>4800</v>
      </c>
      <c r="H265" s="350">
        <v>396827</v>
      </c>
      <c r="I265" s="350">
        <v>340814.94723500882</v>
      </c>
      <c r="K265" s="350">
        <v>737641.94723500882</v>
      </c>
    </row>
    <row r="266" spans="1:11" ht="13.5" x14ac:dyDescent="0.35">
      <c r="A266" s="349" t="s">
        <v>132</v>
      </c>
      <c r="B266" s="350" t="s">
        <v>62</v>
      </c>
      <c r="I266" s="350">
        <v>0</v>
      </c>
      <c r="K266" s="350">
        <v>0</v>
      </c>
    </row>
    <row r="267" spans="1:11" ht="13.5" x14ac:dyDescent="0.35">
      <c r="A267" s="349" t="s">
        <v>128</v>
      </c>
      <c r="B267" s="350" t="s">
        <v>720</v>
      </c>
      <c r="F267" s="350">
        <v>48</v>
      </c>
      <c r="H267" s="350">
        <v>5000</v>
      </c>
      <c r="I267" s="350">
        <v>4294.2509863871264</v>
      </c>
      <c r="K267" s="350">
        <v>9294.2509863871273</v>
      </c>
    </row>
    <row r="268" spans="1:11" ht="13.5" x14ac:dyDescent="0.35">
      <c r="A268" s="349" t="s">
        <v>127</v>
      </c>
      <c r="I268" s="350">
        <v>0</v>
      </c>
      <c r="K268" s="350">
        <v>0</v>
      </c>
    </row>
    <row r="269" spans="1:11" ht="13.5" x14ac:dyDescent="0.35">
      <c r="A269" s="349" t="s">
        <v>129</v>
      </c>
      <c r="I269" s="350">
        <v>0</v>
      </c>
      <c r="K269" s="350">
        <v>0</v>
      </c>
    </row>
    <row r="271" spans="1:11" ht="13.5" x14ac:dyDescent="0.35">
      <c r="A271" s="349" t="s">
        <v>153</v>
      </c>
      <c r="B271" s="350" t="s">
        <v>154</v>
      </c>
      <c r="E271" s="350" t="s">
        <v>7</v>
      </c>
      <c r="F271" s="350">
        <v>4848</v>
      </c>
      <c r="G271" s="350">
        <v>0</v>
      </c>
      <c r="H271" s="350">
        <v>401827</v>
      </c>
      <c r="I271" s="350">
        <v>345109.19822139596</v>
      </c>
      <c r="J271" s="350">
        <v>0</v>
      </c>
      <c r="K271" s="350">
        <v>746936.19822139596</v>
      </c>
    </row>
    <row r="273" spans="1:6" ht="13.5" x14ac:dyDescent="0.35">
      <c r="A273" s="349" t="s">
        <v>156</v>
      </c>
      <c r="B273" s="350" t="s">
        <v>39</v>
      </c>
    </row>
    <row r="274" spans="1:6" ht="13.5" x14ac:dyDescent="0.35">
      <c r="A274" s="349" t="s">
        <v>155</v>
      </c>
      <c r="B274" s="350" t="s">
        <v>164</v>
      </c>
      <c r="E274" s="350" t="s">
        <v>7</v>
      </c>
      <c r="F274" s="350">
        <v>11417000</v>
      </c>
    </row>
    <row r="276" spans="1:6" ht="13.5" x14ac:dyDescent="0.35">
      <c r="B276" s="350" t="s">
        <v>15</v>
      </c>
    </row>
    <row r="277" spans="1:6" ht="13.5" x14ac:dyDescent="0.35">
      <c r="A277" s="349" t="s">
        <v>171</v>
      </c>
      <c r="B277" s="350" t="s">
        <v>35</v>
      </c>
      <c r="F277" s="350">
        <v>0.85885019727742529</v>
      </c>
    </row>
    <row r="279" spans="1:6" ht="13.5" x14ac:dyDescent="0.35">
      <c r="A279" s="349" t="s">
        <v>170</v>
      </c>
      <c r="B279" s="350" t="s">
        <v>16</v>
      </c>
    </row>
    <row r="280" spans="1:6" ht="13.5" x14ac:dyDescent="0.35">
      <c r="A280" s="349" t="s">
        <v>172</v>
      </c>
      <c r="B280" s="350" t="s">
        <v>17</v>
      </c>
      <c r="F280" s="350">
        <v>311482096.91089714</v>
      </c>
    </row>
    <row r="281" spans="1:6" ht="13.5" x14ac:dyDescent="0.35">
      <c r="A281" s="349" t="s">
        <v>173</v>
      </c>
      <c r="B281" s="350" t="s">
        <v>18</v>
      </c>
      <c r="F281" s="350">
        <v>40026000</v>
      </c>
    </row>
    <row r="282" spans="1:6" ht="13.5" x14ac:dyDescent="0.35">
      <c r="A282" s="349" t="s">
        <v>174</v>
      </c>
      <c r="B282" s="350" t="s">
        <v>19</v>
      </c>
      <c r="F282" s="350">
        <v>351508096.91089714</v>
      </c>
    </row>
    <row r="284" spans="1:6" ht="13.5" x14ac:dyDescent="0.35">
      <c r="A284" s="349" t="s">
        <v>167</v>
      </c>
      <c r="B284" s="350" t="s">
        <v>36</v>
      </c>
      <c r="F284" s="350">
        <v>350398856.96500582</v>
      </c>
    </row>
    <row r="286" spans="1:6" ht="13.5" x14ac:dyDescent="0.35">
      <c r="A286" s="349" t="s">
        <v>175</v>
      </c>
      <c r="B286" s="350" t="s">
        <v>20</v>
      </c>
      <c r="F286" s="350">
        <v>1109239.945891306</v>
      </c>
    </row>
    <row r="288" spans="1:6" ht="13.5" x14ac:dyDescent="0.35">
      <c r="A288" s="349" t="s">
        <v>176</v>
      </c>
      <c r="B288" s="350" t="s">
        <v>21</v>
      </c>
      <c r="F288" s="350">
        <v>579319.17446484731</v>
      </c>
    </row>
    <row r="290" spans="1:11" ht="13.5" x14ac:dyDescent="0.35">
      <c r="A290" s="349" t="s">
        <v>177</v>
      </c>
      <c r="B290" s="350" t="s">
        <v>22</v>
      </c>
      <c r="F290" s="350">
        <v>1688559.1203561532</v>
      </c>
    </row>
    <row r="292" spans="1:11" ht="13.5" x14ac:dyDescent="0.35">
      <c r="F292" s="350" t="s">
        <v>9</v>
      </c>
      <c r="G292" s="350" t="s">
        <v>37</v>
      </c>
      <c r="H292" s="350" t="s">
        <v>29</v>
      </c>
      <c r="I292" s="350" t="s">
        <v>30</v>
      </c>
      <c r="J292" s="350" t="s">
        <v>33</v>
      </c>
      <c r="K292" s="350" t="s">
        <v>34</v>
      </c>
    </row>
    <row r="293" spans="1:11" ht="13.5" x14ac:dyDescent="0.35">
      <c r="A293" s="349" t="s">
        <v>157</v>
      </c>
      <c r="B293" s="350" t="s">
        <v>23</v>
      </c>
    </row>
    <row r="294" spans="1:11" ht="13.5" x14ac:dyDescent="0.35">
      <c r="A294" s="349" t="s">
        <v>158</v>
      </c>
      <c r="B294" s="350" t="s">
        <v>24</v>
      </c>
      <c r="I294" s="350">
        <v>0</v>
      </c>
      <c r="K294" s="350">
        <v>0</v>
      </c>
    </row>
    <row r="295" spans="1:11" ht="13.5" x14ac:dyDescent="0.35">
      <c r="A295" s="349" t="s">
        <v>159</v>
      </c>
      <c r="B295" s="350" t="s">
        <v>25</v>
      </c>
      <c r="I295" s="350">
        <v>0</v>
      </c>
      <c r="K295" s="350">
        <v>0</v>
      </c>
    </row>
    <row r="296" spans="1:11" ht="13.5" x14ac:dyDescent="0.35">
      <c r="A296" s="349" t="s">
        <v>160</v>
      </c>
      <c r="I296" s="350">
        <v>0</v>
      </c>
      <c r="K296" s="350">
        <v>0</v>
      </c>
    </row>
    <row r="297" spans="1:11" ht="13.5" x14ac:dyDescent="0.35">
      <c r="A297" s="349" t="s">
        <v>161</v>
      </c>
      <c r="I297" s="350">
        <v>0</v>
      </c>
      <c r="K297" s="350">
        <v>0</v>
      </c>
    </row>
    <row r="298" spans="1:11" ht="13.5" x14ac:dyDescent="0.35">
      <c r="A298" s="349" t="s">
        <v>162</v>
      </c>
      <c r="I298" s="350">
        <v>0</v>
      </c>
      <c r="K298" s="350">
        <v>0</v>
      </c>
    </row>
    <row r="300" spans="1:11" ht="13.5" x14ac:dyDescent="0.35">
      <c r="A300" s="349" t="s">
        <v>163</v>
      </c>
      <c r="B300" s="350" t="s">
        <v>27</v>
      </c>
      <c r="F300" s="350">
        <v>0</v>
      </c>
      <c r="G300" s="350">
        <v>0</v>
      </c>
      <c r="H300" s="350">
        <v>0</v>
      </c>
      <c r="I300" s="350">
        <v>0</v>
      </c>
      <c r="J300" s="350">
        <v>0</v>
      </c>
      <c r="K300" s="350">
        <v>0</v>
      </c>
    </row>
    <row r="302" spans="1:11" ht="13.5" x14ac:dyDescent="0.35">
      <c r="F302" s="350" t="s">
        <v>9</v>
      </c>
      <c r="G302" s="350" t="s">
        <v>37</v>
      </c>
      <c r="H302" s="350" t="s">
        <v>29</v>
      </c>
      <c r="I302" s="350" t="s">
        <v>30</v>
      </c>
      <c r="J302" s="350" t="s">
        <v>33</v>
      </c>
      <c r="K302" s="350" t="s">
        <v>34</v>
      </c>
    </row>
    <row r="303" spans="1:11" ht="13.5" x14ac:dyDescent="0.35">
      <c r="A303" s="349" t="s">
        <v>166</v>
      </c>
      <c r="B303" s="350" t="s">
        <v>26</v>
      </c>
    </row>
    <row r="304" spans="1:11" ht="13.5" x14ac:dyDescent="0.35">
      <c r="A304" s="349" t="s">
        <v>137</v>
      </c>
      <c r="B304" s="350" t="s">
        <v>64</v>
      </c>
      <c r="F304" s="350">
        <v>4369</v>
      </c>
      <c r="G304" s="350">
        <v>11877</v>
      </c>
      <c r="H304" s="350">
        <v>804064.78</v>
      </c>
      <c r="I304" s="350">
        <v>690571.19492682954</v>
      </c>
      <c r="J304" s="350">
        <v>0</v>
      </c>
      <c r="K304" s="350">
        <v>1494635.9749268298</v>
      </c>
    </row>
    <row r="305" spans="1:11" ht="13.5" x14ac:dyDescent="0.35">
      <c r="A305" s="349" t="s">
        <v>142</v>
      </c>
      <c r="B305" s="350" t="s">
        <v>65</v>
      </c>
      <c r="F305" s="350">
        <v>214384</v>
      </c>
      <c r="G305" s="350">
        <v>30250</v>
      </c>
      <c r="H305" s="350">
        <v>5640370.8799999999</v>
      </c>
      <c r="I305" s="350">
        <v>0</v>
      </c>
      <c r="J305" s="350">
        <v>2583507.1800000002</v>
      </c>
      <c r="K305" s="350">
        <v>3056863.6999999993</v>
      </c>
    </row>
    <row r="306" spans="1:11" ht="13.5" x14ac:dyDescent="0.35">
      <c r="A306" s="349" t="s">
        <v>144</v>
      </c>
      <c r="B306" s="350" t="s">
        <v>66</v>
      </c>
      <c r="F306" s="350">
        <v>378416</v>
      </c>
      <c r="G306" s="350">
        <v>125616.25</v>
      </c>
      <c r="H306" s="350">
        <v>55311304</v>
      </c>
      <c r="I306" s="350">
        <v>0</v>
      </c>
      <c r="J306" s="350">
        <v>10163000</v>
      </c>
      <c r="K306" s="350">
        <v>45148304</v>
      </c>
    </row>
    <row r="307" spans="1:11" ht="13.5" x14ac:dyDescent="0.35">
      <c r="A307" s="349" t="s">
        <v>146</v>
      </c>
      <c r="B307" s="350" t="s">
        <v>67</v>
      </c>
      <c r="F307" s="350">
        <v>0</v>
      </c>
      <c r="G307" s="350">
        <v>0</v>
      </c>
      <c r="H307" s="350">
        <v>0</v>
      </c>
      <c r="I307" s="350">
        <v>0</v>
      </c>
      <c r="J307" s="350">
        <v>0</v>
      </c>
      <c r="K307" s="350">
        <v>0</v>
      </c>
    </row>
    <row r="308" spans="1:11" ht="13.5" x14ac:dyDescent="0.35">
      <c r="A308" s="349" t="s">
        <v>148</v>
      </c>
      <c r="B308" s="350" t="s">
        <v>68</v>
      </c>
      <c r="F308" s="350">
        <v>0</v>
      </c>
      <c r="G308" s="350">
        <v>0</v>
      </c>
      <c r="H308" s="350">
        <v>0</v>
      </c>
      <c r="I308" s="350">
        <v>0</v>
      </c>
      <c r="J308" s="350">
        <v>0</v>
      </c>
      <c r="K308" s="350">
        <v>0</v>
      </c>
    </row>
    <row r="309" spans="1:11" ht="13.5" x14ac:dyDescent="0.35">
      <c r="A309" s="349" t="s">
        <v>150</v>
      </c>
      <c r="B309" s="350" t="s">
        <v>69</v>
      </c>
      <c r="F309" s="350">
        <v>1427</v>
      </c>
      <c r="G309" s="350">
        <v>0</v>
      </c>
      <c r="H309" s="350">
        <v>64803</v>
      </c>
      <c r="I309" s="350">
        <v>55656.069334168991</v>
      </c>
      <c r="J309" s="350">
        <v>0</v>
      </c>
      <c r="K309" s="350">
        <v>120459.06933416899</v>
      </c>
    </row>
    <row r="310" spans="1:11" ht="13.5" x14ac:dyDescent="0.35">
      <c r="A310" s="349" t="s">
        <v>153</v>
      </c>
      <c r="B310" s="350" t="s">
        <v>61</v>
      </c>
      <c r="F310" s="350">
        <v>4848</v>
      </c>
      <c r="G310" s="350">
        <v>0</v>
      </c>
      <c r="H310" s="350">
        <v>401827</v>
      </c>
      <c r="I310" s="350">
        <v>345109.19822139596</v>
      </c>
      <c r="J310" s="350">
        <v>0</v>
      </c>
      <c r="K310" s="350">
        <v>746936.19822139596</v>
      </c>
    </row>
    <row r="311" spans="1:11" ht="13.5" x14ac:dyDescent="0.35">
      <c r="A311" s="349" t="s">
        <v>155</v>
      </c>
      <c r="B311" s="350" t="s">
        <v>70</v>
      </c>
      <c r="F311" s="350" t="s">
        <v>73</v>
      </c>
      <c r="G311" s="350" t="s">
        <v>73</v>
      </c>
      <c r="H311" s="350" t="s">
        <v>73</v>
      </c>
      <c r="I311" s="350" t="s">
        <v>73</v>
      </c>
      <c r="J311" s="350" t="s">
        <v>73</v>
      </c>
      <c r="K311" s="350">
        <v>11417000</v>
      </c>
    </row>
    <row r="312" spans="1:11" ht="13.5" x14ac:dyDescent="0.35">
      <c r="A312" s="349" t="s">
        <v>163</v>
      </c>
      <c r="B312" s="350" t="s">
        <v>71</v>
      </c>
      <c r="F312" s="350">
        <v>0</v>
      </c>
      <c r="G312" s="350">
        <v>0</v>
      </c>
      <c r="H312" s="350">
        <v>131225</v>
      </c>
      <c r="I312" s="350">
        <v>0</v>
      </c>
      <c r="J312" s="350">
        <v>0</v>
      </c>
      <c r="K312" s="350">
        <v>0</v>
      </c>
    </row>
    <row r="313" spans="1:11" ht="13.5" x14ac:dyDescent="0.35">
      <c r="A313" s="349" t="s">
        <v>185</v>
      </c>
      <c r="B313" s="350" t="s">
        <v>186</v>
      </c>
      <c r="F313" s="350" t="s">
        <v>73</v>
      </c>
      <c r="G313" s="350" t="s">
        <v>73</v>
      </c>
      <c r="H313" s="350">
        <v>6743620.5200128127</v>
      </c>
      <c r="I313" s="350">
        <v>0</v>
      </c>
      <c r="J313" s="350">
        <v>5606154.8880311437</v>
      </c>
      <c r="K313" s="350">
        <v>1137465.631981669</v>
      </c>
    </row>
    <row r="315" spans="1:11" ht="13.5" x14ac:dyDescent="0.35">
      <c r="A315" s="349" t="s">
        <v>165</v>
      </c>
      <c r="B315" s="350" t="s">
        <v>26</v>
      </c>
      <c r="F315" s="350">
        <v>603444</v>
      </c>
      <c r="G315" s="350">
        <v>167743.25</v>
      </c>
      <c r="H315" s="350">
        <v>69097215.180012807</v>
      </c>
      <c r="I315" s="350">
        <v>1091336.4624823947</v>
      </c>
      <c r="J315" s="350">
        <v>18352662.068031143</v>
      </c>
      <c r="K315" s="350">
        <v>63121664.574464068</v>
      </c>
    </row>
    <row r="317" spans="1:11" ht="13.5" x14ac:dyDescent="0.35">
      <c r="A317" s="349" t="s">
        <v>168</v>
      </c>
      <c r="B317" s="350" t="s">
        <v>28</v>
      </c>
      <c r="F317" s="350">
        <v>0.1801423244390549</v>
      </c>
    </row>
    <row r="318" spans="1:11" ht="13.5" x14ac:dyDescent="0.35">
      <c r="A318" s="349" t="s">
        <v>169</v>
      </c>
      <c r="B318" s="350" t="s">
        <v>72</v>
      </c>
      <c r="F318" s="350">
        <v>37.381968930498779</v>
      </c>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94:D94"/>
    <mergeCell ref="B52:C52"/>
    <mergeCell ref="B90:C90"/>
    <mergeCell ref="B53:D53"/>
    <mergeCell ref="B59:D59"/>
    <mergeCell ref="B46:D46"/>
    <mergeCell ref="B47:D47"/>
    <mergeCell ref="B55:D55"/>
    <mergeCell ref="B56:D56"/>
    <mergeCell ref="B57:D57"/>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56"/>
  <sheetViews>
    <sheetView showGridLines="0" zoomScale="80" zoomScaleNormal="80" zoomScaleSheetLayoutView="80" workbookViewId="0">
      <selection activeCell="K18" sqref="K18"/>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226</v>
      </c>
      <c r="D5" s="962"/>
      <c r="E5" s="962"/>
      <c r="F5" s="962"/>
      <c r="G5" s="963"/>
    </row>
    <row r="6" spans="1:11" ht="18" customHeight="1" x14ac:dyDescent="0.4">
      <c r="B6" s="183" t="s">
        <v>3</v>
      </c>
      <c r="C6" s="964">
        <v>4</v>
      </c>
      <c r="D6" s="965"/>
      <c r="E6" s="965"/>
      <c r="F6" s="965"/>
      <c r="G6" s="966"/>
    </row>
    <row r="7" spans="1:11" ht="18" customHeight="1" x14ac:dyDescent="0.4">
      <c r="B7" s="183" t="s">
        <v>4</v>
      </c>
      <c r="C7" s="1014">
        <v>2875</v>
      </c>
      <c r="D7" s="1015"/>
      <c r="E7" s="1015"/>
      <c r="F7" s="1015"/>
      <c r="G7" s="1016"/>
    </row>
    <row r="9" spans="1:11" ht="18" customHeight="1" x14ac:dyDescent="0.4">
      <c r="B9" s="183" t="s">
        <v>1</v>
      </c>
      <c r="C9" s="1017" t="s">
        <v>577</v>
      </c>
      <c r="D9" s="962"/>
      <c r="E9" s="962"/>
      <c r="F9" s="962"/>
      <c r="G9" s="963"/>
    </row>
    <row r="10" spans="1:11" ht="18" customHeight="1" x14ac:dyDescent="0.4">
      <c r="B10" s="183" t="s">
        <v>2</v>
      </c>
      <c r="C10" s="1018" t="s">
        <v>279</v>
      </c>
      <c r="D10" s="971"/>
      <c r="E10" s="971"/>
      <c r="F10" s="971"/>
      <c r="G10" s="972"/>
    </row>
    <row r="11" spans="1:11" ht="18" customHeight="1" x14ac:dyDescent="0.4">
      <c r="B11" s="183" t="s">
        <v>32</v>
      </c>
      <c r="C11" s="954" t="s">
        <v>280</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9722482.2154023629</v>
      </c>
      <c r="I18" s="144">
        <v>0</v>
      </c>
      <c r="J18" s="556">
        <v>8082563.5182049414</v>
      </c>
      <c r="K18" s="557">
        <f>H18+I18-J18</f>
        <v>1639918.6971974215</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11901.6</v>
      </c>
      <c r="G21" s="555">
        <v>132402</v>
      </c>
      <c r="H21" s="556">
        <v>1309241</v>
      </c>
      <c r="I21" s="144">
        <v>279992</v>
      </c>
      <c r="J21" s="556">
        <v>321777</v>
      </c>
      <c r="K21" s="557">
        <f t="shared" ref="K21:K34" si="0">(H21+I21)-J21</f>
        <v>1267456</v>
      </c>
    </row>
    <row r="22" spans="1:11" ht="18" customHeight="1" x14ac:dyDescent="0.4">
      <c r="A22" s="183" t="s">
        <v>76</v>
      </c>
      <c r="B22" s="189" t="s">
        <v>6</v>
      </c>
      <c r="F22" s="555">
        <v>230</v>
      </c>
      <c r="G22" s="555">
        <v>669</v>
      </c>
      <c r="H22" s="556">
        <v>9408</v>
      </c>
      <c r="I22" s="144">
        <v>2428</v>
      </c>
      <c r="J22" s="556">
        <v>1700</v>
      </c>
      <c r="K22" s="557">
        <f t="shared" si="0"/>
        <v>10136</v>
      </c>
    </row>
    <row r="23" spans="1:11" ht="18" customHeight="1" x14ac:dyDescent="0.4">
      <c r="A23" s="183" t="s">
        <v>77</v>
      </c>
      <c r="B23" s="189" t="s">
        <v>43</v>
      </c>
      <c r="F23" s="555"/>
      <c r="G23" s="555"/>
      <c r="H23" s="556"/>
      <c r="I23" s="144">
        <f t="shared" ref="I23:I34" si="1">H23*F$114</f>
        <v>0</v>
      </c>
      <c r="J23" s="556"/>
      <c r="K23" s="557">
        <f t="shared" si="0"/>
        <v>0</v>
      </c>
    </row>
    <row r="24" spans="1:11" ht="18" customHeight="1" x14ac:dyDescent="0.4">
      <c r="A24" s="183" t="s">
        <v>78</v>
      </c>
      <c r="B24" s="189" t="s">
        <v>44</v>
      </c>
      <c r="F24" s="555">
        <v>60</v>
      </c>
      <c r="G24" s="555">
        <v>270</v>
      </c>
      <c r="H24" s="556">
        <v>2579</v>
      </c>
      <c r="I24" s="144">
        <v>668</v>
      </c>
      <c r="J24" s="556">
        <v>0</v>
      </c>
      <c r="K24" s="557">
        <f t="shared" si="0"/>
        <v>3247</v>
      </c>
    </row>
    <row r="25" spans="1:11" ht="18" customHeight="1" x14ac:dyDescent="0.4">
      <c r="A25" s="183" t="s">
        <v>79</v>
      </c>
      <c r="B25" s="189" t="s">
        <v>5</v>
      </c>
      <c r="F25" s="555"/>
      <c r="G25" s="555"/>
      <c r="H25" s="556"/>
      <c r="I25" s="144">
        <f t="shared" si="1"/>
        <v>0</v>
      </c>
      <c r="J25" s="556"/>
      <c r="K25" s="557">
        <f t="shared" si="0"/>
        <v>0</v>
      </c>
    </row>
    <row r="26" spans="1:11" ht="18" customHeight="1" x14ac:dyDescent="0.4">
      <c r="A26" s="183" t="s">
        <v>80</v>
      </c>
      <c r="B26" s="189" t="s">
        <v>45</v>
      </c>
      <c r="F26" s="555"/>
      <c r="G26" s="555"/>
      <c r="H26" s="556"/>
      <c r="I26" s="144">
        <f t="shared" si="1"/>
        <v>0</v>
      </c>
      <c r="J26" s="556"/>
      <c r="K26" s="557">
        <f t="shared" si="0"/>
        <v>0</v>
      </c>
    </row>
    <row r="27" spans="1:11" ht="18" customHeight="1" x14ac:dyDescent="0.4">
      <c r="A27" s="183" t="s">
        <v>81</v>
      </c>
      <c r="B27" s="189" t="s">
        <v>498</v>
      </c>
      <c r="F27" s="555"/>
      <c r="G27" s="555"/>
      <c r="H27" s="556"/>
      <c r="I27" s="144">
        <f t="shared" si="1"/>
        <v>0</v>
      </c>
      <c r="J27" s="556"/>
      <c r="K27" s="557">
        <f t="shared" si="0"/>
        <v>0</v>
      </c>
    </row>
    <row r="28" spans="1:11" ht="18" customHeight="1" x14ac:dyDescent="0.4">
      <c r="A28" s="183" t="s">
        <v>82</v>
      </c>
      <c r="B28" s="189" t="s">
        <v>47</v>
      </c>
      <c r="F28" s="555"/>
      <c r="G28" s="555"/>
      <c r="H28" s="556"/>
      <c r="I28" s="144">
        <f t="shared" si="1"/>
        <v>0</v>
      </c>
      <c r="J28" s="556"/>
      <c r="K28" s="557">
        <f t="shared" si="0"/>
        <v>0</v>
      </c>
    </row>
    <row r="29" spans="1:11" ht="18" customHeight="1" x14ac:dyDescent="0.4">
      <c r="A29" s="183" t="s">
        <v>83</v>
      </c>
      <c r="B29" s="189" t="s">
        <v>48</v>
      </c>
      <c r="F29" s="555">
        <v>18050.8</v>
      </c>
      <c r="G29" s="555">
        <v>9005</v>
      </c>
      <c r="H29" s="556">
        <v>2160664</v>
      </c>
      <c r="I29" s="144">
        <v>219382</v>
      </c>
      <c r="J29" s="556">
        <v>0</v>
      </c>
      <c r="K29" s="557">
        <f t="shared" si="0"/>
        <v>2380046</v>
      </c>
    </row>
    <row r="30" spans="1:11" ht="18" customHeight="1" x14ac:dyDescent="0.4">
      <c r="A30" s="183" t="s">
        <v>84</v>
      </c>
      <c r="B30" s="951" t="s">
        <v>485</v>
      </c>
      <c r="C30" s="952"/>
      <c r="D30" s="953"/>
      <c r="F30" s="555">
        <v>4349</v>
      </c>
      <c r="G30" s="555">
        <v>14246</v>
      </c>
      <c r="H30" s="556">
        <v>218143</v>
      </c>
      <c r="I30" s="144">
        <v>56281</v>
      </c>
      <c r="J30" s="556">
        <v>48566</v>
      </c>
      <c r="K30" s="557">
        <f t="shared" si="0"/>
        <v>225858</v>
      </c>
    </row>
    <row r="31" spans="1:11" ht="18" customHeight="1" x14ac:dyDescent="0.4">
      <c r="A31" s="183" t="s">
        <v>133</v>
      </c>
      <c r="B31" s="951" t="s">
        <v>450</v>
      </c>
      <c r="C31" s="952"/>
      <c r="D31" s="953"/>
      <c r="F31" s="555">
        <v>230</v>
      </c>
      <c r="G31" s="555">
        <v>1491</v>
      </c>
      <c r="H31" s="556">
        <v>201638</v>
      </c>
      <c r="I31" s="144">
        <v>52023</v>
      </c>
      <c r="J31" s="556">
        <v>0</v>
      </c>
      <c r="K31" s="557">
        <f t="shared" si="0"/>
        <v>253661</v>
      </c>
    </row>
    <row r="32" spans="1:11" ht="18" customHeight="1" x14ac:dyDescent="0.4">
      <c r="A32" s="183" t="s">
        <v>134</v>
      </c>
      <c r="B32" s="500" t="s">
        <v>499</v>
      </c>
      <c r="C32" s="501"/>
      <c r="D32" s="502"/>
      <c r="F32" s="555">
        <v>3221.8</v>
      </c>
      <c r="G32" s="558">
        <v>1094</v>
      </c>
      <c r="H32" s="556">
        <v>127311</v>
      </c>
      <c r="I32" s="144">
        <v>32847</v>
      </c>
      <c r="J32" s="556">
        <v>0</v>
      </c>
      <c r="K32" s="557">
        <f t="shared" si="0"/>
        <v>160158</v>
      </c>
    </row>
    <row r="33" spans="1:11" ht="18" customHeight="1" x14ac:dyDescent="0.4">
      <c r="A33" s="183" t="s">
        <v>135</v>
      </c>
      <c r="B33" s="500"/>
      <c r="C33" s="501"/>
      <c r="D33" s="502"/>
      <c r="F33" s="555"/>
      <c r="G33" s="558" t="s">
        <v>85</v>
      </c>
      <c r="H33" s="556"/>
      <c r="I33" s="144">
        <f t="shared" si="1"/>
        <v>0</v>
      </c>
      <c r="J33" s="556"/>
      <c r="K33" s="557">
        <f t="shared" si="0"/>
        <v>0</v>
      </c>
    </row>
    <row r="34" spans="1:11" ht="18" customHeight="1" x14ac:dyDescent="0.4">
      <c r="A34" s="183" t="s">
        <v>136</v>
      </c>
      <c r="B34" s="951"/>
      <c r="C34" s="952"/>
      <c r="D34" s="953"/>
      <c r="F34" s="555"/>
      <c r="G34" s="558" t="s">
        <v>85</v>
      </c>
      <c r="H34" s="556"/>
      <c r="I34" s="144">
        <f t="shared" si="1"/>
        <v>0</v>
      </c>
      <c r="J34" s="556"/>
      <c r="K34" s="557">
        <f t="shared" si="0"/>
        <v>0</v>
      </c>
    </row>
    <row r="35" spans="1:11" ht="18" customHeight="1" x14ac:dyDescent="0.35">
      <c r="K35" s="559"/>
    </row>
    <row r="36" spans="1:11" ht="18" customHeight="1" x14ac:dyDescent="0.4">
      <c r="A36" s="120" t="s">
        <v>137</v>
      </c>
      <c r="B36" s="117" t="s">
        <v>138</v>
      </c>
      <c r="E36" s="117" t="s">
        <v>7</v>
      </c>
      <c r="F36" s="560">
        <f t="shared" ref="F36:K36" si="2">SUM(F21:F34)</f>
        <v>38043.200000000004</v>
      </c>
      <c r="G36" s="560">
        <f t="shared" si="2"/>
        <v>159177</v>
      </c>
      <c r="H36" s="560">
        <f t="shared" si="2"/>
        <v>4028984</v>
      </c>
      <c r="I36" s="557">
        <f t="shared" si="2"/>
        <v>643621</v>
      </c>
      <c r="J36" s="557">
        <f t="shared" si="2"/>
        <v>372043</v>
      </c>
      <c r="K36" s="557">
        <f t="shared" si="2"/>
        <v>4300562</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1664.4</v>
      </c>
      <c r="G40" s="555">
        <v>0</v>
      </c>
      <c r="H40" s="556">
        <v>2441462</v>
      </c>
      <c r="I40" s="144">
        <v>629900</v>
      </c>
      <c r="J40" s="556">
        <v>0</v>
      </c>
      <c r="K40" s="557">
        <f t="shared" ref="K40:K47" si="3">(H40+I40)-J40</f>
        <v>3071362</v>
      </c>
    </row>
    <row r="41" spans="1:11" ht="18" customHeight="1" x14ac:dyDescent="0.4">
      <c r="A41" s="183" t="s">
        <v>88</v>
      </c>
      <c r="B41" s="956" t="s">
        <v>50</v>
      </c>
      <c r="C41" s="957"/>
      <c r="F41" s="555">
        <v>520.5</v>
      </c>
      <c r="G41" s="555">
        <v>186</v>
      </c>
      <c r="H41" s="556">
        <v>28271</v>
      </c>
      <c r="I41" s="144">
        <v>7294</v>
      </c>
      <c r="J41" s="556">
        <v>0</v>
      </c>
      <c r="K41" s="557">
        <f t="shared" si="3"/>
        <v>35565</v>
      </c>
    </row>
    <row r="42" spans="1:11" ht="18" customHeight="1" x14ac:dyDescent="0.4">
      <c r="A42" s="183" t="s">
        <v>89</v>
      </c>
      <c r="B42" s="116" t="s">
        <v>11</v>
      </c>
      <c r="F42" s="555">
        <v>310</v>
      </c>
      <c r="G42" s="555">
        <v>3</v>
      </c>
      <c r="H42" s="556">
        <v>13138</v>
      </c>
      <c r="I42" s="144">
        <v>3389</v>
      </c>
      <c r="J42" s="556">
        <v>0</v>
      </c>
      <c r="K42" s="557">
        <f t="shared" si="3"/>
        <v>16527</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2494.9</v>
      </c>
      <c r="G49" s="563">
        <f t="shared" si="4"/>
        <v>189</v>
      </c>
      <c r="H49" s="557">
        <f t="shared" si="4"/>
        <v>2482871</v>
      </c>
      <c r="I49" s="557">
        <f t="shared" si="4"/>
        <v>640583</v>
      </c>
      <c r="J49" s="557">
        <f t="shared" si="4"/>
        <v>0</v>
      </c>
      <c r="K49" s="557">
        <f t="shared" si="4"/>
        <v>3123454</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978" t="s">
        <v>315</v>
      </c>
      <c r="C53" s="979"/>
      <c r="D53" s="975"/>
      <c r="F53" s="555">
        <v>0</v>
      </c>
      <c r="G53" s="555">
        <v>0</v>
      </c>
      <c r="H53" s="556">
        <v>2930500</v>
      </c>
      <c r="I53" s="144">
        <v>756069</v>
      </c>
      <c r="J53" s="556">
        <v>0</v>
      </c>
      <c r="K53" s="557">
        <f t="shared" ref="K53:K62" si="5">(H53+I53)-J53</f>
        <v>3686569</v>
      </c>
    </row>
    <row r="54" spans="1:11" ht="18" customHeight="1" x14ac:dyDescent="0.4">
      <c r="A54" s="183" t="s">
        <v>93</v>
      </c>
      <c r="B54" s="506" t="s">
        <v>578</v>
      </c>
      <c r="C54" s="504"/>
      <c r="D54" s="505"/>
      <c r="F54" s="555">
        <v>0</v>
      </c>
      <c r="G54" s="555">
        <v>90208</v>
      </c>
      <c r="H54" s="556">
        <v>0</v>
      </c>
      <c r="I54" s="144">
        <v>1850111</v>
      </c>
      <c r="J54" s="556">
        <v>0</v>
      </c>
      <c r="K54" s="557">
        <f t="shared" si="5"/>
        <v>1850111</v>
      </c>
    </row>
    <row r="55" spans="1:11" ht="18" customHeight="1" x14ac:dyDescent="0.4">
      <c r="A55" s="183" t="s">
        <v>94</v>
      </c>
      <c r="B55" s="973" t="s">
        <v>317</v>
      </c>
      <c r="C55" s="974"/>
      <c r="D55" s="975"/>
      <c r="F55" s="555">
        <v>1532</v>
      </c>
      <c r="G55" s="555">
        <v>4597</v>
      </c>
      <c r="H55" s="556">
        <v>1378719</v>
      </c>
      <c r="I55" s="144">
        <v>355708</v>
      </c>
      <c r="J55" s="556">
        <v>0</v>
      </c>
      <c r="K55" s="557">
        <f t="shared" si="5"/>
        <v>1734427</v>
      </c>
    </row>
    <row r="56" spans="1:11" ht="18" customHeight="1" x14ac:dyDescent="0.4">
      <c r="A56" s="183" t="s">
        <v>95</v>
      </c>
      <c r="B56" s="973" t="s">
        <v>324</v>
      </c>
      <c r="C56" s="974"/>
      <c r="D56" s="975"/>
      <c r="F56" s="555">
        <v>0</v>
      </c>
      <c r="G56" s="555">
        <v>5860</v>
      </c>
      <c r="H56" s="556">
        <v>721939</v>
      </c>
      <c r="I56" s="144">
        <v>186257</v>
      </c>
      <c r="J56" s="556">
        <v>414597</v>
      </c>
      <c r="K56" s="557">
        <f t="shared" si="5"/>
        <v>493599</v>
      </c>
    </row>
    <row r="57" spans="1:11" ht="18" customHeight="1" x14ac:dyDescent="0.4">
      <c r="A57" s="183" t="s">
        <v>96</v>
      </c>
      <c r="B57" s="980"/>
      <c r="C57" s="974"/>
      <c r="D57" s="975"/>
      <c r="F57" s="555"/>
      <c r="G57" s="555"/>
      <c r="H57" s="556"/>
      <c r="I57" s="144">
        <v>0</v>
      </c>
      <c r="J57" s="556"/>
      <c r="K57" s="557">
        <f t="shared" si="5"/>
        <v>0</v>
      </c>
    </row>
    <row r="58" spans="1:11" ht="18" customHeight="1" x14ac:dyDescent="0.4">
      <c r="A58" s="183" t="s">
        <v>97</v>
      </c>
      <c r="B58" s="503"/>
      <c r="C58" s="504"/>
      <c r="D58" s="505"/>
      <c r="F58" s="555"/>
      <c r="G58" s="555"/>
      <c r="H58" s="556"/>
      <c r="I58" s="144">
        <v>0</v>
      </c>
      <c r="J58" s="556"/>
      <c r="K58" s="557">
        <f t="shared" si="5"/>
        <v>0</v>
      </c>
    </row>
    <row r="59" spans="1:11" ht="18" customHeight="1" x14ac:dyDescent="0.4">
      <c r="A59" s="183" t="s">
        <v>98</v>
      </c>
      <c r="B59" s="980"/>
      <c r="C59" s="974"/>
      <c r="D59" s="975"/>
      <c r="F59" s="555"/>
      <c r="G59" s="555"/>
      <c r="H59" s="556"/>
      <c r="I59" s="144">
        <v>0</v>
      </c>
      <c r="J59" s="556"/>
      <c r="K59" s="557">
        <f t="shared" si="5"/>
        <v>0</v>
      </c>
    </row>
    <row r="60" spans="1:11" ht="18" customHeight="1" x14ac:dyDescent="0.4">
      <c r="A60" s="183" t="s">
        <v>99</v>
      </c>
      <c r="B60" s="503"/>
      <c r="C60" s="504"/>
      <c r="D60" s="505"/>
      <c r="F60" s="555"/>
      <c r="G60" s="555"/>
      <c r="H60" s="556"/>
      <c r="I60" s="144">
        <v>0</v>
      </c>
      <c r="J60" s="556"/>
      <c r="K60" s="557">
        <f t="shared" si="5"/>
        <v>0</v>
      </c>
    </row>
    <row r="61" spans="1:11" ht="18" customHeight="1" x14ac:dyDescent="0.4">
      <c r="A61" s="183" t="s">
        <v>100</v>
      </c>
      <c r="B61" s="503"/>
      <c r="C61" s="504"/>
      <c r="D61" s="505"/>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1532</v>
      </c>
      <c r="G64" s="560">
        <f t="shared" si="6"/>
        <v>100665</v>
      </c>
      <c r="H64" s="557">
        <f t="shared" si="6"/>
        <v>5031158</v>
      </c>
      <c r="I64" s="557">
        <f t="shared" si="6"/>
        <v>3148145</v>
      </c>
      <c r="J64" s="557">
        <f t="shared" si="6"/>
        <v>414597</v>
      </c>
      <c r="K64" s="557">
        <f t="shared" si="6"/>
        <v>7764706</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v>4280</v>
      </c>
      <c r="G68" s="564">
        <v>1297</v>
      </c>
      <c r="H68" s="564">
        <v>261352</v>
      </c>
      <c r="I68" s="144">
        <v>67427</v>
      </c>
      <c r="J68" s="564">
        <v>24520</v>
      </c>
      <c r="K68" s="557">
        <f>(H68+I68)-J68</f>
        <v>304259</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4280</v>
      </c>
      <c r="G74" s="566">
        <f t="shared" si="7"/>
        <v>1297</v>
      </c>
      <c r="H74" s="566">
        <f t="shared" si="7"/>
        <v>261352</v>
      </c>
      <c r="I74" s="145">
        <f t="shared" si="7"/>
        <v>67427</v>
      </c>
      <c r="J74" s="566">
        <f t="shared" si="7"/>
        <v>24520</v>
      </c>
      <c r="K74" s="567">
        <f t="shared" si="7"/>
        <v>304259</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c r="I77" s="144">
        <v>0</v>
      </c>
      <c r="J77" s="556"/>
      <c r="K77" s="557">
        <f>(H77+I77)-J77</f>
        <v>0</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1896</v>
      </c>
      <c r="G79" s="555">
        <v>0</v>
      </c>
      <c r="H79" s="556">
        <v>131546</v>
      </c>
      <c r="I79" s="144">
        <v>0</v>
      </c>
      <c r="J79" s="556">
        <v>0</v>
      </c>
      <c r="K79" s="557">
        <f>(H79+I79)-J79</f>
        <v>131546</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1896</v>
      </c>
      <c r="G82" s="566">
        <f t="shared" si="8"/>
        <v>0</v>
      </c>
      <c r="H82" s="567">
        <f t="shared" si="8"/>
        <v>131546</v>
      </c>
      <c r="I82" s="567">
        <f t="shared" si="8"/>
        <v>0</v>
      </c>
      <c r="J82" s="567">
        <f t="shared" si="8"/>
        <v>0</v>
      </c>
      <c r="K82" s="567">
        <f t="shared" si="8"/>
        <v>131546</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9">H86*F$114</f>
        <v>0</v>
      </c>
      <c r="J86" s="556"/>
      <c r="K86" s="557">
        <f t="shared" ref="K86:K96" si="10">(H86+I86)-J86</f>
        <v>0</v>
      </c>
    </row>
    <row r="87" spans="1:11" ht="18" customHeight="1" x14ac:dyDescent="0.4">
      <c r="A87" s="183" t="s">
        <v>114</v>
      </c>
      <c r="B87" s="116" t="s">
        <v>14</v>
      </c>
      <c r="F87" s="555">
        <v>0</v>
      </c>
      <c r="G87" s="555">
        <v>16</v>
      </c>
      <c r="H87" s="556">
        <v>11751</v>
      </c>
      <c r="I87" s="144">
        <v>3034</v>
      </c>
      <c r="J87" s="556">
        <v>0</v>
      </c>
      <c r="K87" s="557">
        <f t="shared" si="10"/>
        <v>14785</v>
      </c>
    </row>
    <row r="88" spans="1:11" ht="18" customHeight="1" x14ac:dyDescent="0.4">
      <c r="A88" s="183" t="s">
        <v>115</v>
      </c>
      <c r="B88" s="116" t="s">
        <v>116</v>
      </c>
      <c r="F88" s="555"/>
      <c r="G88" s="555"/>
      <c r="H88" s="556"/>
      <c r="I88" s="144">
        <f t="shared" si="9"/>
        <v>0</v>
      </c>
      <c r="J88" s="556"/>
      <c r="K88" s="557">
        <f t="shared" si="10"/>
        <v>0</v>
      </c>
    </row>
    <row r="89" spans="1:11" ht="18" customHeight="1" x14ac:dyDescent="0.4">
      <c r="A89" s="183" t="s">
        <v>117</v>
      </c>
      <c r="B89" s="116" t="s">
        <v>58</v>
      </c>
      <c r="F89" s="555"/>
      <c r="G89" s="555"/>
      <c r="H89" s="556"/>
      <c r="I89" s="144">
        <f t="shared" si="9"/>
        <v>0</v>
      </c>
      <c r="J89" s="556"/>
      <c r="K89" s="557">
        <f t="shared" si="10"/>
        <v>0</v>
      </c>
    </row>
    <row r="90" spans="1:11" ht="18" customHeight="1" x14ac:dyDescent="0.4">
      <c r="A90" s="183" t="s">
        <v>118</v>
      </c>
      <c r="B90" s="956" t="s">
        <v>59</v>
      </c>
      <c r="C90" s="957"/>
      <c r="F90" s="555"/>
      <c r="G90" s="555"/>
      <c r="H90" s="556"/>
      <c r="I90" s="144">
        <f t="shared" si="9"/>
        <v>0</v>
      </c>
      <c r="J90" s="556"/>
      <c r="K90" s="557">
        <f t="shared" si="10"/>
        <v>0</v>
      </c>
    </row>
    <row r="91" spans="1:11" ht="18" customHeight="1" x14ac:dyDescent="0.4">
      <c r="A91" s="183" t="s">
        <v>119</v>
      </c>
      <c r="B91" s="116" t="s">
        <v>60</v>
      </c>
      <c r="F91" s="555"/>
      <c r="G91" s="555"/>
      <c r="H91" s="556"/>
      <c r="I91" s="144">
        <f t="shared" si="9"/>
        <v>0</v>
      </c>
      <c r="J91" s="556"/>
      <c r="K91" s="557">
        <f t="shared" si="10"/>
        <v>0</v>
      </c>
    </row>
    <row r="92" spans="1:11" ht="18" customHeight="1" x14ac:dyDescent="0.4">
      <c r="A92" s="183" t="s">
        <v>120</v>
      </c>
      <c r="B92" s="116" t="s">
        <v>121</v>
      </c>
      <c r="F92" s="134"/>
      <c r="G92" s="134"/>
      <c r="H92" s="135"/>
      <c r="I92" s="144">
        <f t="shared" si="9"/>
        <v>0</v>
      </c>
      <c r="J92" s="135"/>
      <c r="K92" s="557">
        <f t="shared" si="10"/>
        <v>0</v>
      </c>
    </row>
    <row r="93" spans="1:11" ht="18" customHeight="1" x14ac:dyDescent="0.4">
      <c r="A93" s="183" t="s">
        <v>122</v>
      </c>
      <c r="B93" s="116" t="s">
        <v>123</v>
      </c>
      <c r="F93" s="555">
        <v>51</v>
      </c>
      <c r="G93" s="555">
        <v>4</v>
      </c>
      <c r="H93" s="556">
        <v>4768</v>
      </c>
      <c r="I93" s="144">
        <v>1230</v>
      </c>
      <c r="J93" s="556">
        <v>0</v>
      </c>
      <c r="K93" s="557">
        <f t="shared" si="10"/>
        <v>5998</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51</v>
      </c>
      <c r="G98" s="560">
        <f t="shared" si="11"/>
        <v>20</v>
      </c>
      <c r="H98" s="560">
        <f t="shared" si="11"/>
        <v>16519</v>
      </c>
      <c r="I98" s="560">
        <f t="shared" si="11"/>
        <v>4264</v>
      </c>
      <c r="J98" s="560">
        <f t="shared" si="11"/>
        <v>0</v>
      </c>
      <c r="K98" s="560">
        <f t="shared" si="11"/>
        <v>20783</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5476</v>
      </c>
      <c r="G102" s="555">
        <v>0</v>
      </c>
      <c r="H102" s="556">
        <v>312468</v>
      </c>
      <c r="I102" s="144">
        <v>80616</v>
      </c>
      <c r="J102" s="556">
        <v>0</v>
      </c>
      <c r="K102" s="557">
        <f>(H102+I102)-J102</f>
        <v>393084</v>
      </c>
    </row>
    <row r="103" spans="1:11" ht="18" customHeight="1" x14ac:dyDescent="0.4">
      <c r="A103" s="183" t="s">
        <v>132</v>
      </c>
      <c r="B103" s="956" t="s">
        <v>62</v>
      </c>
      <c r="C103" s="956"/>
      <c r="F103" s="555">
        <v>90</v>
      </c>
      <c r="G103" s="555">
        <v>0</v>
      </c>
      <c r="H103" s="556">
        <v>33160</v>
      </c>
      <c r="I103" s="144">
        <v>2104</v>
      </c>
      <c r="J103" s="556">
        <v>0</v>
      </c>
      <c r="K103" s="557">
        <f>(H103+I103)-J103</f>
        <v>35264</v>
      </c>
    </row>
    <row r="104" spans="1:11" ht="18" customHeight="1" x14ac:dyDescent="0.4">
      <c r="A104" s="183" t="s">
        <v>128</v>
      </c>
      <c r="B104" s="973" t="s">
        <v>318</v>
      </c>
      <c r="C104" s="974"/>
      <c r="D104" s="975"/>
      <c r="F104" s="555">
        <v>783</v>
      </c>
      <c r="G104" s="555">
        <v>0</v>
      </c>
      <c r="H104" s="556">
        <v>168824</v>
      </c>
      <c r="I104" s="144">
        <v>43234</v>
      </c>
      <c r="J104" s="556">
        <v>0</v>
      </c>
      <c r="K104" s="557">
        <f>(H104+I104)-J104</f>
        <v>212058</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6349</v>
      </c>
      <c r="G108" s="560">
        <f t="shared" si="12"/>
        <v>0</v>
      </c>
      <c r="H108" s="557">
        <f t="shared" si="12"/>
        <v>514452</v>
      </c>
      <c r="I108" s="557">
        <f t="shared" si="12"/>
        <v>125954</v>
      </c>
      <c r="J108" s="557">
        <f t="shared" si="12"/>
        <v>0</v>
      </c>
      <c r="K108" s="557">
        <f t="shared" si="12"/>
        <v>640406</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31098161</v>
      </c>
    </row>
    <row r="112" spans="1:11" ht="18" customHeight="1" x14ac:dyDescent="0.4">
      <c r="B112" s="117"/>
      <c r="E112" s="117"/>
      <c r="F112" s="184"/>
    </row>
    <row r="113" spans="1:7" ht="18" customHeight="1" x14ac:dyDescent="0.4">
      <c r="A113" s="120"/>
      <c r="B113" s="117" t="s">
        <v>15</v>
      </c>
    </row>
    <row r="114" spans="1:7" ht="18" customHeight="1" x14ac:dyDescent="0.4">
      <c r="A114" s="183" t="s">
        <v>171</v>
      </c>
      <c r="B114" s="116" t="s">
        <v>35</v>
      </c>
      <c r="F114" s="570">
        <v>0.25800000000000001</v>
      </c>
    </row>
    <row r="115" spans="1:7" ht="18" customHeight="1" x14ac:dyDescent="0.4">
      <c r="A115" s="183"/>
      <c r="B115" s="117"/>
    </row>
    <row r="116" spans="1:7" ht="18" customHeight="1" x14ac:dyDescent="0.4">
      <c r="A116" s="183" t="s">
        <v>170</v>
      </c>
      <c r="B116" s="117" t="s">
        <v>16</v>
      </c>
    </row>
    <row r="117" spans="1:7" ht="18" customHeight="1" x14ac:dyDescent="0.4">
      <c r="A117" s="183" t="s">
        <v>172</v>
      </c>
      <c r="B117" s="116" t="s">
        <v>17</v>
      </c>
      <c r="F117" s="556">
        <v>456742800</v>
      </c>
      <c r="G117" s="599"/>
    </row>
    <row r="118" spans="1:7" ht="18" customHeight="1" x14ac:dyDescent="0.4">
      <c r="A118" s="183" t="s">
        <v>173</v>
      </c>
      <c r="B118" s="189" t="s">
        <v>18</v>
      </c>
      <c r="F118" s="556">
        <v>14686438</v>
      </c>
      <c r="G118" s="599"/>
    </row>
    <row r="119" spans="1:7" ht="18" customHeight="1" x14ac:dyDescent="0.4">
      <c r="A119" s="183" t="s">
        <v>174</v>
      </c>
      <c r="B119" s="117" t="s">
        <v>19</v>
      </c>
      <c r="F119" s="567">
        <v>471429238</v>
      </c>
      <c r="G119" s="599"/>
    </row>
    <row r="120" spans="1:7" ht="18" customHeight="1" x14ac:dyDescent="0.4">
      <c r="A120" s="183"/>
      <c r="B120" s="117"/>
    </row>
    <row r="121" spans="1:7" ht="18" customHeight="1" x14ac:dyDescent="0.4">
      <c r="A121" s="183" t="s">
        <v>167</v>
      </c>
      <c r="B121" s="117" t="s">
        <v>36</v>
      </c>
      <c r="F121" s="556">
        <v>437129013</v>
      </c>
    </row>
    <row r="122" spans="1:7" ht="18" customHeight="1" x14ac:dyDescent="0.4">
      <c r="A122" s="183"/>
    </row>
    <row r="123" spans="1:7" ht="18" customHeight="1" x14ac:dyDescent="0.4">
      <c r="A123" s="183" t="s">
        <v>175</v>
      </c>
      <c r="B123" s="117" t="s">
        <v>20</v>
      </c>
      <c r="F123" s="556">
        <v>36514898</v>
      </c>
    </row>
    <row r="124" spans="1:7" ht="18" customHeight="1" x14ac:dyDescent="0.4">
      <c r="A124" s="183"/>
    </row>
    <row r="125" spans="1:7" ht="18" customHeight="1" x14ac:dyDescent="0.4">
      <c r="A125" s="183" t="s">
        <v>176</v>
      </c>
      <c r="B125" s="117" t="s">
        <v>21</v>
      </c>
      <c r="F125" s="556">
        <v>9275951</v>
      </c>
    </row>
    <row r="126" spans="1:7" ht="18" customHeight="1" x14ac:dyDescent="0.4">
      <c r="A126" s="183"/>
    </row>
    <row r="127" spans="1:7" ht="18" customHeight="1" x14ac:dyDescent="0.4">
      <c r="A127" s="183" t="s">
        <v>177</v>
      </c>
      <c r="B127" s="117" t="s">
        <v>22</v>
      </c>
      <c r="F127" s="556">
        <v>45790848</v>
      </c>
    </row>
    <row r="128" spans="1:7"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38043.200000000004</v>
      </c>
      <c r="G141" s="136">
        <f t="shared" si="14"/>
        <v>159177</v>
      </c>
      <c r="H141" s="136">
        <f t="shared" si="14"/>
        <v>4028984</v>
      </c>
      <c r="I141" s="136">
        <f t="shared" si="14"/>
        <v>643621</v>
      </c>
      <c r="J141" s="136">
        <f t="shared" si="14"/>
        <v>372043</v>
      </c>
      <c r="K141" s="136">
        <f t="shared" si="14"/>
        <v>4300562</v>
      </c>
    </row>
    <row r="142" spans="1:11" ht="18" customHeight="1" x14ac:dyDescent="0.4">
      <c r="A142" s="183" t="s">
        <v>142</v>
      </c>
      <c r="B142" s="117" t="s">
        <v>65</v>
      </c>
      <c r="F142" s="136">
        <f t="shared" ref="F142:K142" si="15">F49</f>
        <v>2494.9</v>
      </c>
      <c r="G142" s="136">
        <f t="shared" si="15"/>
        <v>189</v>
      </c>
      <c r="H142" s="136">
        <f t="shared" si="15"/>
        <v>2482871</v>
      </c>
      <c r="I142" s="136">
        <f t="shared" si="15"/>
        <v>640583</v>
      </c>
      <c r="J142" s="136">
        <f t="shared" si="15"/>
        <v>0</v>
      </c>
      <c r="K142" s="136">
        <f t="shared" si="15"/>
        <v>3123454</v>
      </c>
    </row>
    <row r="143" spans="1:11" ht="18" customHeight="1" x14ac:dyDescent="0.4">
      <c r="A143" s="183" t="s">
        <v>144</v>
      </c>
      <c r="B143" s="117" t="s">
        <v>66</v>
      </c>
      <c r="F143" s="136">
        <f t="shared" ref="F143:K143" si="16">F64</f>
        <v>1532</v>
      </c>
      <c r="G143" s="136">
        <f t="shared" si="16"/>
        <v>100665</v>
      </c>
      <c r="H143" s="136">
        <f t="shared" si="16"/>
        <v>5031158</v>
      </c>
      <c r="I143" s="136">
        <f t="shared" si="16"/>
        <v>3148145</v>
      </c>
      <c r="J143" s="136">
        <f t="shared" si="16"/>
        <v>414597</v>
      </c>
      <c r="K143" s="136">
        <f t="shared" si="16"/>
        <v>7764706</v>
      </c>
    </row>
    <row r="144" spans="1:11" ht="18" customHeight="1" x14ac:dyDescent="0.4">
      <c r="A144" s="183" t="s">
        <v>146</v>
      </c>
      <c r="B144" s="117" t="s">
        <v>67</v>
      </c>
      <c r="F144" s="136">
        <f t="shared" ref="F144:K144" si="17">F74</f>
        <v>4280</v>
      </c>
      <c r="G144" s="136">
        <f t="shared" si="17"/>
        <v>1297</v>
      </c>
      <c r="H144" s="136">
        <f t="shared" si="17"/>
        <v>261352</v>
      </c>
      <c r="I144" s="136">
        <f t="shared" si="17"/>
        <v>67427</v>
      </c>
      <c r="J144" s="136">
        <f t="shared" si="17"/>
        <v>24520</v>
      </c>
      <c r="K144" s="136">
        <f t="shared" si="17"/>
        <v>304259</v>
      </c>
    </row>
    <row r="145" spans="1:11" ht="18" customHeight="1" x14ac:dyDescent="0.4">
      <c r="A145" s="183" t="s">
        <v>148</v>
      </c>
      <c r="B145" s="117" t="s">
        <v>68</v>
      </c>
      <c r="F145" s="136">
        <f t="shared" ref="F145:K145" si="18">F82</f>
        <v>1896</v>
      </c>
      <c r="G145" s="136">
        <f t="shared" si="18"/>
        <v>0</v>
      </c>
      <c r="H145" s="136">
        <f t="shared" si="18"/>
        <v>131546</v>
      </c>
      <c r="I145" s="136">
        <f t="shared" si="18"/>
        <v>0</v>
      </c>
      <c r="J145" s="136">
        <f t="shared" si="18"/>
        <v>0</v>
      </c>
      <c r="K145" s="136">
        <f t="shared" si="18"/>
        <v>131546</v>
      </c>
    </row>
    <row r="146" spans="1:11" ht="18" customHeight="1" x14ac:dyDescent="0.4">
      <c r="A146" s="183" t="s">
        <v>150</v>
      </c>
      <c r="B146" s="117" t="s">
        <v>69</v>
      </c>
      <c r="F146" s="136">
        <f t="shared" ref="F146:K146" si="19">F98</f>
        <v>51</v>
      </c>
      <c r="G146" s="136">
        <f t="shared" si="19"/>
        <v>20</v>
      </c>
      <c r="H146" s="136">
        <f t="shared" si="19"/>
        <v>16519</v>
      </c>
      <c r="I146" s="136">
        <f t="shared" si="19"/>
        <v>4264</v>
      </c>
      <c r="J146" s="136">
        <f t="shared" si="19"/>
        <v>0</v>
      </c>
      <c r="K146" s="136">
        <f t="shared" si="19"/>
        <v>20783</v>
      </c>
    </row>
    <row r="147" spans="1:11" ht="18" customHeight="1" x14ac:dyDescent="0.4">
      <c r="A147" s="183" t="s">
        <v>153</v>
      </c>
      <c r="B147" s="117" t="s">
        <v>61</v>
      </c>
      <c r="F147" s="560">
        <f t="shared" ref="F147:K147" si="20">F108</f>
        <v>6349</v>
      </c>
      <c r="G147" s="560">
        <f t="shared" si="20"/>
        <v>0</v>
      </c>
      <c r="H147" s="560">
        <f t="shared" si="20"/>
        <v>514452</v>
      </c>
      <c r="I147" s="560">
        <f t="shared" si="20"/>
        <v>125954</v>
      </c>
      <c r="J147" s="560">
        <f t="shared" si="20"/>
        <v>0</v>
      </c>
      <c r="K147" s="560">
        <f t="shared" si="20"/>
        <v>640406</v>
      </c>
    </row>
    <row r="148" spans="1:11" ht="18" customHeight="1" x14ac:dyDescent="0.4">
      <c r="A148" s="183" t="s">
        <v>155</v>
      </c>
      <c r="B148" s="117" t="s">
        <v>70</v>
      </c>
      <c r="F148" s="137" t="s">
        <v>73</v>
      </c>
      <c r="G148" s="137" t="s">
        <v>73</v>
      </c>
      <c r="H148" s="138" t="s">
        <v>73</v>
      </c>
      <c r="I148" s="138" t="s">
        <v>73</v>
      </c>
      <c r="J148" s="138" t="s">
        <v>73</v>
      </c>
      <c r="K148" s="133">
        <f>F111</f>
        <v>31098161</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9722482.2154023629</v>
      </c>
      <c r="I150" s="560">
        <f>I18</f>
        <v>0</v>
      </c>
      <c r="J150" s="560">
        <f>J18</f>
        <v>8082563.5182049414</v>
      </c>
      <c r="K150" s="560">
        <f>K18</f>
        <v>1639918.6971974215</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54646.100000000006</v>
      </c>
      <c r="G152" s="143">
        <f t="shared" si="22"/>
        <v>261348</v>
      </c>
      <c r="H152" s="143">
        <f t="shared" si="22"/>
        <v>22189364.215402365</v>
      </c>
      <c r="I152" s="143">
        <f t="shared" si="22"/>
        <v>4629994</v>
      </c>
      <c r="J152" s="143">
        <f t="shared" si="22"/>
        <v>8893723.5182049423</v>
      </c>
      <c r="K152" s="143">
        <f t="shared" si="22"/>
        <v>49023795.697197422</v>
      </c>
    </row>
    <row r="154" spans="1:11" ht="18" customHeight="1" x14ac:dyDescent="0.4">
      <c r="A154" s="120" t="s">
        <v>168</v>
      </c>
      <c r="B154" s="117" t="s">
        <v>28</v>
      </c>
      <c r="F154" s="571">
        <f>K152/F121</f>
        <v>0.1121494895997613</v>
      </c>
    </row>
    <row r="155" spans="1:11" ht="18" customHeight="1" x14ac:dyDescent="0.4">
      <c r="A155" s="120" t="s">
        <v>169</v>
      </c>
      <c r="B155" s="117" t="s">
        <v>72</v>
      </c>
      <c r="F155" s="571">
        <f>K152/F127</f>
        <v>1.0706024858329206</v>
      </c>
      <c r="G155" s="117"/>
    </row>
    <row r="156" spans="1:11" ht="18" customHeight="1" x14ac:dyDescent="0.4">
      <c r="G156" s="117"/>
    </row>
  </sheetData>
  <mergeCells count="34">
    <mergeCell ref="B134:D134"/>
    <mergeCell ref="B135:D135"/>
    <mergeCell ref="B133:D133"/>
    <mergeCell ref="B104:D104"/>
    <mergeCell ref="D2:H2"/>
    <mergeCell ref="B46:D46"/>
    <mergeCell ref="B47:D47"/>
    <mergeCell ref="B34:D34"/>
    <mergeCell ref="C11:G11"/>
    <mergeCell ref="B105:D105"/>
    <mergeCell ref="B106:D106"/>
    <mergeCell ref="B62:D62"/>
    <mergeCell ref="B31:D31"/>
    <mergeCell ref="B103:C103"/>
    <mergeCell ref="B96:D96"/>
    <mergeCell ref="B95:D95"/>
    <mergeCell ref="B57:D57"/>
    <mergeCell ref="B94:D94"/>
    <mergeCell ref="B52:C52"/>
    <mergeCell ref="B90:C90"/>
    <mergeCell ref="B53:D53"/>
    <mergeCell ref="B55:D55"/>
    <mergeCell ref="B56:D56"/>
    <mergeCell ref="B59:D59"/>
    <mergeCell ref="B45:D45"/>
    <mergeCell ref="B41:C41"/>
    <mergeCell ref="B44:D44"/>
    <mergeCell ref="B13:H13"/>
    <mergeCell ref="C5:G5"/>
    <mergeCell ref="C6:G6"/>
    <mergeCell ref="C7:G7"/>
    <mergeCell ref="C9:G9"/>
    <mergeCell ref="C10:G10"/>
    <mergeCell ref="B30:D30"/>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3" manualBreakCount="3">
    <brk id="37" max="16383" man="1"/>
    <brk id="74" max="16383" man="1"/>
    <brk id="10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56"/>
  <sheetViews>
    <sheetView showGridLines="0" zoomScale="80" zoomScaleNormal="80" zoomScaleSheetLayoutView="100" workbookViewId="0">
      <selection activeCell="B6" sqref="B6"/>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721</v>
      </c>
      <c r="D5" s="962"/>
      <c r="E5" s="962"/>
      <c r="F5" s="962"/>
      <c r="G5" s="963"/>
    </row>
    <row r="6" spans="1:11" ht="18" customHeight="1" x14ac:dyDescent="0.4">
      <c r="B6" s="183" t="s">
        <v>3</v>
      </c>
      <c r="C6" s="964" t="s">
        <v>451</v>
      </c>
      <c r="D6" s="965"/>
      <c r="E6" s="965"/>
      <c r="F6" s="965"/>
      <c r="G6" s="966"/>
    </row>
    <row r="7" spans="1:11" ht="18" customHeight="1" x14ac:dyDescent="0.4">
      <c r="B7" s="183" t="s">
        <v>4</v>
      </c>
      <c r="C7" s="967">
        <v>2247</v>
      </c>
      <c r="D7" s="968"/>
      <c r="E7" s="968"/>
      <c r="F7" s="968"/>
      <c r="G7" s="969"/>
    </row>
    <row r="9" spans="1:11" ht="18" customHeight="1" x14ac:dyDescent="0.4">
      <c r="B9" s="183" t="s">
        <v>1</v>
      </c>
      <c r="C9" s="961" t="s">
        <v>567</v>
      </c>
      <c r="D9" s="962"/>
      <c r="E9" s="962"/>
      <c r="F9" s="962"/>
      <c r="G9" s="963"/>
    </row>
    <row r="10" spans="1:11" ht="18" customHeight="1" x14ac:dyDescent="0.4">
      <c r="B10" s="183" t="s">
        <v>2</v>
      </c>
      <c r="C10" s="970" t="s">
        <v>278</v>
      </c>
      <c r="D10" s="971"/>
      <c r="E10" s="971"/>
      <c r="F10" s="971"/>
      <c r="G10" s="972"/>
    </row>
    <row r="11" spans="1:11" ht="18" customHeight="1" x14ac:dyDescent="0.4">
      <c r="B11" s="183" t="s">
        <v>32</v>
      </c>
      <c r="C11" s="1020" t="s">
        <v>568</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6764267</v>
      </c>
      <c r="I18" s="144">
        <v>0</v>
      </c>
      <c r="J18" s="556">
        <v>5623319</v>
      </c>
      <c r="K18" s="557">
        <f>(H18+I18)-J18</f>
        <v>1140948</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27457</v>
      </c>
      <c r="G21" s="555">
        <v>19916</v>
      </c>
      <c r="H21" s="556">
        <v>1536075</v>
      </c>
      <c r="I21" s="144">
        <f t="shared" ref="I21:I34" si="0">H21*F$114</f>
        <v>1057587.6375</v>
      </c>
      <c r="J21" s="556">
        <v>54966</v>
      </c>
      <c r="K21" s="557">
        <f t="shared" ref="K21:K34" si="1">(H21+I21)-J21</f>
        <v>2538696.6375000002</v>
      </c>
    </row>
    <row r="22" spans="1:11" ht="18" customHeight="1" x14ac:dyDescent="0.4">
      <c r="A22" s="183" t="s">
        <v>76</v>
      </c>
      <c r="B22" s="189" t="s">
        <v>6</v>
      </c>
      <c r="F22" s="555"/>
      <c r="G22" s="555"/>
      <c r="H22" s="556"/>
      <c r="I22" s="144">
        <f t="shared" si="0"/>
        <v>0</v>
      </c>
      <c r="J22" s="556"/>
      <c r="K22" s="557">
        <f t="shared" si="1"/>
        <v>0</v>
      </c>
    </row>
    <row r="23" spans="1:11" ht="18" customHeight="1" x14ac:dyDescent="0.4">
      <c r="A23" s="183" t="s">
        <v>77</v>
      </c>
      <c r="B23" s="189" t="s">
        <v>43</v>
      </c>
      <c r="F23" s="555"/>
      <c r="G23" s="555"/>
      <c r="H23" s="556"/>
      <c r="I23" s="144">
        <f t="shared" si="0"/>
        <v>0</v>
      </c>
      <c r="J23" s="556"/>
      <c r="K23" s="557">
        <f t="shared" si="1"/>
        <v>0</v>
      </c>
    </row>
    <row r="24" spans="1:11" ht="18" customHeight="1" x14ac:dyDescent="0.4">
      <c r="A24" s="183" t="s">
        <v>78</v>
      </c>
      <c r="B24" s="189" t="s">
        <v>44</v>
      </c>
      <c r="F24" s="555">
        <v>30984</v>
      </c>
      <c r="G24" s="555">
        <v>5937</v>
      </c>
      <c r="H24" s="556">
        <v>731130</v>
      </c>
      <c r="I24" s="144">
        <f t="shared" si="0"/>
        <v>503383.005</v>
      </c>
      <c r="J24" s="556">
        <v>445990</v>
      </c>
      <c r="K24" s="557">
        <f t="shared" si="1"/>
        <v>788523.00499999989</v>
      </c>
    </row>
    <row r="25" spans="1:11" ht="18" customHeight="1" x14ac:dyDescent="0.4">
      <c r="A25" s="183" t="s">
        <v>79</v>
      </c>
      <c r="B25" s="189" t="s">
        <v>5</v>
      </c>
      <c r="F25" s="555"/>
      <c r="G25" s="555"/>
      <c r="H25" s="556"/>
      <c r="I25" s="144">
        <f t="shared" si="0"/>
        <v>0</v>
      </c>
      <c r="J25" s="556"/>
      <c r="K25" s="557">
        <f t="shared" si="1"/>
        <v>0</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c r="G27" s="555"/>
      <c r="H27" s="556"/>
      <c r="I27" s="144">
        <f t="shared" si="0"/>
        <v>0</v>
      </c>
      <c r="J27" s="556"/>
      <c r="K27" s="557">
        <f t="shared" si="1"/>
        <v>0</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5">
        <v>11507</v>
      </c>
      <c r="G29" s="555">
        <v>5522</v>
      </c>
      <c r="H29" s="556">
        <v>575892</v>
      </c>
      <c r="I29" s="144">
        <f t="shared" si="0"/>
        <v>396501.64199999999</v>
      </c>
      <c r="J29" s="556">
        <v>574364</v>
      </c>
      <c r="K29" s="557">
        <f t="shared" si="1"/>
        <v>398029.64199999999</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69948</v>
      </c>
      <c r="G36" s="560">
        <f t="shared" si="2"/>
        <v>31375</v>
      </c>
      <c r="H36" s="560">
        <f t="shared" si="2"/>
        <v>2843097</v>
      </c>
      <c r="I36" s="557">
        <f t="shared" si="2"/>
        <v>1957472.2845000001</v>
      </c>
      <c r="J36" s="557">
        <f t="shared" si="2"/>
        <v>1075320</v>
      </c>
      <c r="K36" s="557">
        <f t="shared" si="2"/>
        <v>3725249.2845000001</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c r="G40" s="555"/>
      <c r="H40" s="556"/>
      <c r="I40" s="144">
        <v>0</v>
      </c>
      <c r="J40" s="556"/>
      <c r="K40" s="557">
        <f t="shared" ref="K40:K47" si="3">(H40+I40)-J40</f>
        <v>0</v>
      </c>
    </row>
    <row r="41" spans="1:11" ht="18" customHeight="1" x14ac:dyDescent="0.4">
      <c r="A41" s="183" t="s">
        <v>88</v>
      </c>
      <c r="B41" s="956" t="s">
        <v>50</v>
      </c>
      <c r="C41" s="957"/>
      <c r="F41" s="555"/>
      <c r="G41" s="555"/>
      <c r="H41" s="556">
        <v>50001</v>
      </c>
      <c r="I41" s="144">
        <v>0</v>
      </c>
      <c r="J41" s="556"/>
      <c r="K41" s="557">
        <f t="shared" si="3"/>
        <v>50001</v>
      </c>
    </row>
    <row r="42" spans="1:11" ht="18" customHeight="1" x14ac:dyDescent="0.4">
      <c r="A42" s="183" t="s">
        <v>89</v>
      </c>
      <c r="B42" s="116" t="s">
        <v>11</v>
      </c>
      <c r="F42" s="555"/>
      <c r="G42" s="555"/>
      <c r="H42" s="556"/>
      <c r="I42" s="144">
        <v>0</v>
      </c>
      <c r="J42" s="556"/>
      <c r="K42" s="557">
        <f t="shared" si="3"/>
        <v>0</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0</v>
      </c>
      <c r="G49" s="563">
        <f t="shared" si="4"/>
        <v>0</v>
      </c>
      <c r="H49" s="557">
        <f t="shared" si="4"/>
        <v>50001</v>
      </c>
      <c r="I49" s="557">
        <f t="shared" si="4"/>
        <v>0</v>
      </c>
      <c r="J49" s="557">
        <f t="shared" si="4"/>
        <v>0</v>
      </c>
      <c r="K49" s="557">
        <f t="shared" si="4"/>
        <v>50001</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452</v>
      </c>
      <c r="C53" s="979"/>
      <c r="D53" s="975"/>
      <c r="F53" s="555">
        <v>53040</v>
      </c>
      <c r="G53" s="555">
        <v>10962</v>
      </c>
      <c r="H53" s="556">
        <v>4119337</v>
      </c>
      <c r="I53" s="144">
        <f>H53*$F$114</f>
        <v>2836163.5244999998</v>
      </c>
      <c r="J53" s="556"/>
      <c r="K53" s="557">
        <f t="shared" ref="K53:K62" si="5">(H53+I53)-J53</f>
        <v>6955500.5244999994</v>
      </c>
    </row>
    <row r="54" spans="1:11" ht="18" customHeight="1" x14ac:dyDescent="0.4">
      <c r="A54" s="183" t="s">
        <v>93</v>
      </c>
      <c r="B54" s="503" t="s">
        <v>500</v>
      </c>
      <c r="C54" s="504"/>
      <c r="D54" s="505"/>
      <c r="F54" s="555">
        <v>14016</v>
      </c>
      <c r="G54" s="555">
        <v>2512</v>
      </c>
      <c r="H54" s="556">
        <v>862366</v>
      </c>
      <c r="I54" s="144">
        <f t="shared" ref="I54:I60" si="6">H54*$F$114</f>
        <v>593738.99100000004</v>
      </c>
      <c r="J54" s="556"/>
      <c r="K54" s="557">
        <f t="shared" si="5"/>
        <v>1456104.9909999999</v>
      </c>
    </row>
    <row r="55" spans="1:11" ht="18" customHeight="1" x14ac:dyDescent="0.4">
      <c r="A55" s="183" t="s">
        <v>94</v>
      </c>
      <c r="B55" s="980" t="s">
        <v>453</v>
      </c>
      <c r="C55" s="974"/>
      <c r="D55" s="975"/>
      <c r="F55" s="555">
        <v>166440</v>
      </c>
      <c r="G55" s="555">
        <v>31652</v>
      </c>
      <c r="H55" s="556">
        <v>2575614</v>
      </c>
      <c r="I55" s="144">
        <f t="shared" si="6"/>
        <v>1773310.2390000001</v>
      </c>
      <c r="J55" s="556"/>
      <c r="K55" s="557">
        <f t="shared" si="5"/>
        <v>4348924.2390000001</v>
      </c>
    </row>
    <row r="56" spans="1:11" ht="18" customHeight="1" x14ac:dyDescent="0.4">
      <c r="A56" s="183" t="s">
        <v>95</v>
      </c>
      <c r="B56" s="980" t="s">
        <v>454</v>
      </c>
      <c r="C56" s="974"/>
      <c r="D56" s="975"/>
      <c r="F56" s="555">
        <v>17520</v>
      </c>
      <c r="G56" s="555">
        <v>5236</v>
      </c>
      <c r="H56" s="556">
        <v>950000</v>
      </c>
      <c r="I56" s="144">
        <f t="shared" si="6"/>
        <v>654075</v>
      </c>
      <c r="J56" s="556"/>
      <c r="K56" s="557">
        <f t="shared" si="5"/>
        <v>1604075</v>
      </c>
    </row>
    <row r="57" spans="1:11" ht="18" customHeight="1" x14ac:dyDescent="0.4">
      <c r="A57" s="183" t="s">
        <v>96</v>
      </c>
      <c r="B57" s="980" t="s">
        <v>455</v>
      </c>
      <c r="C57" s="974"/>
      <c r="D57" s="975"/>
      <c r="F57" s="555">
        <v>8760</v>
      </c>
      <c r="G57" s="555">
        <v>941</v>
      </c>
      <c r="H57" s="556">
        <v>909030</v>
      </c>
      <c r="I57" s="144">
        <f t="shared" si="6"/>
        <v>625867.15500000003</v>
      </c>
      <c r="J57" s="556"/>
      <c r="K57" s="557">
        <f t="shared" si="5"/>
        <v>1534897.155</v>
      </c>
    </row>
    <row r="58" spans="1:11" ht="18" customHeight="1" x14ac:dyDescent="0.4">
      <c r="A58" s="183" t="s">
        <v>97</v>
      </c>
      <c r="B58" s="503" t="s">
        <v>456</v>
      </c>
      <c r="C58" s="504"/>
      <c r="D58" s="505"/>
      <c r="F58" s="555">
        <v>11493</v>
      </c>
      <c r="G58" s="555">
        <v>2080</v>
      </c>
      <c r="H58" s="556">
        <v>573918</v>
      </c>
      <c r="I58" s="144">
        <f t="shared" si="6"/>
        <v>395142.54300000001</v>
      </c>
      <c r="J58" s="556"/>
      <c r="K58" s="557">
        <f t="shared" si="5"/>
        <v>969060.54300000006</v>
      </c>
    </row>
    <row r="59" spans="1:11" ht="18" customHeight="1" x14ac:dyDescent="0.4">
      <c r="A59" s="183" t="s">
        <v>98</v>
      </c>
      <c r="B59" s="980" t="s">
        <v>457</v>
      </c>
      <c r="C59" s="974"/>
      <c r="D59" s="975"/>
      <c r="F59" s="555">
        <v>4893</v>
      </c>
      <c r="G59" s="555">
        <v>2912</v>
      </c>
      <c r="H59" s="556">
        <v>144900</v>
      </c>
      <c r="I59" s="144">
        <f t="shared" si="6"/>
        <v>99763.65</v>
      </c>
      <c r="J59" s="556">
        <v>13578</v>
      </c>
      <c r="K59" s="557">
        <f t="shared" si="5"/>
        <v>231085.65</v>
      </c>
    </row>
    <row r="60" spans="1:11" ht="18" customHeight="1" x14ac:dyDescent="0.4">
      <c r="A60" s="183" t="s">
        <v>99</v>
      </c>
      <c r="B60" s="503" t="s">
        <v>569</v>
      </c>
      <c r="C60" s="504"/>
      <c r="D60" s="505"/>
      <c r="F60" s="555">
        <v>8314</v>
      </c>
      <c r="G60" s="555">
        <v>2638</v>
      </c>
      <c r="H60" s="556">
        <v>306826</v>
      </c>
      <c r="I60" s="144">
        <f t="shared" si="6"/>
        <v>211249.701</v>
      </c>
      <c r="J60" s="556"/>
      <c r="K60" s="557">
        <f t="shared" si="5"/>
        <v>518075.701</v>
      </c>
    </row>
    <row r="61" spans="1:11" ht="18" customHeight="1" x14ac:dyDescent="0.4">
      <c r="A61" s="183" t="s">
        <v>100</v>
      </c>
      <c r="B61" s="503"/>
      <c r="C61" s="504"/>
      <c r="D61" s="505"/>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7">SUM(F53:F62)</f>
        <v>284476</v>
      </c>
      <c r="G64" s="560">
        <f t="shared" si="7"/>
        <v>58933</v>
      </c>
      <c r="H64" s="557">
        <f t="shared" si="7"/>
        <v>10441991</v>
      </c>
      <c r="I64" s="557">
        <f t="shared" si="7"/>
        <v>7189310.8035000004</v>
      </c>
      <c r="J64" s="557">
        <f t="shared" si="7"/>
        <v>13578</v>
      </c>
      <c r="K64" s="557">
        <f t="shared" si="7"/>
        <v>17617723.8035</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v>6062</v>
      </c>
      <c r="G68" s="564">
        <v>48</v>
      </c>
      <c r="H68" s="564">
        <v>249377</v>
      </c>
      <c r="I68" s="144">
        <f t="shared" ref="I68" si="8">H68*$F$114</f>
        <v>171696.06450000001</v>
      </c>
      <c r="J68" s="564">
        <v>240114</v>
      </c>
      <c r="K68" s="557">
        <f>(H68+I68)-J68</f>
        <v>180959.06449999998</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9">SUM(F68:F72)</f>
        <v>6062</v>
      </c>
      <c r="G74" s="566">
        <f t="shared" si="9"/>
        <v>48</v>
      </c>
      <c r="H74" s="566">
        <f t="shared" si="9"/>
        <v>249377</v>
      </c>
      <c r="I74" s="145">
        <f t="shared" si="9"/>
        <v>171696.06450000001</v>
      </c>
      <c r="J74" s="566">
        <f t="shared" si="9"/>
        <v>240114</v>
      </c>
      <c r="K74" s="567">
        <f t="shared" si="9"/>
        <v>180959.06449999998</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76552</v>
      </c>
      <c r="I77" s="144">
        <v>0</v>
      </c>
      <c r="J77" s="556"/>
      <c r="K77" s="557">
        <f>(H77+I77)-J77</f>
        <v>76552</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c r="G79" s="555"/>
      <c r="H79" s="556"/>
      <c r="I79" s="144">
        <v>0</v>
      </c>
      <c r="J79" s="556"/>
      <c r="K79" s="557">
        <f>(H79+I79)-J79</f>
        <v>0</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10">SUM(F77:F80)</f>
        <v>0</v>
      </c>
      <c r="G82" s="566">
        <f t="shared" si="10"/>
        <v>0</v>
      </c>
      <c r="H82" s="567">
        <f t="shared" si="10"/>
        <v>76552</v>
      </c>
      <c r="I82" s="567">
        <f t="shared" si="10"/>
        <v>0</v>
      </c>
      <c r="J82" s="567">
        <f t="shared" si="10"/>
        <v>0</v>
      </c>
      <c r="K82" s="567">
        <f t="shared" si="10"/>
        <v>76552</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11">H86*F$114</f>
        <v>0</v>
      </c>
      <c r="J86" s="556"/>
      <c r="K86" s="557">
        <f t="shared" ref="K86:K96" si="12">(H86+I86)-J86</f>
        <v>0</v>
      </c>
    </row>
    <row r="87" spans="1:11" ht="18" customHeight="1" x14ac:dyDescent="0.4">
      <c r="A87" s="183" t="s">
        <v>114</v>
      </c>
      <c r="B87" s="116" t="s">
        <v>14</v>
      </c>
      <c r="F87" s="555"/>
      <c r="G87" s="555"/>
      <c r="H87" s="556"/>
      <c r="I87" s="144">
        <f t="shared" si="11"/>
        <v>0</v>
      </c>
      <c r="J87" s="556"/>
      <c r="K87" s="557">
        <f t="shared" si="12"/>
        <v>0</v>
      </c>
    </row>
    <row r="88" spans="1:11" ht="18" customHeight="1" x14ac:dyDescent="0.4">
      <c r="A88" s="183" t="s">
        <v>115</v>
      </c>
      <c r="B88" s="116" t="s">
        <v>116</v>
      </c>
      <c r="F88" s="555">
        <v>12</v>
      </c>
      <c r="G88" s="555">
        <v>365</v>
      </c>
      <c r="H88" s="556">
        <v>28077</v>
      </c>
      <c r="I88" s="144">
        <f t="shared" si="11"/>
        <v>19331.014500000001</v>
      </c>
      <c r="J88" s="556">
        <v>24782</v>
      </c>
      <c r="K88" s="557">
        <f t="shared" si="12"/>
        <v>22626.014500000005</v>
      </c>
    </row>
    <row r="89" spans="1:11" ht="18" customHeight="1" x14ac:dyDescent="0.4">
      <c r="A89" s="183" t="s">
        <v>117</v>
      </c>
      <c r="B89" s="116" t="s">
        <v>58</v>
      </c>
      <c r="F89" s="555"/>
      <c r="G89" s="555"/>
      <c r="H89" s="556"/>
      <c r="I89" s="144">
        <f t="shared" si="11"/>
        <v>0</v>
      </c>
      <c r="J89" s="556"/>
      <c r="K89" s="557">
        <f t="shared" si="12"/>
        <v>0</v>
      </c>
    </row>
    <row r="90" spans="1:11" ht="18" customHeight="1" x14ac:dyDescent="0.4">
      <c r="A90" s="183" t="s">
        <v>118</v>
      </c>
      <c r="B90" s="956" t="s">
        <v>59</v>
      </c>
      <c r="C90" s="957"/>
      <c r="F90" s="555"/>
      <c r="G90" s="555"/>
      <c r="H90" s="556"/>
      <c r="I90" s="144">
        <f t="shared" si="11"/>
        <v>0</v>
      </c>
      <c r="J90" s="556"/>
      <c r="K90" s="557">
        <f t="shared" si="12"/>
        <v>0</v>
      </c>
    </row>
    <row r="91" spans="1:11" ht="18" customHeight="1" x14ac:dyDescent="0.4">
      <c r="A91" s="183" t="s">
        <v>119</v>
      </c>
      <c r="B91" s="116" t="s">
        <v>60</v>
      </c>
      <c r="F91" s="555"/>
      <c r="G91" s="555"/>
      <c r="H91" s="556"/>
      <c r="I91" s="144">
        <f t="shared" si="11"/>
        <v>0</v>
      </c>
      <c r="J91" s="556"/>
      <c r="K91" s="557">
        <f t="shared" si="12"/>
        <v>0</v>
      </c>
    </row>
    <row r="92" spans="1:11" ht="18" customHeight="1" x14ac:dyDescent="0.4">
      <c r="A92" s="183" t="s">
        <v>120</v>
      </c>
      <c r="B92" s="116" t="s">
        <v>121</v>
      </c>
      <c r="F92" s="134"/>
      <c r="G92" s="134"/>
      <c r="H92" s="135"/>
      <c r="I92" s="144">
        <f t="shared" si="11"/>
        <v>0</v>
      </c>
      <c r="J92" s="135"/>
      <c r="K92" s="557">
        <f t="shared" si="12"/>
        <v>0</v>
      </c>
    </row>
    <row r="93" spans="1:11" ht="18" customHeight="1" x14ac:dyDescent="0.4">
      <c r="A93" s="183" t="s">
        <v>122</v>
      </c>
      <c r="B93" s="116" t="s">
        <v>123</v>
      </c>
      <c r="F93" s="555"/>
      <c r="G93" s="555"/>
      <c r="H93" s="556"/>
      <c r="I93" s="144">
        <f t="shared" si="11"/>
        <v>0</v>
      </c>
      <c r="J93" s="556"/>
      <c r="K93" s="557">
        <f t="shared" si="12"/>
        <v>0</v>
      </c>
    </row>
    <row r="94" spans="1:11" ht="18" customHeight="1" x14ac:dyDescent="0.4">
      <c r="A94" s="183" t="s">
        <v>124</v>
      </c>
      <c r="B94" s="980"/>
      <c r="C94" s="974"/>
      <c r="D94" s="975"/>
      <c r="F94" s="555"/>
      <c r="G94" s="555"/>
      <c r="H94" s="556"/>
      <c r="I94" s="144">
        <f t="shared" si="11"/>
        <v>0</v>
      </c>
      <c r="J94" s="556"/>
      <c r="K94" s="557">
        <f t="shared" si="12"/>
        <v>0</v>
      </c>
    </row>
    <row r="95" spans="1:11" ht="18" customHeight="1" x14ac:dyDescent="0.4">
      <c r="A95" s="183" t="s">
        <v>125</v>
      </c>
      <c r="B95" s="980"/>
      <c r="C95" s="974"/>
      <c r="D95" s="975"/>
      <c r="F95" s="555"/>
      <c r="G95" s="555"/>
      <c r="H95" s="556"/>
      <c r="I95" s="144">
        <f t="shared" si="11"/>
        <v>0</v>
      </c>
      <c r="J95" s="556"/>
      <c r="K95" s="557">
        <f t="shared" si="12"/>
        <v>0</v>
      </c>
    </row>
    <row r="96" spans="1:11" ht="18" customHeight="1" x14ac:dyDescent="0.4">
      <c r="A96" s="183" t="s">
        <v>126</v>
      </c>
      <c r="B96" s="980"/>
      <c r="C96" s="974"/>
      <c r="D96" s="975"/>
      <c r="F96" s="555"/>
      <c r="G96" s="555"/>
      <c r="H96" s="556"/>
      <c r="I96" s="144">
        <f t="shared" si="11"/>
        <v>0</v>
      </c>
      <c r="J96" s="556"/>
      <c r="K96" s="557">
        <f t="shared" si="12"/>
        <v>0</v>
      </c>
    </row>
    <row r="97" spans="1:11" ht="18" customHeight="1" x14ac:dyDescent="0.4">
      <c r="A97" s="183"/>
      <c r="B97" s="116"/>
    </row>
    <row r="98" spans="1:11" ht="18" customHeight="1" x14ac:dyDescent="0.4">
      <c r="A98" s="120" t="s">
        <v>150</v>
      </c>
      <c r="B98" s="117" t="s">
        <v>151</v>
      </c>
      <c r="E98" s="117" t="s">
        <v>7</v>
      </c>
      <c r="F98" s="560">
        <f t="shared" ref="F98:K98" si="13">SUM(F86:F96)</f>
        <v>12</v>
      </c>
      <c r="G98" s="560">
        <f t="shared" si="13"/>
        <v>365</v>
      </c>
      <c r="H98" s="560">
        <f t="shared" si="13"/>
        <v>28077</v>
      </c>
      <c r="I98" s="560">
        <f t="shared" si="13"/>
        <v>19331.014500000001</v>
      </c>
      <c r="J98" s="560">
        <f t="shared" si="13"/>
        <v>24782</v>
      </c>
      <c r="K98" s="560">
        <f t="shared" si="13"/>
        <v>22626.014500000005</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161</v>
      </c>
      <c r="G102" s="555"/>
      <c r="H102" s="556">
        <v>11987</v>
      </c>
      <c r="I102" s="144">
        <f>H102*F$114</f>
        <v>8253.0494999999992</v>
      </c>
      <c r="J102" s="556"/>
      <c r="K102" s="557">
        <f>(H102+I102)-J102</f>
        <v>20240.049500000001</v>
      </c>
    </row>
    <row r="103" spans="1:11" ht="18" customHeight="1" x14ac:dyDescent="0.4">
      <c r="A103" s="183" t="s">
        <v>132</v>
      </c>
      <c r="B103" s="956" t="s">
        <v>62</v>
      </c>
      <c r="C103" s="956"/>
      <c r="F103" s="555">
        <v>200</v>
      </c>
      <c r="G103" s="555"/>
      <c r="H103" s="556">
        <v>24095</v>
      </c>
      <c r="I103" s="144">
        <f>H103*F$114</f>
        <v>16589.407500000001</v>
      </c>
      <c r="J103" s="556"/>
      <c r="K103" s="557">
        <f>(H103+I103)-J103</f>
        <v>40684.407500000001</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4">SUM(F102:F106)</f>
        <v>361</v>
      </c>
      <c r="G108" s="560">
        <f t="shared" si="14"/>
        <v>0</v>
      </c>
      <c r="H108" s="557">
        <f t="shared" si="14"/>
        <v>36082</v>
      </c>
      <c r="I108" s="557">
        <f t="shared" si="14"/>
        <v>24842.457000000002</v>
      </c>
      <c r="J108" s="557">
        <f t="shared" si="14"/>
        <v>0</v>
      </c>
      <c r="K108" s="557">
        <f t="shared" si="14"/>
        <v>60924.457000000002</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7002000</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0.6885</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358906000</v>
      </c>
    </row>
    <row r="118" spans="1:6" ht="18" customHeight="1" x14ac:dyDescent="0.4">
      <c r="A118" s="183" t="s">
        <v>173</v>
      </c>
      <c r="B118" s="189" t="s">
        <v>18</v>
      </c>
      <c r="F118" s="556">
        <v>9523000</v>
      </c>
    </row>
    <row r="119" spans="1:6" ht="18" customHeight="1" x14ac:dyDescent="0.4">
      <c r="A119" s="183" t="s">
        <v>174</v>
      </c>
      <c r="B119" s="117" t="s">
        <v>19</v>
      </c>
      <c r="F119" s="567">
        <f>SUM(F117:F118)</f>
        <v>368429000</v>
      </c>
    </row>
    <row r="120" spans="1:6" ht="18" customHeight="1" x14ac:dyDescent="0.4">
      <c r="A120" s="183"/>
      <c r="B120" s="117"/>
    </row>
    <row r="121" spans="1:6" ht="18" customHeight="1" x14ac:dyDescent="0.4">
      <c r="A121" s="183" t="s">
        <v>167</v>
      </c>
      <c r="B121" s="117" t="s">
        <v>36</v>
      </c>
      <c r="F121" s="556">
        <v>340006000</v>
      </c>
    </row>
    <row r="122" spans="1:6" ht="18" customHeight="1" x14ac:dyDescent="0.4">
      <c r="A122" s="183"/>
    </row>
    <row r="123" spans="1:6" ht="18" customHeight="1" x14ac:dyDescent="0.4">
      <c r="A123" s="183" t="s">
        <v>175</v>
      </c>
      <c r="B123" s="117" t="s">
        <v>20</v>
      </c>
      <c r="F123" s="556">
        <v>28423000</v>
      </c>
    </row>
    <row r="124" spans="1:6" ht="18" customHeight="1" x14ac:dyDescent="0.4">
      <c r="A124" s="183"/>
    </row>
    <row r="125" spans="1:6" ht="18" customHeight="1" x14ac:dyDescent="0.4">
      <c r="A125" s="183" t="s">
        <v>176</v>
      </c>
      <c r="B125" s="117" t="s">
        <v>21</v>
      </c>
      <c r="F125" s="556">
        <v>8075000</v>
      </c>
    </row>
    <row r="126" spans="1:6" ht="18" customHeight="1" x14ac:dyDescent="0.4">
      <c r="A126" s="183"/>
    </row>
    <row r="127" spans="1:6" ht="18" customHeight="1" x14ac:dyDescent="0.4">
      <c r="A127" s="183" t="s">
        <v>177</v>
      </c>
      <c r="B127" s="117" t="s">
        <v>22</v>
      </c>
      <c r="F127" s="556">
        <v>33498000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5">SUM(F131:F135)</f>
        <v>0</v>
      </c>
      <c r="G137" s="560">
        <f t="shared" si="15"/>
        <v>0</v>
      </c>
      <c r="H137" s="557">
        <f t="shared" si="15"/>
        <v>0</v>
      </c>
      <c r="I137" s="557">
        <f t="shared" si="15"/>
        <v>0</v>
      </c>
      <c r="J137" s="557">
        <f t="shared" si="15"/>
        <v>0</v>
      </c>
      <c r="K137" s="557">
        <f t="shared" si="15"/>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6">F36</f>
        <v>69948</v>
      </c>
      <c r="G141" s="136">
        <f t="shared" si="16"/>
        <v>31375</v>
      </c>
      <c r="H141" s="136">
        <f t="shared" si="16"/>
        <v>2843097</v>
      </c>
      <c r="I141" s="136">
        <f t="shared" si="16"/>
        <v>1957472.2845000001</v>
      </c>
      <c r="J141" s="136">
        <f t="shared" si="16"/>
        <v>1075320</v>
      </c>
      <c r="K141" s="136">
        <f t="shared" si="16"/>
        <v>3725249.2845000001</v>
      </c>
    </row>
    <row r="142" spans="1:11" ht="18" customHeight="1" x14ac:dyDescent="0.4">
      <c r="A142" s="183" t="s">
        <v>142</v>
      </c>
      <c r="B142" s="117" t="s">
        <v>65</v>
      </c>
      <c r="F142" s="136">
        <f t="shared" ref="F142:K142" si="17">F49</f>
        <v>0</v>
      </c>
      <c r="G142" s="136">
        <f t="shared" si="17"/>
        <v>0</v>
      </c>
      <c r="H142" s="136">
        <f t="shared" si="17"/>
        <v>50001</v>
      </c>
      <c r="I142" s="136">
        <f t="shared" si="17"/>
        <v>0</v>
      </c>
      <c r="J142" s="136">
        <f t="shared" si="17"/>
        <v>0</v>
      </c>
      <c r="K142" s="136">
        <f t="shared" si="17"/>
        <v>50001</v>
      </c>
    </row>
    <row r="143" spans="1:11" ht="18" customHeight="1" x14ac:dyDescent="0.4">
      <c r="A143" s="183" t="s">
        <v>144</v>
      </c>
      <c r="B143" s="117" t="s">
        <v>66</v>
      </c>
      <c r="F143" s="136">
        <f t="shared" ref="F143:K143" si="18">F64</f>
        <v>284476</v>
      </c>
      <c r="G143" s="136">
        <f t="shared" si="18"/>
        <v>58933</v>
      </c>
      <c r="H143" s="136">
        <f t="shared" si="18"/>
        <v>10441991</v>
      </c>
      <c r="I143" s="136">
        <f t="shared" si="18"/>
        <v>7189310.8035000004</v>
      </c>
      <c r="J143" s="136">
        <f t="shared" si="18"/>
        <v>13578</v>
      </c>
      <c r="K143" s="136">
        <f t="shared" si="18"/>
        <v>17617723.8035</v>
      </c>
    </row>
    <row r="144" spans="1:11" ht="18" customHeight="1" x14ac:dyDescent="0.4">
      <c r="A144" s="183" t="s">
        <v>146</v>
      </c>
      <c r="B144" s="117" t="s">
        <v>67</v>
      </c>
      <c r="F144" s="136">
        <f t="shared" ref="F144:K144" si="19">F74</f>
        <v>6062</v>
      </c>
      <c r="G144" s="136">
        <f t="shared" si="19"/>
        <v>48</v>
      </c>
      <c r="H144" s="136">
        <f t="shared" si="19"/>
        <v>249377</v>
      </c>
      <c r="I144" s="136">
        <f t="shared" si="19"/>
        <v>171696.06450000001</v>
      </c>
      <c r="J144" s="136">
        <f t="shared" si="19"/>
        <v>240114</v>
      </c>
      <c r="K144" s="136">
        <f t="shared" si="19"/>
        <v>180959.06449999998</v>
      </c>
    </row>
    <row r="145" spans="1:11" ht="18" customHeight="1" x14ac:dyDescent="0.4">
      <c r="A145" s="183" t="s">
        <v>148</v>
      </c>
      <c r="B145" s="117" t="s">
        <v>68</v>
      </c>
      <c r="F145" s="136">
        <f t="shared" ref="F145:K145" si="20">F82</f>
        <v>0</v>
      </c>
      <c r="G145" s="136">
        <f t="shared" si="20"/>
        <v>0</v>
      </c>
      <c r="H145" s="136">
        <f t="shared" si="20"/>
        <v>76552</v>
      </c>
      <c r="I145" s="136">
        <f t="shared" si="20"/>
        <v>0</v>
      </c>
      <c r="J145" s="136">
        <f t="shared" si="20"/>
        <v>0</v>
      </c>
      <c r="K145" s="136">
        <f t="shared" si="20"/>
        <v>76552</v>
      </c>
    </row>
    <row r="146" spans="1:11" ht="18" customHeight="1" x14ac:dyDescent="0.4">
      <c r="A146" s="183" t="s">
        <v>150</v>
      </c>
      <c r="B146" s="117" t="s">
        <v>69</v>
      </c>
      <c r="F146" s="136">
        <f t="shared" ref="F146:K146" si="21">F98</f>
        <v>12</v>
      </c>
      <c r="G146" s="136">
        <f t="shared" si="21"/>
        <v>365</v>
      </c>
      <c r="H146" s="136">
        <f t="shared" si="21"/>
        <v>28077</v>
      </c>
      <c r="I146" s="136">
        <f t="shared" si="21"/>
        <v>19331.014500000001</v>
      </c>
      <c r="J146" s="136">
        <f t="shared" si="21"/>
        <v>24782</v>
      </c>
      <c r="K146" s="136">
        <f t="shared" si="21"/>
        <v>22626.014500000005</v>
      </c>
    </row>
    <row r="147" spans="1:11" ht="18" customHeight="1" x14ac:dyDescent="0.4">
      <c r="A147" s="183" t="s">
        <v>153</v>
      </c>
      <c r="B147" s="117" t="s">
        <v>61</v>
      </c>
      <c r="F147" s="560">
        <f t="shared" ref="F147:K147" si="22">F108</f>
        <v>361</v>
      </c>
      <c r="G147" s="560">
        <f t="shared" si="22"/>
        <v>0</v>
      </c>
      <c r="H147" s="560">
        <f t="shared" si="22"/>
        <v>36082</v>
      </c>
      <c r="I147" s="560">
        <f t="shared" si="22"/>
        <v>24842.457000000002</v>
      </c>
      <c r="J147" s="560">
        <f t="shared" si="22"/>
        <v>0</v>
      </c>
      <c r="K147" s="560">
        <f t="shared" si="22"/>
        <v>60924.457000000002</v>
      </c>
    </row>
    <row r="148" spans="1:11" ht="18" customHeight="1" x14ac:dyDescent="0.4">
      <c r="A148" s="183" t="s">
        <v>155</v>
      </c>
      <c r="B148" s="117" t="s">
        <v>70</v>
      </c>
      <c r="F148" s="137" t="s">
        <v>73</v>
      </c>
      <c r="G148" s="137" t="s">
        <v>73</v>
      </c>
      <c r="H148" s="138" t="s">
        <v>73</v>
      </c>
      <c r="I148" s="138" t="s">
        <v>73</v>
      </c>
      <c r="J148" s="138" t="s">
        <v>73</v>
      </c>
      <c r="K148" s="133">
        <f>F111</f>
        <v>7002000</v>
      </c>
    </row>
    <row r="149" spans="1:11" ht="18" customHeight="1" x14ac:dyDescent="0.4">
      <c r="A149" s="183" t="s">
        <v>163</v>
      </c>
      <c r="B149" s="117" t="s">
        <v>71</v>
      </c>
      <c r="F149" s="560">
        <f t="shared" ref="F149:K149" si="23">F137</f>
        <v>0</v>
      </c>
      <c r="G149" s="560">
        <f t="shared" si="23"/>
        <v>0</v>
      </c>
      <c r="H149" s="560">
        <f t="shared" si="23"/>
        <v>0</v>
      </c>
      <c r="I149" s="560">
        <f t="shared" si="23"/>
        <v>0</v>
      </c>
      <c r="J149" s="560">
        <f t="shared" si="23"/>
        <v>0</v>
      </c>
      <c r="K149" s="560">
        <f t="shared" si="23"/>
        <v>0</v>
      </c>
    </row>
    <row r="150" spans="1:11" ht="18" customHeight="1" x14ac:dyDescent="0.4">
      <c r="A150" s="183" t="s">
        <v>185</v>
      </c>
      <c r="B150" s="117" t="s">
        <v>186</v>
      </c>
      <c r="F150" s="137" t="s">
        <v>73</v>
      </c>
      <c r="G150" s="137" t="s">
        <v>73</v>
      </c>
      <c r="H150" s="560">
        <f>H18</f>
        <v>6764267</v>
      </c>
      <c r="I150" s="560">
        <f>I18</f>
        <v>0</v>
      </c>
      <c r="J150" s="560">
        <f>J18</f>
        <v>5623319</v>
      </c>
      <c r="K150" s="560">
        <f>K18</f>
        <v>1140948</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4">SUM(F141:F150)</f>
        <v>360859</v>
      </c>
      <c r="G152" s="143">
        <f t="shared" si="24"/>
        <v>90721</v>
      </c>
      <c r="H152" s="143">
        <f t="shared" si="24"/>
        <v>20489444</v>
      </c>
      <c r="I152" s="143">
        <f t="shared" si="24"/>
        <v>9362652.6239999998</v>
      </c>
      <c r="J152" s="143">
        <f t="shared" si="24"/>
        <v>6977113</v>
      </c>
      <c r="K152" s="143">
        <f t="shared" si="24"/>
        <v>29876983.623999998</v>
      </c>
    </row>
    <row r="154" spans="1:11" ht="18" customHeight="1" x14ac:dyDescent="0.4">
      <c r="A154" s="120" t="s">
        <v>168</v>
      </c>
      <c r="B154" s="117" t="s">
        <v>28</v>
      </c>
      <c r="F154" s="571">
        <f>K152/F121</f>
        <v>8.7871930565931178E-2</v>
      </c>
    </row>
    <row r="155" spans="1:11" ht="18" customHeight="1" x14ac:dyDescent="0.4">
      <c r="A155" s="120" t="s">
        <v>169</v>
      </c>
      <c r="B155" s="117" t="s">
        <v>72</v>
      </c>
      <c r="F155" s="571">
        <f>K152/F127</f>
        <v>0.89190350540330765</v>
      </c>
      <c r="G155" s="117"/>
    </row>
    <row r="156" spans="1:11" ht="18" customHeight="1" x14ac:dyDescent="0.4">
      <c r="G156" s="117"/>
    </row>
  </sheetData>
  <mergeCells count="34">
    <mergeCell ref="B103:C103"/>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31:D31"/>
    <mergeCell ref="B96:D96"/>
    <mergeCell ref="B95:D95"/>
    <mergeCell ref="B57:D57"/>
    <mergeCell ref="B94:D94"/>
    <mergeCell ref="B52:C52"/>
    <mergeCell ref="B90:C90"/>
    <mergeCell ref="B53:D53"/>
    <mergeCell ref="B55:D55"/>
    <mergeCell ref="B56:D56"/>
    <mergeCell ref="B59:D59"/>
    <mergeCell ref="B62:D62"/>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156"/>
  <sheetViews>
    <sheetView showGridLines="0" zoomScale="70" zoomScaleNormal="70" zoomScaleSheetLayoutView="50" workbookViewId="0">
      <selection activeCell="B9" sqref="B9"/>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3" width="9" style="189"/>
    <col min="14" max="14" width="24.59765625" style="189" customWidth="1"/>
    <col min="15"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722</v>
      </c>
      <c r="D5" s="962"/>
      <c r="E5" s="962"/>
      <c r="F5" s="962"/>
      <c r="G5" s="963"/>
    </row>
    <row r="6" spans="1:11" ht="18" customHeight="1" x14ac:dyDescent="0.4">
      <c r="B6" s="183" t="s">
        <v>3</v>
      </c>
      <c r="C6" s="964">
        <v>210006</v>
      </c>
      <c r="D6" s="965"/>
      <c r="E6" s="965"/>
      <c r="F6" s="965"/>
      <c r="G6" s="966"/>
    </row>
    <row r="7" spans="1:11" ht="18" customHeight="1" x14ac:dyDescent="0.4">
      <c r="B7" s="183" t="s">
        <v>4</v>
      </c>
      <c r="C7" s="1014">
        <v>1022</v>
      </c>
      <c r="D7" s="1015"/>
      <c r="E7" s="1015"/>
      <c r="F7" s="1015"/>
      <c r="G7" s="1016"/>
    </row>
    <row r="9" spans="1:11" ht="18" customHeight="1" x14ac:dyDescent="0.4">
      <c r="B9" s="183" t="s">
        <v>1</v>
      </c>
      <c r="C9" s="961" t="s">
        <v>723</v>
      </c>
      <c r="D9" s="962"/>
      <c r="E9" s="962"/>
      <c r="F9" s="962"/>
      <c r="G9" s="963"/>
    </row>
    <row r="10" spans="1:11" ht="18" customHeight="1" x14ac:dyDescent="0.4">
      <c r="B10" s="183" t="s">
        <v>2</v>
      </c>
      <c r="C10" s="970" t="s">
        <v>421</v>
      </c>
      <c r="D10" s="971"/>
      <c r="E10" s="971"/>
      <c r="F10" s="971"/>
      <c r="G10" s="972"/>
    </row>
    <row r="11" spans="1:11" ht="18" customHeight="1" x14ac:dyDescent="0.4">
      <c r="B11" s="183" t="s">
        <v>32</v>
      </c>
      <c r="C11" s="954" t="s">
        <v>724</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2060303</v>
      </c>
      <c r="I18" s="144">
        <v>0</v>
      </c>
      <c r="J18" s="556">
        <v>1712786</v>
      </c>
      <c r="K18" s="557">
        <f>(H18+I18)-J18</f>
        <v>347517</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1828</v>
      </c>
      <c r="G21" s="555">
        <v>81526</v>
      </c>
      <c r="H21" s="556">
        <v>94124</v>
      </c>
      <c r="I21" s="144">
        <f t="shared" ref="I21:I34" si="0">H21*F$114</f>
        <v>73416.72</v>
      </c>
      <c r="J21" s="556">
        <v>10256.4</v>
      </c>
      <c r="K21" s="557">
        <f t="shared" ref="K21:K34" si="1">(H21+I21)-J21</f>
        <v>157284.32</v>
      </c>
    </row>
    <row r="22" spans="1:11" ht="18" customHeight="1" x14ac:dyDescent="0.4">
      <c r="A22" s="183" t="s">
        <v>76</v>
      </c>
      <c r="B22" s="189" t="s">
        <v>6</v>
      </c>
      <c r="F22" s="555">
        <v>191</v>
      </c>
      <c r="G22" s="555">
        <v>726</v>
      </c>
      <c r="H22" s="556">
        <v>7538</v>
      </c>
      <c r="I22" s="144">
        <f t="shared" si="0"/>
        <v>5879.64</v>
      </c>
      <c r="J22" s="556">
        <v>0</v>
      </c>
      <c r="K22" s="557">
        <f t="shared" si="1"/>
        <v>13417.64</v>
      </c>
    </row>
    <row r="23" spans="1:11" ht="18" customHeight="1" x14ac:dyDescent="0.4">
      <c r="A23" s="183" t="s">
        <v>77</v>
      </c>
      <c r="B23" s="189" t="s">
        <v>43</v>
      </c>
      <c r="F23" s="555">
        <v>144</v>
      </c>
      <c r="G23" s="555">
        <v>94</v>
      </c>
      <c r="H23" s="556">
        <v>9475</v>
      </c>
      <c r="I23" s="144">
        <f t="shared" si="0"/>
        <v>7390.5</v>
      </c>
      <c r="J23" s="556">
        <v>3360</v>
      </c>
      <c r="K23" s="557">
        <f t="shared" si="1"/>
        <v>13505.5</v>
      </c>
    </row>
    <row r="24" spans="1:11" ht="18" customHeight="1" x14ac:dyDescent="0.4">
      <c r="A24" s="183" t="s">
        <v>78</v>
      </c>
      <c r="B24" s="189" t="s">
        <v>44</v>
      </c>
      <c r="F24" s="555">
        <v>1887</v>
      </c>
      <c r="G24" s="555">
        <v>662</v>
      </c>
      <c r="H24" s="556">
        <v>467910</v>
      </c>
      <c r="I24" s="144">
        <f t="shared" si="0"/>
        <v>364969.8</v>
      </c>
      <c r="J24" s="556">
        <v>70268.100000000006</v>
      </c>
      <c r="K24" s="557">
        <f t="shared" si="1"/>
        <v>762611.70000000007</v>
      </c>
    </row>
    <row r="25" spans="1:11" ht="18" customHeight="1" x14ac:dyDescent="0.4">
      <c r="A25" s="183" t="s">
        <v>79</v>
      </c>
      <c r="B25" s="189" t="s">
        <v>5</v>
      </c>
      <c r="F25" s="555">
        <v>284</v>
      </c>
      <c r="G25" s="555">
        <v>1216</v>
      </c>
      <c r="H25" s="556">
        <v>12426</v>
      </c>
      <c r="I25" s="144">
        <f t="shared" si="0"/>
        <v>9692.2800000000007</v>
      </c>
      <c r="J25" s="556">
        <v>0</v>
      </c>
      <c r="K25" s="557">
        <f t="shared" si="1"/>
        <v>22118.28</v>
      </c>
    </row>
    <row r="26" spans="1:11" ht="18" customHeight="1" x14ac:dyDescent="0.4">
      <c r="A26" s="183" t="s">
        <v>80</v>
      </c>
      <c r="B26" s="189" t="s">
        <v>45</v>
      </c>
      <c r="F26" s="555">
        <v>0</v>
      </c>
      <c r="G26" s="555">
        <v>0</v>
      </c>
      <c r="H26" s="556">
        <v>0</v>
      </c>
      <c r="I26" s="144">
        <f t="shared" si="0"/>
        <v>0</v>
      </c>
      <c r="J26" s="556">
        <v>0</v>
      </c>
      <c r="K26" s="557">
        <f t="shared" si="1"/>
        <v>0</v>
      </c>
    </row>
    <row r="27" spans="1:11" ht="18" customHeight="1" x14ac:dyDescent="0.4">
      <c r="A27" s="183" t="s">
        <v>81</v>
      </c>
      <c r="B27" s="189" t="s">
        <v>498</v>
      </c>
      <c r="F27" s="555">
        <v>0</v>
      </c>
      <c r="G27" s="555">
        <v>0</v>
      </c>
      <c r="H27" s="556">
        <v>0</v>
      </c>
      <c r="I27" s="144">
        <f t="shared" si="0"/>
        <v>0</v>
      </c>
      <c r="J27" s="556">
        <v>0</v>
      </c>
      <c r="K27" s="557">
        <f t="shared" si="1"/>
        <v>0</v>
      </c>
    </row>
    <row r="28" spans="1:11" ht="18" customHeight="1" x14ac:dyDescent="0.4">
      <c r="A28" s="183" t="s">
        <v>82</v>
      </c>
      <c r="B28" s="189" t="s">
        <v>47</v>
      </c>
      <c r="F28" s="555">
        <v>648</v>
      </c>
      <c r="G28" s="555">
        <v>58</v>
      </c>
      <c r="H28" s="556">
        <v>16724</v>
      </c>
      <c r="I28" s="144">
        <f t="shared" si="0"/>
        <v>13044.720000000001</v>
      </c>
      <c r="J28" s="556">
        <v>605.1</v>
      </c>
      <c r="K28" s="557">
        <f t="shared" si="1"/>
        <v>29163.620000000003</v>
      </c>
    </row>
    <row r="29" spans="1:11" ht="18" customHeight="1" x14ac:dyDescent="0.4">
      <c r="A29" s="183" t="s">
        <v>83</v>
      </c>
      <c r="B29" s="189" t="s">
        <v>48</v>
      </c>
      <c r="F29" s="555">
        <v>714</v>
      </c>
      <c r="G29" s="555">
        <v>1595</v>
      </c>
      <c r="H29" s="556">
        <v>133739</v>
      </c>
      <c r="I29" s="144">
        <f t="shared" si="0"/>
        <v>104316.42</v>
      </c>
      <c r="J29" s="556">
        <v>0</v>
      </c>
      <c r="K29" s="557">
        <f t="shared" si="1"/>
        <v>238055.41999999998</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5696</v>
      </c>
      <c r="G36" s="560">
        <f t="shared" si="2"/>
        <v>85877</v>
      </c>
      <c r="H36" s="560">
        <f>SUM(H21:H34)</f>
        <v>741936</v>
      </c>
      <c r="I36" s="557">
        <f t="shared" si="2"/>
        <v>578710.08000000007</v>
      </c>
      <c r="J36" s="557">
        <f t="shared" si="2"/>
        <v>84489.600000000006</v>
      </c>
      <c r="K36" s="557">
        <f t="shared" si="2"/>
        <v>1236156.4800000002</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573</v>
      </c>
      <c r="G40" s="555">
        <v>0</v>
      </c>
      <c r="H40" s="556">
        <v>65185</v>
      </c>
      <c r="I40" s="144">
        <f t="shared" ref="I40:I47" si="3">H40*F$114</f>
        <v>50844.3</v>
      </c>
      <c r="J40" s="556">
        <v>0</v>
      </c>
      <c r="K40" s="557">
        <f t="shared" ref="K40:K47" si="4">(H40+I40)-J40</f>
        <v>116029.3</v>
      </c>
    </row>
    <row r="41" spans="1:11" ht="18" customHeight="1" x14ac:dyDescent="0.4">
      <c r="A41" s="183" t="s">
        <v>88</v>
      </c>
      <c r="B41" s="956" t="s">
        <v>50</v>
      </c>
      <c r="C41" s="957"/>
      <c r="F41" s="555">
        <v>1025</v>
      </c>
      <c r="G41" s="555">
        <v>0</v>
      </c>
      <c r="H41" s="556">
        <v>41477</v>
      </c>
      <c r="I41" s="144">
        <f t="shared" si="3"/>
        <v>32352.06</v>
      </c>
      <c r="J41" s="556">
        <v>0</v>
      </c>
      <c r="K41" s="557">
        <f t="shared" si="4"/>
        <v>73829.06</v>
      </c>
    </row>
    <row r="42" spans="1:11" ht="18" customHeight="1" x14ac:dyDescent="0.4">
      <c r="A42" s="183" t="s">
        <v>89</v>
      </c>
      <c r="B42" s="116" t="s">
        <v>11</v>
      </c>
      <c r="F42" s="555">
        <v>3940</v>
      </c>
      <c r="G42" s="555">
        <v>0</v>
      </c>
      <c r="H42" s="556">
        <v>165476</v>
      </c>
      <c r="I42" s="144">
        <f t="shared" si="3"/>
        <v>129071.28</v>
      </c>
      <c r="J42" s="556">
        <v>0</v>
      </c>
      <c r="K42" s="557">
        <f t="shared" si="4"/>
        <v>294547.28000000003</v>
      </c>
    </row>
    <row r="43" spans="1:11" ht="18" customHeight="1" x14ac:dyDescent="0.4">
      <c r="A43" s="183" t="s">
        <v>90</v>
      </c>
      <c r="B43" s="141" t="s">
        <v>10</v>
      </c>
      <c r="C43" s="123"/>
      <c r="D43" s="123"/>
      <c r="F43" s="555"/>
      <c r="G43" s="555"/>
      <c r="H43" s="556"/>
      <c r="I43" s="144">
        <f t="shared" si="3"/>
        <v>0</v>
      </c>
      <c r="J43" s="556"/>
      <c r="K43" s="557">
        <f t="shared" si="4"/>
        <v>0</v>
      </c>
    </row>
    <row r="44" spans="1:11" ht="18" customHeight="1" x14ac:dyDescent="0.4">
      <c r="A44" s="183" t="s">
        <v>91</v>
      </c>
      <c r="B44" s="951"/>
      <c r="C44" s="952"/>
      <c r="D44" s="953"/>
      <c r="F44" s="561"/>
      <c r="G44" s="561"/>
      <c r="H44" s="561"/>
      <c r="I44" s="144">
        <f t="shared" si="3"/>
        <v>0</v>
      </c>
      <c r="J44" s="561"/>
      <c r="K44" s="562">
        <f t="shared" si="4"/>
        <v>0</v>
      </c>
    </row>
    <row r="45" spans="1:11" ht="18" customHeight="1" x14ac:dyDescent="0.4">
      <c r="A45" s="183" t="s">
        <v>139</v>
      </c>
      <c r="B45" s="951"/>
      <c r="C45" s="952"/>
      <c r="D45" s="953"/>
      <c r="F45" s="555"/>
      <c r="G45" s="555"/>
      <c r="H45" s="556"/>
      <c r="I45" s="144">
        <f t="shared" si="3"/>
        <v>0</v>
      </c>
      <c r="J45" s="556"/>
      <c r="K45" s="557">
        <f t="shared" si="4"/>
        <v>0</v>
      </c>
    </row>
    <row r="46" spans="1:11" ht="18" customHeight="1" x14ac:dyDescent="0.4">
      <c r="A46" s="183" t="s">
        <v>140</v>
      </c>
      <c r="B46" s="951"/>
      <c r="C46" s="952"/>
      <c r="D46" s="953"/>
      <c r="F46" s="555"/>
      <c r="G46" s="555"/>
      <c r="H46" s="556"/>
      <c r="I46" s="144">
        <f t="shared" si="3"/>
        <v>0</v>
      </c>
      <c r="J46" s="556"/>
      <c r="K46" s="557">
        <f t="shared" si="4"/>
        <v>0</v>
      </c>
    </row>
    <row r="47" spans="1:11" ht="18" customHeight="1" x14ac:dyDescent="0.4">
      <c r="A47" s="183" t="s">
        <v>141</v>
      </c>
      <c r="B47" s="951"/>
      <c r="C47" s="952"/>
      <c r="D47" s="953"/>
      <c r="F47" s="555"/>
      <c r="G47" s="555"/>
      <c r="H47" s="556"/>
      <c r="I47" s="144">
        <f t="shared" si="3"/>
        <v>0</v>
      </c>
      <c r="J47" s="556"/>
      <c r="K47" s="557">
        <f t="shared" si="4"/>
        <v>0</v>
      </c>
    </row>
    <row r="49" spans="1:15" ht="18" customHeight="1" x14ac:dyDescent="0.4">
      <c r="A49" s="120" t="s">
        <v>142</v>
      </c>
      <c r="B49" s="117" t="s">
        <v>143</v>
      </c>
      <c r="E49" s="117" t="s">
        <v>7</v>
      </c>
      <c r="F49" s="563">
        <f t="shared" ref="F49:K49" si="5">SUM(F40:F47)</f>
        <v>5538</v>
      </c>
      <c r="G49" s="563">
        <f t="shared" si="5"/>
        <v>0</v>
      </c>
      <c r="H49" s="557">
        <f t="shared" si="5"/>
        <v>272138</v>
      </c>
      <c r="I49" s="557">
        <f t="shared" si="5"/>
        <v>212267.64</v>
      </c>
      <c r="J49" s="557">
        <f t="shared" si="5"/>
        <v>0</v>
      </c>
      <c r="K49" s="557">
        <f t="shared" si="5"/>
        <v>484405.64</v>
      </c>
    </row>
    <row r="50" spans="1:15" ht="18" customHeight="1" thickBot="1" x14ac:dyDescent="0.4">
      <c r="G50" s="129"/>
      <c r="H50" s="129"/>
      <c r="I50" s="129"/>
      <c r="J50" s="129"/>
      <c r="K50" s="129"/>
    </row>
    <row r="51" spans="1:15" ht="42.75" customHeight="1" x14ac:dyDescent="0.4">
      <c r="F51" s="122" t="s">
        <v>9</v>
      </c>
      <c r="G51" s="122" t="s">
        <v>37</v>
      </c>
      <c r="H51" s="122" t="s">
        <v>29</v>
      </c>
      <c r="I51" s="122" t="s">
        <v>30</v>
      </c>
      <c r="J51" s="122" t="s">
        <v>33</v>
      </c>
      <c r="K51" s="122" t="s">
        <v>34</v>
      </c>
    </row>
    <row r="52" spans="1:15" ht="18" customHeight="1" x14ac:dyDescent="0.4">
      <c r="A52" s="120" t="s">
        <v>92</v>
      </c>
      <c r="B52" s="976" t="s">
        <v>38</v>
      </c>
      <c r="C52" s="977"/>
    </row>
    <row r="53" spans="1:15" ht="18" customHeight="1" x14ac:dyDescent="0.4">
      <c r="A53" s="183" t="s">
        <v>51</v>
      </c>
      <c r="B53" s="1019" t="s">
        <v>458</v>
      </c>
      <c r="C53" s="979"/>
      <c r="D53" s="975"/>
      <c r="F53" s="555"/>
      <c r="G53" s="555"/>
      <c r="H53" s="556">
        <f>576783+98000</f>
        <v>674783</v>
      </c>
      <c r="I53" s="144">
        <v>0</v>
      </c>
      <c r="J53" s="556"/>
      <c r="K53" s="557">
        <f t="shared" ref="K53:K62" si="6">(H53+I53)-J53</f>
        <v>674783</v>
      </c>
    </row>
    <row r="54" spans="1:15" ht="18" customHeight="1" x14ac:dyDescent="0.4">
      <c r="A54" s="183" t="s">
        <v>93</v>
      </c>
      <c r="B54" s="503" t="s">
        <v>542</v>
      </c>
      <c r="C54" s="504"/>
      <c r="D54" s="505"/>
      <c r="F54" s="555"/>
      <c r="G54" s="555"/>
      <c r="H54" s="556">
        <v>121100</v>
      </c>
      <c r="I54" s="144">
        <v>0</v>
      </c>
      <c r="J54" s="556"/>
      <c r="K54" s="557">
        <f t="shared" si="6"/>
        <v>121100</v>
      </c>
    </row>
    <row r="55" spans="1:15" ht="18" customHeight="1" x14ac:dyDescent="0.4">
      <c r="A55" s="183" t="s">
        <v>94</v>
      </c>
      <c r="B55" s="980" t="s">
        <v>422</v>
      </c>
      <c r="C55" s="974"/>
      <c r="D55" s="975"/>
      <c r="F55" s="555"/>
      <c r="G55" s="555"/>
      <c r="H55" s="556">
        <f>1154538</f>
        <v>1154538</v>
      </c>
      <c r="I55" s="144">
        <v>0</v>
      </c>
      <c r="J55" s="556"/>
      <c r="K55" s="557">
        <f t="shared" si="6"/>
        <v>1154538</v>
      </c>
    </row>
    <row r="56" spans="1:15" ht="18" customHeight="1" x14ac:dyDescent="0.4">
      <c r="A56" s="183" t="s">
        <v>95</v>
      </c>
      <c r="B56" s="980" t="s">
        <v>725</v>
      </c>
      <c r="C56" s="974"/>
      <c r="D56" s="975"/>
      <c r="F56" s="555"/>
      <c r="G56" s="555"/>
      <c r="H56" s="556">
        <v>1572838</v>
      </c>
      <c r="I56" s="144">
        <v>0</v>
      </c>
      <c r="J56" s="556">
        <v>662302</v>
      </c>
      <c r="K56" s="557">
        <f t="shared" si="6"/>
        <v>910536</v>
      </c>
      <c r="N56" s="189">
        <f>5242794*30%</f>
        <v>1572838.2</v>
      </c>
      <c r="O56" s="189">
        <f>2207672*30%</f>
        <v>662301.6</v>
      </c>
    </row>
    <row r="57" spans="1:15" ht="18" customHeight="1" x14ac:dyDescent="0.4">
      <c r="A57" s="183" t="s">
        <v>96</v>
      </c>
      <c r="B57" s="980"/>
      <c r="C57" s="974"/>
      <c r="D57" s="975"/>
      <c r="F57" s="555"/>
      <c r="G57" s="555"/>
      <c r="H57" s="556"/>
      <c r="I57" s="144">
        <v>0</v>
      </c>
      <c r="J57" s="556"/>
      <c r="K57" s="557">
        <f t="shared" si="6"/>
        <v>0</v>
      </c>
    </row>
    <row r="58" spans="1:15" ht="18" customHeight="1" x14ac:dyDescent="0.4">
      <c r="A58" s="183" t="s">
        <v>97</v>
      </c>
      <c r="B58" s="503"/>
      <c r="C58" s="504"/>
      <c r="D58" s="505"/>
      <c r="F58" s="555"/>
      <c r="G58" s="555"/>
      <c r="H58" s="556"/>
      <c r="I58" s="144">
        <v>0</v>
      </c>
      <c r="J58" s="556"/>
      <c r="K58" s="557">
        <f t="shared" si="6"/>
        <v>0</v>
      </c>
    </row>
    <row r="59" spans="1:15" ht="18" customHeight="1" x14ac:dyDescent="0.4">
      <c r="A59" s="183" t="s">
        <v>98</v>
      </c>
      <c r="B59" s="980"/>
      <c r="C59" s="974"/>
      <c r="D59" s="975"/>
      <c r="F59" s="555"/>
      <c r="G59" s="555"/>
      <c r="H59" s="556"/>
      <c r="I59" s="144">
        <v>0</v>
      </c>
      <c r="J59" s="556"/>
      <c r="K59" s="557">
        <f t="shared" si="6"/>
        <v>0</v>
      </c>
    </row>
    <row r="60" spans="1:15" ht="18" customHeight="1" x14ac:dyDescent="0.4">
      <c r="A60" s="183" t="s">
        <v>99</v>
      </c>
      <c r="B60" s="503"/>
      <c r="C60" s="504"/>
      <c r="D60" s="505"/>
      <c r="F60" s="555"/>
      <c r="G60" s="555"/>
      <c r="H60" s="556"/>
      <c r="I60" s="144">
        <v>0</v>
      </c>
      <c r="J60" s="556"/>
      <c r="K60" s="557">
        <f t="shared" si="6"/>
        <v>0</v>
      </c>
    </row>
    <row r="61" spans="1:15" ht="18" customHeight="1" x14ac:dyDescent="0.4">
      <c r="A61" s="183" t="s">
        <v>100</v>
      </c>
      <c r="B61" s="503"/>
      <c r="C61" s="504"/>
      <c r="D61" s="505"/>
      <c r="F61" s="555"/>
      <c r="G61" s="555"/>
      <c r="H61" s="556"/>
      <c r="I61" s="144">
        <v>0</v>
      </c>
      <c r="J61" s="556"/>
      <c r="K61" s="557">
        <f t="shared" si="6"/>
        <v>0</v>
      </c>
    </row>
    <row r="62" spans="1:15" ht="18" customHeight="1" x14ac:dyDescent="0.4">
      <c r="A62" s="183" t="s">
        <v>101</v>
      </c>
      <c r="B62" s="980"/>
      <c r="C62" s="974"/>
      <c r="D62" s="975"/>
      <c r="F62" s="555"/>
      <c r="G62" s="555"/>
      <c r="H62" s="556"/>
      <c r="I62" s="144">
        <v>0</v>
      </c>
      <c r="J62" s="556"/>
      <c r="K62" s="557">
        <f t="shared" si="6"/>
        <v>0</v>
      </c>
    </row>
    <row r="63" spans="1:15" ht="18" customHeight="1" x14ac:dyDescent="0.4">
      <c r="A63" s="183"/>
      <c r="I63" s="140"/>
    </row>
    <row r="64" spans="1:15" ht="18" customHeight="1" x14ac:dyDescent="0.4">
      <c r="A64" s="183" t="s">
        <v>144</v>
      </c>
      <c r="B64" s="117" t="s">
        <v>145</v>
      </c>
      <c r="E64" s="117" t="s">
        <v>7</v>
      </c>
      <c r="F64" s="560">
        <f t="shared" ref="F64:K64" si="7">SUM(F53:F62)</f>
        <v>0</v>
      </c>
      <c r="G64" s="560">
        <f t="shared" si="7"/>
        <v>0</v>
      </c>
      <c r="H64" s="557">
        <f t="shared" si="7"/>
        <v>3523259</v>
      </c>
      <c r="I64" s="557">
        <f t="shared" si="7"/>
        <v>0</v>
      </c>
      <c r="J64" s="557">
        <f t="shared" si="7"/>
        <v>662302</v>
      </c>
      <c r="K64" s="557">
        <f t="shared" si="7"/>
        <v>2860957</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v>4836</v>
      </c>
      <c r="G68" s="564"/>
      <c r="H68" s="600">
        <v>215403</v>
      </c>
      <c r="I68" s="144">
        <f t="shared" ref="I68:I72" si="8">H68*F$114</f>
        <v>168014.34</v>
      </c>
      <c r="J68" s="564">
        <v>0</v>
      </c>
      <c r="K68" s="557">
        <f>(H68+I68)-J68</f>
        <v>383417.33999999997</v>
      </c>
    </row>
    <row r="69" spans="1:11" ht="18" customHeight="1" x14ac:dyDescent="0.4">
      <c r="A69" s="183" t="s">
        <v>104</v>
      </c>
      <c r="B69" s="116" t="s">
        <v>53</v>
      </c>
      <c r="F69" s="564"/>
      <c r="G69" s="564"/>
      <c r="H69" s="564"/>
      <c r="I69" s="144">
        <f t="shared" si="8"/>
        <v>0</v>
      </c>
      <c r="J69" s="564"/>
      <c r="K69" s="557">
        <f>(H69+I69)-J69</f>
        <v>0</v>
      </c>
    </row>
    <row r="70" spans="1:11" ht="18" customHeight="1" x14ac:dyDescent="0.4">
      <c r="A70" s="183" t="s">
        <v>178</v>
      </c>
      <c r="B70" s="503"/>
      <c r="C70" s="504"/>
      <c r="D70" s="505"/>
      <c r="E70" s="117"/>
      <c r="F70" s="131"/>
      <c r="G70" s="131"/>
      <c r="H70" s="132"/>
      <c r="I70" s="144">
        <f t="shared" si="8"/>
        <v>0</v>
      </c>
      <c r="J70" s="132"/>
      <c r="K70" s="557">
        <f>(H70+I70)-J70</f>
        <v>0</v>
      </c>
    </row>
    <row r="71" spans="1:11" ht="18" customHeight="1" x14ac:dyDescent="0.4">
      <c r="A71" s="183" t="s">
        <v>179</v>
      </c>
      <c r="B71" s="503"/>
      <c r="C71" s="504"/>
      <c r="D71" s="505"/>
      <c r="E71" s="117"/>
      <c r="F71" s="131"/>
      <c r="G71" s="131"/>
      <c r="H71" s="132"/>
      <c r="I71" s="144">
        <f t="shared" si="8"/>
        <v>0</v>
      </c>
      <c r="J71" s="132"/>
      <c r="K71" s="557">
        <f>(H71+I71)-J71</f>
        <v>0</v>
      </c>
    </row>
    <row r="72" spans="1:11" ht="18" customHeight="1" x14ac:dyDescent="0.4">
      <c r="A72" s="183" t="s">
        <v>180</v>
      </c>
      <c r="B72" s="510"/>
      <c r="C72" s="508"/>
      <c r="D72" s="130"/>
      <c r="E72" s="117"/>
      <c r="F72" s="555"/>
      <c r="G72" s="555"/>
      <c r="H72" s="556"/>
      <c r="I72" s="144">
        <f t="shared" si="8"/>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9">SUM(F68:F72)</f>
        <v>4836</v>
      </c>
      <c r="G74" s="566">
        <f t="shared" si="9"/>
        <v>0</v>
      </c>
      <c r="H74" s="566">
        <f t="shared" si="9"/>
        <v>215403</v>
      </c>
      <c r="I74" s="145">
        <f t="shared" si="9"/>
        <v>168014.34</v>
      </c>
      <c r="J74" s="566">
        <f t="shared" si="9"/>
        <v>0</v>
      </c>
      <c r="K74" s="567">
        <f t="shared" si="9"/>
        <v>383417.33999999997</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126000</v>
      </c>
      <c r="I77" s="144">
        <v>0</v>
      </c>
      <c r="J77" s="556"/>
      <c r="K77" s="557">
        <f>(H77+I77)-J77</f>
        <v>126000</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502</v>
      </c>
      <c r="G79" s="555">
        <v>1197</v>
      </c>
      <c r="H79" s="556">
        <v>34900</v>
      </c>
      <c r="I79" s="144">
        <v>0</v>
      </c>
      <c r="J79" s="556"/>
      <c r="K79" s="557">
        <f>(H79+I79)-J79</f>
        <v>34900</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10">SUM(F77:F80)</f>
        <v>502</v>
      </c>
      <c r="G82" s="566">
        <f t="shared" si="10"/>
        <v>1197</v>
      </c>
      <c r="H82" s="567">
        <f t="shared" si="10"/>
        <v>160900</v>
      </c>
      <c r="I82" s="567">
        <f t="shared" si="10"/>
        <v>0</v>
      </c>
      <c r="J82" s="567">
        <f t="shared" si="10"/>
        <v>0</v>
      </c>
      <c r="K82" s="567">
        <f t="shared" si="10"/>
        <v>160900</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v>0</v>
      </c>
      <c r="J86" s="556"/>
      <c r="K86" s="557">
        <f t="shared" ref="K86:K96" si="11">(H86+I86)-J86</f>
        <v>0</v>
      </c>
    </row>
    <row r="87" spans="1:11" ht="18" customHeight="1" x14ac:dyDescent="0.4">
      <c r="A87" s="183" t="s">
        <v>114</v>
      </c>
      <c r="B87" s="116" t="s">
        <v>14</v>
      </c>
      <c r="F87" s="555">
        <v>24</v>
      </c>
      <c r="G87" s="555">
        <v>0</v>
      </c>
      <c r="H87" s="556">
        <v>2748</v>
      </c>
      <c r="I87" s="144">
        <v>0</v>
      </c>
      <c r="J87" s="556">
        <v>0</v>
      </c>
      <c r="K87" s="557">
        <f t="shared" si="11"/>
        <v>2748</v>
      </c>
    </row>
    <row r="88" spans="1:11" ht="18" customHeight="1" x14ac:dyDescent="0.4">
      <c r="A88" s="183" t="s">
        <v>115</v>
      </c>
      <c r="B88" s="116" t="s">
        <v>116</v>
      </c>
      <c r="F88" s="555">
        <v>10</v>
      </c>
      <c r="G88" s="555"/>
      <c r="H88" s="556">
        <v>250</v>
      </c>
      <c r="I88" s="144">
        <v>0</v>
      </c>
      <c r="J88" s="556">
        <v>0</v>
      </c>
      <c r="K88" s="557">
        <f t="shared" si="11"/>
        <v>250</v>
      </c>
    </row>
    <row r="89" spans="1:11" ht="18" customHeight="1" x14ac:dyDescent="0.4">
      <c r="A89" s="183" t="s">
        <v>117</v>
      </c>
      <c r="B89" s="116" t="s">
        <v>58</v>
      </c>
      <c r="F89" s="555"/>
      <c r="G89" s="555"/>
      <c r="H89" s="556"/>
      <c r="I89" s="144">
        <v>0</v>
      </c>
      <c r="J89" s="556"/>
      <c r="K89" s="557">
        <f t="shared" si="11"/>
        <v>0</v>
      </c>
    </row>
    <row r="90" spans="1:11" ht="18" customHeight="1" x14ac:dyDescent="0.4">
      <c r="A90" s="183" t="s">
        <v>118</v>
      </c>
      <c r="B90" s="956" t="s">
        <v>59</v>
      </c>
      <c r="C90" s="957"/>
      <c r="F90" s="555">
        <v>10</v>
      </c>
      <c r="G90" s="555">
        <v>12</v>
      </c>
      <c r="H90" s="556">
        <v>912</v>
      </c>
      <c r="I90" s="144">
        <v>0</v>
      </c>
      <c r="J90" s="556">
        <v>0</v>
      </c>
      <c r="K90" s="557">
        <f t="shared" si="11"/>
        <v>912</v>
      </c>
    </row>
    <row r="91" spans="1:11" ht="18" customHeight="1" x14ac:dyDescent="0.4">
      <c r="A91" s="183" t="s">
        <v>119</v>
      </c>
      <c r="B91" s="116" t="s">
        <v>60</v>
      </c>
      <c r="F91" s="555">
        <v>1318</v>
      </c>
      <c r="G91" s="555">
        <v>53</v>
      </c>
      <c r="H91" s="556">
        <v>45070</v>
      </c>
      <c r="I91" s="144">
        <v>0</v>
      </c>
      <c r="J91" s="556">
        <v>0</v>
      </c>
      <c r="K91" s="557">
        <f t="shared" si="11"/>
        <v>45070</v>
      </c>
    </row>
    <row r="92" spans="1:11" ht="18" customHeight="1" x14ac:dyDescent="0.4">
      <c r="A92" s="183" t="s">
        <v>120</v>
      </c>
      <c r="B92" s="116" t="s">
        <v>121</v>
      </c>
      <c r="F92" s="134"/>
      <c r="G92" s="134"/>
      <c r="H92" s="135"/>
      <c r="I92" s="144">
        <v>0</v>
      </c>
      <c r="J92" s="135"/>
      <c r="K92" s="557">
        <f t="shared" si="11"/>
        <v>0</v>
      </c>
    </row>
    <row r="93" spans="1:11" ht="18" customHeight="1" x14ac:dyDescent="0.4">
      <c r="A93" s="183" t="s">
        <v>122</v>
      </c>
      <c r="B93" s="116" t="s">
        <v>123</v>
      </c>
      <c r="F93" s="555">
        <v>12</v>
      </c>
      <c r="G93" s="555">
        <v>18</v>
      </c>
      <c r="H93" s="556">
        <v>734</v>
      </c>
      <c r="I93" s="144">
        <v>0</v>
      </c>
      <c r="J93" s="556"/>
      <c r="K93" s="557">
        <f t="shared" si="11"/>
        <v>734</v>
      </c>
    </row>
    <row r="94" spans="1:11" ht="18" customHeight="1" x14ac:dyDescent="0.4">
      <c r="A94" s="183" t="s">
        <v>124</v>
      </c>
      <c r="B94" s="980"/>
      <c r="C94" s="974"/>
      <c r="D94" s="975"/>
      <c r="F94" s="555"/>
      <c r="G94" s="555"/>
      <c r="H94" s="556"/>
      <c r="I94" s="144">
        <v>0</v>
      </c>
      <c r="J94" s="556"/>
      <c r="K94" s="557">
        <f t="shared" si="11"/>
        <v>0</v>
      </c>
    </row>
    <row r="95" spans="1:11" ht="18" customHeight="1" x14ac:dyDescent="0.4">
      <c r="A95" s="183" t="s">
        <v>125</v>
      </c>
      <c r="B95" s="980"/>
      <c r="C95" s="974"/>
      <c r="D95" s="975"/>
      <c r="F95" s="555"/>
      <c r="G95" s="555"/>
      <c r="H95" s="556"/>
      <c r="I95" s="144">
        <v>0</v>
      </c>
      <c r="J95" s="556"/>
      <c r="K95" s="557">
        <f t="shared" si="11"/>
        <v>0</v>
      </c>
    </row>
    <row r="96" spans="1:11" ht="18" customHeight="1" x14ac:dyDescent="0.4">
      <c r="A96" s="183" t="s">
        <v>126</v>
      </c>
      <c r="B96" s="980"/>
      <c r="C96" s="974"/>
      <c r="D96" s="975"/>
      <c r="F96" s="555"/>
      <c r="G96" s="555"/>
      <c r="H96" s="556"/>
      <c r="I96" s="144">
        <v>0</v>
      </c>
      <c r="J96" s="556"/>
      <c r="K96" s="557">
        <f t="shared" si="11"/>
        <v>0</v>
      </c>
    </row>
    <row r="97" spans="1:11" ht="18" customHeight="1" x14ac:dyDescent="0.4">
      <c r="A97" s="183"/>
      <c r="B97" s="116"/>
    </row>
    <row r="98" spans="1:11" ht="18" customHeight="1" x14ac:dyDescent="0.4">
      <c r="A98" s="120" t="s">
        <v>150</v>
      </c>
      <c r="B98" s="117" t="s">
        <v>151</v>
      </c>
      <c r="E98" s="117" t="s">
        <v>7</v>
      </c>
      <c r="F98" s="560">
        <f t="shared" ref="F98:K98" si="12">SUM(F86:F96)</f>
        <v>1374</v>
      </c>
      <c r="G98" s="560">
        <f t="shared" si="12"/>
        <v>83</v>
      </c>
      <c r="H98" s="560">
        <f t="shared" si="12"/>
        <v>49714</v>
      </c>
      <c r="I98" s="560">
        <f t="shared" si="12"/>
        <v>0</v>
      </c>
      <c r="J98" s="560">
        <f t="shared" si="12"/>
        <v>0</v>
      </c>
      <c r="K98" s="560">
        <f t="shared" si="12"/>
        <v>49714</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992</v>
      </c>
      <c r="G102" s="555">
        <v>0</v>
      </c>
      <c r="H102" s="556">
        <v>40641</v>
      </c>
      <c r="I102" s="144">
        <f>H102*F$114</f>
        <v>31699.98</v>
      </c>
      <c r="J102" s="556">
        <v>0</v>
      </c>
      <c r="K102" s="557">
        <f>(H102+I102)-J102</f>
        <v>72340.98</v>
      </c>
    </row>
    <row r="103" spans="1:11" ht="18" customHeight="1" x14ac:dyDescent="0.4">
      <c r="A103" s="183" t="s">
        <v>132</v>
      </c>
      <c r="B103" s="956" t="s">
        <v>62</v>
      </c>
      <c r="C103" s="956"/>
      <c r="F103" s="555"/>
      <c r="G103" s="555"/>
      <c r="H103" s="556">
        <v>236</v>
      </c>
      <c r="I103" s="144">
        <f>H103*F$114</f>
        <v>184.08</v>
      </c>
      <c r="J103" s="556"/>
      <c r="K103" s="557">
        <f>(H103+I103)-J103</f>
        <v>420.08000000000004</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3">SUM(F102:F106)</f>
        <v>992</v>
      </c>
      <c r="G108" s="560">
        <f t="shared" si="13"/>
        <v>0</v>
      </c>
      <c r="H108" s="557">
        <f t="shared" si="13"/>
        <v>40877</v>
      </c>
      <c r="I108" s="557">
        <f t="shared" si="13"/>
        <v>31884.06</v>
      </c>
      <c r="J108" s="557">
        <f t="shared" si="13"/>
        <v>0</v>
      </c>
      <c r="K108" s="557">
        <f t="shared" si="13"/>
        <v>72761.06</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1862000</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0.78</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91867900</v>
      </c>
    </row>
    <row r="118" spans="1:6" ht="18" customHeight="1" x14ac:dyDescent="0.4">
      <c r="A118" s="183" t="s">
        <v>173</v>
      </c>
      <c r="B118" s="189" t="s">
        <v>18</v>
      </c>
      <c r="F118" s="556">
        <v>1347000</v>
      </c>
    </row>
    <row r="119" spans="1:6" ht="18" customHeight="1" x14ac:dyDescent="0.4">
      <c r="A119" s="183" t="s">
        <v>174</v>
      </c>
      <c r="B119" s="117" t="s">
        <v>19</v>
      </c>
      <c r="F119" s="567">
        <f>SUM(F117:F118)</f>
        <v>93214900</v>
      </c>
    </row>
    <row r="120" spans="1:6" ht="18" customHeight="1" x14ac:dyDescent="0.4">
      <c r="A120" s="183"/>
      <c r="B120" s="117"/>
    </row>
    <row r="121" spans="1:6" ht="18" customHeight="1" x14ac:dyDescent="0.4">
      <c r="A121" s="183" t="s">
        <v>167</v>
      </c>
      <c r="B121" s="117" t="s">
        <v>36</v>
      </c>
      <c r="F121" s="556">
        <v>89425000</v>
      </c>
    </row>
    <row r="122" spans="1:6" ht="18" customHeight="1" x14ac:dyDescent="0.4">
      <c r="A122" s="183"/>
    </row>
    <row r="123" spans="1:6" ht="18" customHeight="1" x14ac:dyDescent="0.4">
      <c r="A123" s="183" t="s">
        <v>175</v>
      </c>
      <c r="B123" s="117" t="s">
        <v>20</v>
      </c>
      <c r="F123" s="556">
        <v>3789900</v>
      </c>
    </row>
    <row r="124" spans="1:6" ht="18" customHeight="1" x14ac:dyDescent="0.4">
      <c r="A124" s="183"/>
    </row>
    <row r="125" spans="1:6" ht="18" customHeight="1" x14ac:dyDescent="0.4">
      <c r="A125" s="183" t="s">
        <v>176</v>
      </c>
      <c r="B125" s="117" t="s">
        <v>21</v>
      </c>
      <c r="F125" s="556">
        <v>4203000</v>
      </c>
    </row>
    <row r="126" spans="1:6" ht="18" customHeight="1" x14ac:dyDescent="0.4">
      <c r="A126" s="183"/>
    </row>
    <row r="127" spans="1:6" ht="18" customHeight="1" x14ac:dyDescent="0.4">
      <c r="A127" s="183" t="s">
        <v>177</v>
      </c>
      <c r="B127" s="117" t="s">
        <v>22</v>
      </c>
      <c r="F127" s="556">
        <v>7992900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v>472</v>
      </c>
      <c r="G131" s="555">
        <v>752</v>
      </c>
      <c r="H131" s="556">
        <v>18377</v>
      </c>
      <c r="I131" s="144">
        <v>0</v>
      </c>
      <c r="J131" s="556">
        <v>0</v>
      </c>
      <c r="K131" s="557">
        <f>(H131+I131)-J131</f>
        <v>18377</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4">SUM(F131:F135)</f>
        <v>472</v>
      </c>
      <c r="G137" s="560">
        <f t="shared" si="14"/>
        <v>752</v>
      </c>
      <c r="H137" s="557">
        <f t="shared" si="14"/>
        <v>18377</v>
      </c>
      <c r="I137" s="557">
        <f t="shared" si="14"/>
        <v>0</v>
      </c>
      <c r="J137" s="557">
        <f t="shared" si="14"/>
        <v>0</v>
      </c>
      <c r="K137" s="557">
        <f t="shared" si="14"/>
        <v>18377</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5">F36</f>
        <v>5696</v>
      </c>
      <c r="G141" s="136">
        <f t="shared" si="15"/>
        <v>85877</v>
      </c>
      <c r="H141" s="136">
        <f t="shared" si="15"/>
        <v>741936</v>
      </c>
      <c r="I141" s="136">
        <f t="shared" si="15"/>
        <v>578710.08000000007</v>
      </c>
      <c r="J141" s="136">
        <f t="shared" si="15"/>
        <v>84489.600000000006</v>
      </c>
      <c r="K141" s="136">
        <f t="shared" si="15"/>
        <v>1236156.4800000002</v>
      </c>
    </row>
    <row r="142" spans="1:11" ht="18" customHeight="1" x14ac:dyDescent="0.4">
      <c r="A142" s="183" t="s">
        <v>142</v>
      </c>
      <c r="B142" s="117" t="s">
        <v>65</v>
      </c>
      <c r="F142" s="136">
        <f t="shared" ref="F142:K142" si="16">F49</f>
        <v>5538</v>
      </c>
      <c r="G142" s="136">
        <f t="shared" si="16"/>
        <v>0</v>
      </c>
      <c r="H142" s="136">
        <f t="shared" si="16"/>
        <v>272138</v>
      </c>
      <c r="I142" s="136">
        <f t="shared" si="16"/>
        <v>212267.64</v>
      </c>
      <c r="J142" s="136">
        <f t="shared" si="16"/>
        <v>0</v>
      </c>
      <c r="K142" s="136">
        <f t="shared" si="16"/>
        <v>484405.64</v>
      </c>
    </row>
    <row r="143" spans="1:11" ht="18" customHeight="1" x14ac:dyDescent="0.4">
      <c r="A143" s="183" t="s">
        <v>144</v>
      </c>
      <c r="B143" s="117" t="s">
        <v>66</v>
      </c>
      <c r="F143" s="136">
        <f t="shared" ref="F143:K143" si="17">F64</f>
        <v>0</v>
      </c>
      <c r="G143" s="136">
        <f t="shared" si="17"/>
        <v>0</v>
      </c>
      <c r="H143" s="136">
        <f t="shared" si="17"/>
        <v>3523259</v>
      </c>
      <c r="I143" s="136">
        <f t="shared" si="17"/>
        <v>0</v>
      </c>
      <c r="J143" s="136">
        <f t="shared" si="17"/>
        <v>662302</v>
      </c>
      <c r="K143" s="136">
        <f t="shared" si="17"/>
        <v>2860957</v>
      </c>
    </row>
    <row r="144" spans="1:11" ht="18" customHeight="1" x14ac:dyDescent="0.4">
      <c r="A144" s="183" t="s">
        <v>146</v>
      </c>
      <c r="B144" s="117" t="s">
        <v>67</v>
      </c>
      <c r="F144" s="136">
        <f t="shared" ref="F144:K144" si="18">F74</f>
        <v>4836</v>
      </c>
      <c r="G144" s="136">
        <f t="shared" si="18"/>
        <v>0</v>
      </c>
      <c r="H144" s="136">
        <f t="shared" si="18"/>
        <v>215403</v>
      </c>
      <c r="I144" s="136">
        <f t="shared" si="18"/>
        <v>168014.34</v>
      </c>
      <c r="J144" s="136">
        <f t="shared" si="18"/>
        <v>0</v>
      </c>
      <c r="K144" s="136">
        <f t="shared" si="18"/>
        <v>383417.33999999997</v>
      </c>
    </row>
    <row r="145" spans="1:11" ht="18" customHeight="1" x14ac:dyDescent="0.4">
      <c r="A145" s="183" t="s">
        <v>148</v>
      </c>
      <c r="B145" s="117" t="s">
        <v>68</v>
      </c>
      <c r="F145" s="136">
        <f t="shared" ref="F145:K145" si="19">F82</f>
        <v>502</v>
      </c>
      <c r="G145" s="136">
        <f t="shared" si="19"/>
        <v>1197</v>
      </c>
      <c r="H145" s="136">
        <f t="shared" si="19"/>
        <v>160900</v>
      </c>
      <c r="I145" s="136">
        <f t="shared" si="19"/>
        <v>0</v>
      </c>
      <c r="J145" s="136">
        <f t="shared" si="19"/>
        <v>0</v>
      </c>
      <c r="K145" s="136">
        <f t="shared" si="19"/>
        <v>160900</v>
      </c>
    </row>
    <row r="146" spans="1:11" ht="18" customHeight="1" x14ac:dyDescent="0.4">
      <c r="A146" s="183" t="s">
        <v>150</v>
      </c>
      <c r="B146" s="117" t="s">
        <v>69</v>
      </c>
      <c r="F146" s="136">
        <f t="shared" ref="F146:K146" si="20">F98</f>
        <v>1374</v>
      </c>
      <c r="G146" s="136">
        <f t="shared" si="20"/>
        <v>83</v>
      </c>
      <c r="H146" s="136">
        <f t="shared" si="20"/>
        <v>49714</v>
      </c>
      <c r="I146" s="136">
        <f t="shared" si="20"/>
        <v>0</v>
      </c>
      <c r="J146" s="136">
        <f t="shared" si="20"/>
        <v>0</v>
      </c>
      <c r="K146" s="136">
        <f t="shared" si="20"/>
        <v>49714</v>
      </c>
    </row>
    <row r="147" spans="1:11" ht="18" customHeight="1" x14ac:dyDescent="0.4">
      <c r="A147" s="183" t="s">
        <v>153</v>
      </c>
      <c r="B147" s="117" t="s">
        <v>61</v>
      </c>
      <c r="F147" s="560">
        <f t="shared" ref="F147:K147" si="21">F108</f>
        <v>992</v>
      </c>
      <c r="G147" s="560">
        <f t="shared" si="21"/>
        <v>0</v>
      </c>
      <c r="H147" s="560">
        <f t="shared" si="21"/>
        <v>40877</v>
      </c>
      <c r="I147" s="560">
        <f t="shared" si="21"/>
        <v>31884.06</v>
      </c>
      <c r="J147" s="560">
        <f t="shared" si="21"/>
        <v>0</v>
      </c>
      <c r="K147" s="560">
        <f t="shared" si="21"/>
        <v>72761.06</v>
      </c>
    </row>
    <row r="148" spans="1:11" ht="18" customHeight="1" x14ac:dyDescent="0.4">
      <c r="A148" s="183" t="s">
        <v>155</v>
      </c>
      <c r="B148" s="117" t="s">
        <v>70</v>
      </c>
      <c r="F148" s="137" t="s">
        <v>73</v>
      </c>
      <c r="G148" s="137" t="s">
        <v>73</v>
      </c>
      <c r="H148" s="138" t="s">
        <v>73</v>
      </c>
      <c r="I148" s="138" t="s">
        <v>73</v>
      </c>
      <c r="J148" s="138" t="s">
        <v>73</v>
      </c>
      <c r="K148" s="133">
        <f>F111</f>
        <v>1862000</v>
      </c>
    </row>
    <row r="149" spans="1:11" ht="18" customHeight="1" x14ac:dyDescent="0.4">
      <c r="A149" s="183" t="s">
        <v>163</v>
      </c>
      <c r="B149" s="117" t="s">
        <v>71</v>
      </c>
      <c r="F149" s="560">
        <f t="shared" ref="F149:K149" si="22">F137</f>
        <v>472</v>
      </c>
      <c r="G149" s="560">
        <f t="shared" si="22"/>
        <v>752</v>
      </c>
      <c r="H149" s="560">
        <f t="shared" si="22"/>
        <v>18377</v>
      </c>
      <c r="I149" s="560">
        <f t="shared" si="22"/>
        <v>0</v>
      </c>
      <c r="J149" s="560">
        <f t="shared" si="22"/>
        <v>0</v>
      </c>
      <c r="K149" s="560">
        <f t="shared" si="22"/>
        <v>18377</v>
      </c>
    </row>
    <row r="150" spans="1:11" ht="18" customHeight="1" x14ac:dyDescent="0.4">
      <c r="A150" s="183" t="s">
        <v>185</v>
      </c>
      <c r="B150" s="117" t="s">
        <v>186</v>
      </c>
      <c r="F150" s="137" t="s">
        <v>73</v>
      </c>
      <c r="G150" s="137" t="s">
        <v>73</v>
      </c>
      <c r="H150" s="560">
        <f>H18</f>
        <v>2060303</v>
      </c>
      <c r="I150" s="560">
        <f>I18</f>
        <v>0</v>
      </c>
      <c r="J150" s="560">
        <f>J18</f>
        <v>1712786</v>
      </c>
      <c r="K150" s="560">
        <f>K18</f>
        <v>347517</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3">SUM(F141:F150)</f>
        <v>19410</v>
      </c>
      <c r="G152" s="143">
        <f t="shared" si="23"/>
        <v>87909</v>
      </c>
      <c r="H152" s="143">
        <f t="shared" si="23"/>
        <v>7082907</v>
      </c>
      <c r="I152" s="143">
        <f t="shared" si="23"/>
        <v>990876.12000000011</v>
      </c>
      <c r="J152" s="143">
        <f t="shared" si="23"/>
        <v>2459577.6</v>
      </c>
      <c r="K152" s="143">
        <f t="shared" si="23"/>
        <v>7476205.5199999996</v>
      </c>
    </row>
    <row r="154" spans="1:11" ht="18" customHeight="1" x14ac:dyDescent="0.4">
      <c r="A154" s="120" t="s">
        <v>168</v>
      </c>
      <c r="B154" s="117" t="s">
        <v>28</v>
      </c>
      <c r="F154" s="571">
        <f>K152/F121</f>
        <v>8.3603081017612518E-2</v>
      </c>
    </row>
    <row r="155" spans="1:11" ht="18" customHeight="1" x14ac:dyDescent="0.4">
      <c r="A155" s="120" t="s">
        <v>169</v>
      </c>
      <c r="B155" s="117" t="s">
        <v>72</v>
      </c>
      <c r="F155" s="571">
        <f>K152/F127</f>
        <v>0.93535581828873116</v>
      </c>
      <c r="G155" s="117"/>
    </row>
    <row r="156" spans="1:11" ht="18" customHeight="1" x14ac:dyDescent="0.4">
      <c r="G156" s="117"/>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156"/>
  <sheetViews>
    <sheetView showGridLines="0" zoomScale="70" zoomScaleNormal="70" zoomScaleSheetLayoutView="80" workbookViewId="0">
      <selection activeCell="B7" sqref="B7"/>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726</v>
      </c>
      <c r="D5" s="962"/>
      <c r="E5" s="962"/>
      <c r="F5" s="962"/>
      <c r="G5" s="963"/>
    </row>
    <row r="6" spans="1:11" ht="18" customHeight="1" x14ac:dyDescent="0.4">
      <c r="B6" s="183" t="s">
        <v>3</v>
      </c>
      <c r="C6" s="964" t="s">
        <v>325</v>
      </c>
      <c r="D6" s="965"/>
      <c r="E6" s="965"/>
      <c r="F6" s="965"/>
      <c r="G6" s="966"/>
    </row>
    <row r="7" spans="1:11" ht="18" customHeight="1" x14ac:dyDescent="0.4">
      <c r="B7" s="183" t="s">
        <v>4</v>
      </c>
      <c r="C7" s="1014">
        <v>3551</v>
      </c>
      <c r="D7" s="1015"/>
      <c r="E7" s="1015"/>
      <c r="F7" s="1015"/>
      <c r="G7" s="1016"/>
    </row>
    <row r="9" spans="1:11" ht="18" customHeight="1" x14ac:dyDescent="0.4">
      <c r="B9" s="183" t="s">
        <v>1</v>
      </c>
      <c r="C9" s="961" t="s">
        <v>326</v>
      </c>
      <c r="D9" s="962"/>
      <c r="E9" s="962"/>
      <c r="F9" s="962"/>
      <c r="G9" s="963"/>
    </row>
    <row r="10" spans="1:11" ht="18" customHeight="1" x14ac:dyDescent="0.4">
      <c r="B10" s="183" t="s">
        <v>2</v>
      </c>
      <c r="C10" s="970" t="s">
        <v>501</v>
      </c>
      <c r="D10" s="971"/>
      <c r="E10" s="971"/>
      <c r="F10" s="971"/>
      <c r="G10" s="972"/>
    </row>
    <row r="11" spans="1:11" ht="18" customHeight="1" x14ac:dyDescent="0.4">
      <c r="B11" s="183" t="s">
        <v>32</v>
      </c>
      <c r="C11" s="954" t="s">
        <v>327</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10683740.180449482</v>
      </c>
      <c r="I18" s="144">
        <v>0</v>
      </c>
      <c r="J18" s="556">
        <v>8881683.3713187296</v>
      </c>
      <c r="K18" s="557">
        <f>(H18+I18)-J18</f>
        <v>1802056.8091307525</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40665.399999999994</v>
      </c>
      <c r="G21" s="555">
        <v>5955.7029765674479</v>
      </c>
      <c r="H21" s="572">
        <v>1841272.4501436967</v>
      </c>
      <c r="I21" s="308">
        <f>H21*F$114</f>
        <v>1345970.1610550422</v>
      </c>
      <c r="J21" s="556">
        <v>263476.16000000003</v>
      </c>
      <c r="K21" s="557">
        <f t="shared" ref="K21:K34" si="0">(H21+I21)-J21</f>
        <v>2923766.451198739</v>
      </c>
    </row>
    <row r="22" spans="1:11" ht="18" customHeight="1" x14ac:dyDescent="0.4">
      <c r="A22" s="183" t="s">
        <v>76</v>
      </c>
      <c r="B22" s="189" t="s">
        <v>6</v>
      </c>
      <c r="F22" s="555">
        <v>1888</v>
      </c>
      <c r="G22" s="555">
        <v>1472</v>
      </c>
      <c r="H22" s="572">
        <v>1126200.6700000002</v>
      </c>
      <c r="I22" s="144">
        <v>820301.70125000016</v>
      </c>
      <c r="J22" s="556"/>
      <c r="K22" s="557">
        <f t="shared" si="0"/>
        <v>1946502.3712500003</v>
      </c>
    </row>
    <row r="23" spans="1:11" ht="18" customHeight="1" x14ac:dyDescent="0.4">
      <c r="A23" s="183" t="s">
        <v>77</v>
      </c>
      <c r="B23" s="189" t="s">
        <v>43</v>
      </c>
      <c r="F23" s="555"/>
      <c r="G23" s="555"/>
      <c r="H23" s="572"/>
      <c r="I23" s="144">
        <f t="shared" ref="I23:I34" si="1">H23*F$114</f>
        <v>0</v>
      </c>
      <c r="J23" s="556"/>
      <c r="K23" s="557">
        <f t="shared" si="0"/>
        <v>0</v>
      </c>
    </row>
    <row r="24" spans="1:11" ht="18" customHeight="1" x14ac:dyDescent="0.4">
      <c r="A24" s="183" t="s">
        <v>78</v>
      </c>
      <c r="B24" s="189" t="s">
        <v>44</v>
      </c>
      <c r="F24" s="555"/>
      <c r="G24" s="555"/>
      <c r="H24" s="572"/>
      <c r="I24" s="144">
        <f t="shared" si="1"/>
        <v>0</v>
      </c>
      <c r="J24" s="556"/>
      <c r="K24" s="557">
        <f t="shared" si="0"/>
        <v>0</v>
      </c>
    </row>
    <row r="25" spans="1:11" ht="18" customHeight="1" x14ac:dyDescent="0.4">
      <c r="A25" s="183" t="s">
        <v>79</v>
      </c>
      <c r="B25" s="189" t="s">
        <v>5</v>
      </c>
      <c r="F25" s="555"/>
      <c r="G25" s="555"/>
      <c r="H25" s="572"/>
      <c r="I25" s="144">
        <f t="shared" si="1"/>
        <v>0</v>
      </c>
      <c r="J25" s="556"/>
      <c r="K25" s="557">
        <f t="shared" si="0"/>
        <v>0</v>
      </c>
    </row>
    <row r="26" spans="1:11" ht="18" customHeight="1" x14ac:dyDescent="0.4">
      <c r="A26" s="183" t="s">
        <v>80</v>
      </c>
      <c r="B26" s="189" t="s">
        <v>45</v>
      </c>
      <c r="F26" s="555"/>
      <c r="G26" s="555"/>
      <c r="H26" s="572"/>
      <c r="I26" s="144">
        <f t="shared" si="1"/>
        <v>0</v>
      </c>
      <c r="J26" s="556"/>
      <c r="K26" s="557">
        <f t="shared" si="0"/>
        <v>0</v>
      </c>
    </row>
    <row r="27" spans="1:11" ht="18" customHeight="1" x14ac:dyDescent="0.4">
      <c r="A27" s="183" t="s">
        <v>81</v>
      </c>
      <c r="B27" s="189" t="s">
        <v>498</v>
      </c>
      <c r="F27" s="555"/>
      <c r="G27" s="555"/>
      <c r="H27" s="572"/>
      <c r="I27" s="144">
        <f t="shared" si="1"/>
        <v>0</v>
      </c>
      <c r="J27" s="556"/>
      <c r="K27" s="557">
        <f t="shared" si="0"/>
        <v>0</v>
      </c>
    </row>
    <row r="28" spans="1:11" ht="18" customHeight="1" x14ac:dyDescent="0.4">
      <c r="A28" s="183" t="s">
        <v>82</v>
      </c>
      <c r="B28" s="189" t="s">
        <v>47</v>
      </c>
      <c r="F28" s="555"/>
      <c r="G28" s="555"/>
      <c r="H28" s="572"/>
      <c r="I28" s="144">
        <f t="shared" si="1"/>
        <v>0</v>
      </c>
      <c r="J28" s="556"/>
      <c r="K28" s="557">
        <f t="shared" si="0"/>
        <v>0</v>
      </c>
    </row>
    <row r="29" spans="1:11" ht="18" customHeight="1" x14ac:dyDescent="0.4">
      <c r="A29" s="183" t="s">
        <v>83</v>
      </c>
      <c r="B29" s="189" t="s">
        <v>48</v>
      </c>
      <c r="F29" s="555">
        <v>5200</v>
      </c>
      <c r="G29" s="555">
        <v>0</v>
      </c>
      <c r="H29" s="572">
        <v>1926468</v>
      </c>
      <c r="I29" s="308">
        <f t="shared" si="1"/>
        <v>1408248.108</v>
      </c>
      <c r="J29" s="556"/>
      <c r="K29" s="557">
        <f t="shared" si="0"/>
        <v>3334716.108</v>
      </c>
    </row>
    <row r="30" spans="1:11" ht="18" customHeight="1" x14ac:dyDescent="0.4">
      <c r="A30" s="183" t="s">
        <v>84</v>
      </c>
      <c r="B30" s="951" t="s">
        <v>727</v>
      </c>
      <c r="C30" s="952"/>
      <c r="D30" s="953"/>
      <c r="F30" s="555">
        <v>1250</v>
      </c>
      <c r="G30" s="555">
        <v>0</v>
      </c>
      <c r="H30" s="572">
        <v>631684.14000000013</v>
      </c>
      <c r="I30" s="308">
        <f t="shared" si="1"/>
        <v>461761.10634000006</v>
      </c>
      <c r="J30" s="556"/>
      <c r="K30" s="557">
        <f t="shared" si="0"/>
        <v>1093445.2463400001</v>
      </c>
    </row>
    <row r="31" spans="1:11" ht="18" customHeight="1" x14ac:dyDescent="0.4">
      <c r="A31" s="183" t="s">
        <v>133</v>
      </c>
      <c r="B31" s="951"/>
      <c r="C31" s="952"/>
      <c r="D31" s="953"/>
      <c r="F31" s="555"/>
      <c r="G31" s="555"/>
      <c r="H31" s="572"/>
      <c r="I31" s="144">
        <f t="shared" si="1"/>
        <v>0</v>
      </c>
      <c r="J31" s="556"/>
      <c r="K31" s="557">
        <f t="shared" si="0"/>
        <v>0</v>
      </c>
    </row>
    <row r="32" spans="1:11" ht="18" customHeight="1" x14ac:dyDescent="0.4">
      <c r="A32" s="183" t="s">
        <v>134</v>
      </c>
      <c r="B32" s="500"/>
      <c r="C32" s="501"/>
      <c r="D32" s="502"/>
      <c r="F32" s="555"/>
      <c r="G32" s="558" t="s">
        <v>85</v>
      </c>
      <c r="H32" s="556"/>
      <c r="I32" s="144">
        <f t="shared" si="1"/>
        <v>0</v>
      </c>
      <c r="J32" s="556"/>
      <c r="K32" s="557">
        <f t="shared" si="0"/>
        <v>0</v>
      </c>
    </row>
    <row r="33" spans="1:11" ht="18" customHeight="1" x14ac:dyDescent="0.4">
      <c r="A33" s="183" t="s">
        <v>135</v>
      </c>
      <c r="B33" s="500"/>
      <c r="C33" s="501"/>
      <c r="D33" s="502"/>
      <c r="F33" s="555"/>
      <c r="G33" s="558" t="s">
        <v>85</v>
      </c>
      <c r="H33" s="556"/>
      <c r="I33" s="144">
        <f t="shared" si="1"/>
        <v>0</v>
      </c>
      <c r="J33" s="556"/>
      <c r="K33" s="557">
        <f t="shared" si="0"/>
        <v>0</v>
      </c>
    </row>
    <row r="34" spans="1:11" ht="18" customHeight="1" x14ac:dyDescent="0.4">
      <c r="A34" s="183" t="s">
        <v>136</v>
      </c>
      <c r="B34" s="951"/>
      <c r="C34" s="952"/>
      <c r="D34" s="953"/>
      <c r="F34" s="555"/>
      <c r="G34" s="558" t="s">
        <v>85</v>
      </c>
      <c r="H34" s="556"/>
      <c r="I34" s="144">
        <f t="shared" si="1"/>
        <v>0</v>
      </c>
      <c r="J34" s="556"/>
      <c r="K34" s="557">
        <f t="shared" si="0"/>
        <v>0</v>
      </c>
    </row>
    <row r="35" spans="1:11" ht="18" customHeight="1" x14ac:dyDescent="0.35">
      <c r="K35" s="559"/>
    </row>
    <row r="36" spans="1:11" ht="18" customHeight="1" x14ac:dyDescent="0.4">
      <c r="A36" s="120" t="s">
        <v>137</v>
      </c>
      <c r="B36" s="117" t="s">
        <v>138</v>
      </c>
      <c r="E36" s="117" t="s">
        <v>7</v>
      </c>
      <c r="F36" s="560">
        <f t="shared" ref="F36:K36" si="2">SUM(F21:F34)</f>
        <v>49003.399999999994</v>
      </c>
      <c r="G36" s="560">
        <f t="shared" si="2"/>
        <v>7427.7029765674479</v>
      </c>
      <c r="H36" s="560">
        <f t="shared" si="2"/>
        <v>5525625.2601436973</v>
      </c>
      <c r="I36" s="557">
        <f t="shared" si="2"/>
        <v>4036281.0766450423</v>
      </c>
      <c r="J36" s="557">
        <f t="shared" si="2"/>
        <v>263476.16000000003</v>
      </c>
      <c r="K36" s="557">
        <f t="shared" si="2"/>
        <v>9298430.1767887399</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134447.70000000001</v>
      </c>
      <c r="G40" s="555">
        <v>0</v>
      </c>
      <c r="H40" s="556">
        <v>6102697.7983749993</v>
      </c>
      <c r="I40" s="144">
        <v>4461072.0906121247</v>
      </c>
      <c r="J40" s="556">
        <v>300000</v>
      </c>
      <c r="K40" s="557">
        <f t="shared" ref="K40:K47" si="3">(H40+I40)-J40</f>
        <v>10263769.888987124</v>
      </c>
    </row>
    <row r="41" spans="1:11" ht="18" customHeight="1" x14ac:dyDescent="0.4">
      <c r="A41" s="183" t="s">
        <v>88</v>
      </c>
      <c r="B41" s="956" t="s">
        <v>50</v>
      </c>
      <c r="C41" s="957"/>
      <c r="F41" s="555">
        <v>832</v>
      </c>
      <c r="G41" s="555">
        <v>0</v>
      </c>
      <c r="H41" s="556">
        <v>154163</v>
      </c>
      <c r="I41" s="144">
        <v>112693.15299999999</v>
      </c>
      <c r="J41" s="556"/>
      <c r="K41" s="557">
        <f t="shared" si="3"/>
        <v>266856.15299999999</v>
      </c>
    </row>
    <row r="42" spans="1:11" ht="18" customHeight="1" x14ac:dyDescent="0.4">
      <c r="A42" s="183" t="s">
        <v>89</v>
      </c>
      <c r="B42" s="116" t="s">
        <v>11</v>
      </c>
      <c r="F42" s="555">
        <v>416</v>
      </c>
      <c r="G42" s="555">
        <v>0</v>
      </c>
      <c r="H42" s="556">
        <v>77082</v>
      </c>
      <c r="I42" s="144">
        <v>56346.941999999995</v>
      </c>
      <c r="J42" s="556"/>
      <c r="K42" s="557">
        <f t="shared" si="3"/>
        <v>133428.94199999998</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601">
        <f t="shared" ref="F49:K49" si="4">SUM(F40:F47)</f>
        <v>135695.70000000001</v>
      </c>
      <c r="G49" s="563">
        <f t="shared" si="4"/>
        <v>0</v>
      </c>
      <c r="H49" s="557">
        <f t="shared" si="4"/>
        <v>6333942.7983749993</v>
      </c>
      <c r="I49" s="557">
        <f t="shared" si="4"/>
        <v>4630112.1856121244</v>
      </c>
      <c r="J49" s="557">
        <f t="shared" si="4"/>
        <v>300000</v>
      </c>
      <c r="K49" s="557">
        <f t="shared" si="4"/>
        <v>10664054.983987125</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728</v>
      </c>
      <c r="C53" s="979"/>
      <c r="D53" s="975"/>
      <c r="F53" s="555">
        <v>78280</v>
      </c>
      <c r="G53" s="555"/>
      <c r="H53" s="556">
        <v>3914000</v>
      </c>
      <c r="I53" s="144">
        <v>2861134</v>
      </c>
      <c r="J53" s="556"/>
      <c r="K53" s="557">
        <f t="shared" ref="K53:K62" si="5">(H53+I53)-J53</f>
        <v>6775134</v>
      </c>
    </row>
    <row r="54" spans="1:11" ht="18" customHeight="1" x14ac:dyDescent="0.4">
      <c r="A54" s="183" t="s">
        <v>93</v>
      </c>
      <c r="B54" s="503" t="s">
        <v>502</v>
      </c>
      <c r="C54" s="504"/>
      <c r="D54" s="505"/>
      <c r="F54" s="555"/>
      <c r="G54" s="555"/>
      <c r="H54" s="556">
        <v>2274783.1485417737</v>
      </c>
      <c r="I54" s="144">
        <v>1662866.4815840365</v>
      </c>
      <c r="J54" s="556"/>
      <c r="K54" s="557">
        <f t="shared" si="5"/>
        <v>3937649.6301258104</v>
      </c>
    </row>
    <row r="55" spans="1:11" ht="18" customHeight="1" x14ac:dyDescent="0.4">
      <c r="A55" s="183" t="s">
        <v>94</v>
      </c>
      <c r="B55" s="980" t="s">
        <v>729</v>
      </c>
      <c r="C55" s="974"/>
      <c r="D55" s="975"/>
      <c r="F55" s="555"/>
      <c r="G55" s="555"/>
      <c r="H55" s="556">
        <f>942482+1546184</f>
        <v>2488666</v>
      </c>
      <c r="I55" s="144">
        <f>688954+1130261</f>
        <v>1819215</v>
      </c>
      <c r="J55" s="556"/>
      <c r="K55" s="557">
        <f t="shared" si="5"/>
        <v>4307881</v>
      </c>
    </row>
    <row r="56" spans="1:11" ht="18" customHeight="1" x14ac:dyDescent="0.4">
      <c r="A56" s="183" t="s">
        <v>95</v>
      </c>
      <c r="B56" s="980" t="s">
        <v>459</v>
      </c>
      <c r="C56" s="974"/>
      <c r="D56" s="975"/>
      <c r="F56" s="555">
        <v>7575.5714545454548</v>
      </c>
      <c r="G56" s="555"/>
      <c r="H56" s="556">
        <v>833312.86</v>
      </c>
      <c r="I56" s="144">
        <v>609151.70065999997</v>
      </c>
      <c r="J56" s="556"/>
      <c r="K56" s="557">
        <f t="shared" si="5"/>
        <v>1442464.56066</v>
      </c>
    </row>
    <row r="57" spans="1:11" ht="18" customHeight="1" x14ac:dyDescent="0.4">
      <c r="A57" s="183" t="s">
        <v>96</v>
      </c>
      <c r="B57" s="980" t="s">
        <v>461</v>
      </c>
      <c r="C57" s="974"/>
      <c r="D57" s="975"/>
      <c r="F57" s="555">
        <v>6718</v>
      </c>
      <c r="G57" s="555"/>
      <c r="H57" s="556">
        <v>155083</v>
      </c>
      <c r="I57" s="144">
        <v>113365.673</v>
      </c>
      <c r="J57" s="556">
        <v>109578</v>
      </c>
      <c r="K57" s="557">
        <f t="shared" si="5"/>
        <v>158870.67300000001</v>
      </c>
    </row>
    <row r="58" spans="1:11" ht="18" customHeight="1" x14ac:dyDescent="0.4">
      <c r="A58" s="183" t="s">
        <v>97</v>
      </c>
      <c r="B58" s="503" t="s">
        <v>329</v>
      </c>
      <c r="C58" s="504"/>
      <c r="D58" s="505"/>
      <c r="F58" s="555">
        <v>4278</v>
      </c>
      <c r="G58" s="555">
        <v>409</v>
      </c>
      <c r="H58" s="556">
        <v>176250</v>
      </c>
      <c r="I58" s="144">
        <v>128838.75</v>
      </c>
      <c r="J58" s="556">
        <v>136051</v>
      </c>
      <c r="K58" s="557">
        <f t="shared" si="5"/>
        <v>169037.75</v>
      </c>
    </row>
    <row r="59" spans="1:11" ht="18" customHeight="1" x14ac:dyDescent="0.4">
      <c r="A59" s="183" t="s">
        <v>98</v>
      </c>
      <c r="B59" s="980" t="s">
        <v>503</v>
      </c>
      <c r="C59" s="974"/>
      <c r="D59" s="975"/>
      <c r="F59" s="555">
        <v>5022</v>
      </c>
      <c r="G59" s="555">
        <v>433</v>
      </c>
      <c r="H59" s="556">
        <v>551229.09759999998</v>
      </c>
      <c r="I59" s="144">
        <v>402948.47034559998</v>
      </c>
      <c r="J59" s="556">
        <v>228725</v>
      </c>
      <c r="K59" s="557">
        <f t="shared" si="5"/>
        <v>725452.56794560002</v>
      </c>
    </row>
    <row r="60" spans="1:11" ht="18" customHeight="1" x14ac:dyDescent="0.4">
      <c r="A60" s="183" t="s">
        <v>99</v>
      </c>
      <c r="B60" s="503" t="s">
        <v>460</v>
      </c>
      <c r="C60" s="504"/>
      <c r="D60" s="505"/>
      <c r="F60" s="555">
        <v>0</v>
      </c>
      <c r="G60" s="555">
        <v>6689</v>
      </c>
      <c r="H60" s="556">
        <v>157876.79999999999</v>
      </c>
      <c r="I60" s="144">
        <v>115407.94079999998</v>
      </c>
      <c r="J60" s="556"/>
      <c r="K60" s="557">
        <f t="shared" si="5"/>
        <v>273284.74079999997</v>
      </c>
    </row>
    <row r="61" spans="1:11" ht="18" customHeight="1" x14ac:dyDescent="0.4">
      <c r="A61" s="183" t="s">
        <v>100</v>
      </c>
      <c r="B61" s="503" t="s">
        <v>601</v>
      </c>
      <c r="C61" s="504"/>
      <c r="D61" s="505"/>
      <c r="F61" s="555">
        <v>24865</v>
      </c>
      <c r="G61" s="555">
        <v>792</v>
      </c>
      <c r="H61" s="556">
        <v>572299.8683999998</v>
      </c>
      <c r="I61" s="144">
        <v>418351.20380039985</v>
      </c>
      <c r="J61" s="556"/>
      <c r="K61" s="557">
        <f t="shared" si="5"/>
        <v>990651.07220039959</v>
      </c>
    </row>
    <row r="62" spans="1:11" ht="18" customHeight="1" x14ac:dyDescent="0.4">
      <c r="A62" s="183" t="s">
        <v>101</v>
      </c>
      <c r="B62" s="980" t="s">
        <v>602</v>
      </c>
      <c r="C62" s="974"/>
      <c r="D62" s="975"/>
      <c r="F62" s="555">
        <v>2080</v>
      </c>
      <c r="G62" s="555">
        <v>176</v>
      </c>
      <c r="H62" s="556">
        <v>184182</v>
      </c>
      <c r="I62" s="144">
        <v>134637.04199999999</v>
      </c>
      <c r="J62" s="556"/>
      <c r="K62" s="557">
        <f t="shared" si="5"/>
        <v>318819.04200000002</v>
      </c>
    </row>
    <row r="63" spans="1:11" ht="18" customHeight="1" x14ac:dyDescent="0.4">
      <c r="A63" s="183"/>
      <c r="I63" s="140"/>
    </row>
    <row r="64" spans="1:11" ht="18" customHeight="1" x14ac:dyDescent="0.4">
      <c r="A64" s="183" t="s">
        <v>144</v>
      </c>
      <c r="B64" s="117" t="s">
        <v>145</v>
      </c>
      <c r="E64" s="117" t="s">
        <v>7</v>
      </c>
      <c r="F64" s="560">
        <f t="shared" ref="F64:K64" si="6">SUM(F53:F62)</f>
        <v>128818.57145454545</v>
      </c>
      <c r="G64" s="560">
        <f t="shared" si="6"/>
        <v>8499</v>
      </c>
      <c r="H64" s="557">
        <f t="shared" si="6"/>
        <v>11307682.774541775</v>
      </c>
      <c r="I64" s="557">
        <f t="shared" si="6"/>
        <v>8265916.2621900365</v>
      </c>
      <c r="J64" s="557">
        <f t="shared" si="6"/>
        <v>474354</v>
      </c>
      <c r="K64" s="557">
        <f t="shared" si="6"/>
        <v>19099245.036731809</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f>(H68+I68)-J68</f>
        <v>0</v>
      </c>
    </row>
    <row r="69" spans="1:11" ht="18" customHeight="1" x14ac:dyDescent="0.4">
      <c r="A69" s="183" t="s">
        <v>104</v>
      </c>
      <c r="B69" s="116" t="s">
        <v>53</v>
      </c>
      <c r="F69" s="602">
        <v>12920</v>
      </c>
      <c r="G69" s="602">
        <v>1696</v>
      </c>
      <c r="H69" s="603">
        <v>615267</v>
      </c>
      <c r="I69" s="144">
        <v>449760.17699999997</v>
      </c>
      <c r="J69" s="564"/>
      <c r="K69" s="557">
        <f>(H69+I69)-J69</f>
        <v>1065027.1769999999</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604">
        <f t="shared" ref="F74:K74" si="7">SUM(F68:F72)</f>
        <v>12920</v>
      </c>
      <c r="G74" s="604">
        <f t="shared" si="7"/>
        <v>1696</v>
      </c>
      <c r="H74" s="605">
        <f t="shared" si="7"/>
        <v>615267</v>
      </c>
      <c r="I74" s="145">
        <f t="shared" si="7"/>
        <v>449760.17699999997</v>
      </c>
      <c r="J74" s="566">
        <f t="shared" si="7"/>
        <v>0</v>
      </c>
      <c r="K74" s="567">
        <f t="shared" si="7"/>
        <v>1065027.1769999999</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2110454.48</v>
      </c>
      <c r="I77" s="308">
        <f>H77*0.1</f>
        <v>211045.448</v>
      </c>
      <c r="J77" s="556"/>
      <c r="K77" s="557">
        <f>(H77+I77)-J77</f>
        <v>2321499.9279999998</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3709.5</v>
      </c>
      <c r="G79" s="555">
        <v>747.5</v>
      </c>
      <c r="H79" s="556">
        <v>190030.74821861708</v>
      </c>
      <c r="I79" s="144">
        <v>138912.47694780907</v>
      </c>
      <c r="J79" s="556"/>
      <c r="K79" s="557">
        <f>(H79+I79)-J79</f>
        <v>328943.22516642616</v>
      </c>
    </row>
    <row r="80" spans="1:11" ht="18" customHeight="1" x14ac:dyDescent="0.4">
      <c r="A80" s="183" t="s">
        <v>110</v>
      </c>
      <c r="B80" s="116" t="s">
        <v>56</v>
      </c>
      <c r="F80" s="555">
        <v>587</v>
      </c>
      <c r="G80" s="555">
        <v>3</v>
      </c>
      <c r="H80" s="556">
        <v>226406.98942325689</v>
      </c>
      <c r="I80" s="144">
        <v>165503.50926840075</v>
      </c>
      <c r="J80" s="556"/>
      <c r="K80" s="557">
        <f>(H80+I80)-J80</f>
        <v>391910.49869165767</v>
      </c>
    </row>
    <row r="81" spans="1:11" ht="18" customHeight="1" x14ac:dyDescent="0.4">
      <c r="A81" s="183"/>
      <c r="K81" s="568"/>
    </row>
    <row r="82" spans="1:11" ht="18" customHeight="1" x14ac:dyDescent="0.4">
      <c r="A82" s="183" t="s">
        <v>148</v>
      </c>
      <c r="B82" s="117" t="s">
        <v>149</v>
      </c>
      <c r="E82" s="117" t="s">
        <v>7</v>
      </c>
      <c r="F82" s="566">
        <f t="shared" ref="F82:K82" si="8">SUM(F77:F80)</f>
        <v>4296.5</v>
      </c>
      <c r="G82" s="566">
        <f t="shared" si="8"/>
        <v>750.5</v>
      </c>
      <c r="H82" s="567">
        <f t="shared" si="8"/>
        <v>2526892.2176418738</v>
      </c>
      <c r="I82" s="567">
        <f t="shared" si="8"/>
        <v>515461.4342162098</v>
      </c>
      <c r="J82" s="567">
        <f t="shared" si="8"/>
        <v>0</v>
      </c>
      <c r="K82" s="567">
        <f t="shared" si="8"/>
        <v>3042353.6518580834</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v>523375.98</v>
      </c>
      <c r="I86" s="144">
        <f t="shared" ref="I86:I96" si="9">H86*F$114</f>
        <v>382587.84138</v>
      </c>
      <c r="J86" s="556"/>
      <c r="K86" s="557">
        <f t="shared" ref="K86:K96" si="10">(H86+I86)-J86</f>
        <v>905963.82137999998</v>
      </c>
    </row>
    <row r="87" spans="1:11" ht="18" customHeight="1" x14ac:dyDescent="0.4">
      <c r="A87" s="183" t="s">
        <v>114</v>
      </c>
      <c r="B87" s="116" t="s">
        <v>14</v>
      </c>
      <c r="F87" s="555">
        <v>9341</v>
      </c>
      <c r="G87" s="555">
        <v>914</v>
      </c>
      <c r="H87" s="556">
        <v>565253.66</v>
      </c>
      <c r="I87" s="144">
        <v>413200.42546</v>
      </c>
      <c r="J87" s="556">
        <v>255891.7</v>
      </c>
      <c r="K87" s="557">
        <v>722562.38546000014</v>
      </c>
    </row>
    <row r="88" spans="1:11" ht="18" customHeight="1" x14ac:dyDescent="0.4">
      <c r="A88" s="183" t="s">
        <v>115</v>
      </c>
      <c r="B88" s="116" t="s">
        <v>116</v>
      </c>
      <c r="F88" s="555">
        <v>37631.12000000001</v>
      </c>
      <c r="G88" s="555">
        <v>3</v>
      </c>
      <c r="H88" s="556">
        <v>1936220.2299999997</v>
      </c>
      <c r="I88" s="144">
        <f t="shared" si="9"/>
        <v>1415376.9881299997</v>
      </c>
      <c r="J88" s="556"/>
      <c r="K88" s="557">
        <f t="shared" si="10"/>
        <v>3351597.2181299995</v>
      </c>
    </row>
    <row r="89" spans="1:11" ht="18" customHeight="1" x14ac:dyDescent="0.4">
      <c r="A89" s="183" t="s">
        <v>117</v>
      </c>
      <c r="B89" s="116" t="s">
        <v>58</v>
      </c>
      <c r="F89" s="555"/>
      <c r="G89" s="555"/>
      <c r="H89" s="556"/>
      <c r="I89" s="144">
        <f t="shared" si="9"/>
        <v>0</v>
      </c>
      <c r="J89" s="556"/>
      <c r="K89" s="557">
        <f t="shared" si="10"/>
        <v>0</v>
      </c>
    </row>
    <row r="90" spans="1:11" ht="18" customHeight="1" x14ac:dyDescent="0.4">
      <c r="A90" s="183" t="s">
        <v>118</v>
      </c>
      <c r="B90" s="956" t="s">
        <v>59</v>
      </c>
      <c r="C90" s="957"/>
      <c r="F90" s="555">
        <v>6967</v>
      </c>
      <c r="G90" s="555">
        <v>95</v>
      </c>
      <c r="H90" s="556">
        <v>214637.14</v>
      </c>
      <c r="I90" s="144">
        <f t="shared" si="9"/>
        <v>156899.74934000001</v>
      </c>
      <c r="J90" s="556"/>
      <c r="K90" s="557">
        <f t="shared" si="10"/>
        <v>371536.88933999999</v>
      </c>
    </row>
    <row r="91" spans="1:11" ht="18" customHeight="1" x14ac:dyDescent="0.4">
      <c r="A91" s="183" t="s">
        <v>119</v>
      </c>
      <c r="B91" s="116" t="s">
        <v>60</v>
      </c>
      <c r="F91" s="555"/>
      <c r="G91" s="555"/>
      <c r="H91" s="556"/>
      <c r="I91" s="144">
        <f t="shared" si="9"/>
        <v>0</v>
      </c>
      <c r="J91" s="556"/>
      <c r="K91" s="557">
        <f t="shared" si="10"/>
        <v>0</v>
      </c>
    </row>
    <row r="92" spans="1:11" ht="18" customHeight="1" x14ac:dyDescent="0.4">
      <c r="A92" s="183" t="s">
        <v>120</v>
      </c>
      <c r="B92" s="116" t="s">
        <v>121</v>
      </c>
      <c r="F92" s="134"/>
      <c r="G92" s="134"/>
      <c r="H92" s="135"/>
      <c r="I92" s="144">
        <f t="shared" si="9"/>
        <v>0</v>
      </c>
      <c r="J92" s="135"/>
      <c r="K92" s="557">
        <f t="shared" si="10"/>
        <v>0</v>
      </c>
    </row>
    <row r="93" spans="1:11" ht="18" customHeight="1" x14ac:dyDescent="0.4">
      <c r="A93" s="183" t="s">
        <v>122</v>
      </c>
      <c r="B93" s="116" t="s">
        <v>123</v>
      </c>
      <c r="F93" s="555">
        <v>615</v>
      </c>
      <c r="G93" s="555">
        <v>0</v>
      </c>
      <c r="H93" s="556">
        <v>155571.72500000001</v>
      </c>
      <c r="I93" s="144">
        <f t="shared" si="9"/>
        <v>113722.930975</v>
      </c>
      <c r="J93" s="556"/>
      <c r="K93" s="557">
        <f t="shared" si="10"/>
        <v>269294.655975</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54554.12000000001</v>
      </c>
      <c r="G98" s="560">
        <f t="shared" si="11"/>
        <v>1012</v>
      </c>
      <c r="H98" s="560">
        <f t="shared" si="11"/>
        <v>3395058.7350000003</v>
      </c>
      <c r="I98" s="560">
        <f t="shared" si="11"/>
        <v>2481787.9352849997</v>
      </c>
      <c r="J98" s="560">
        <f t="shared" si="11"/>
        <v>255891.7</v>
      </c>
      <c r="K98" s="560">
        <f t="shared" si="11"/>
        <v>5620954.9702849993</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2619</v>
      </c>
      <c r="G102" s="555">
        <v>0</v>
      </c>
      <c r="H102" s="556">
        <v>130949.0063172699</v>
      </c>
      <c r="I102" s="144">
        <f>H102*F$114</f>
        <v>95723.72361792429</v>
      </c>
      <c r="J102" s="556"/>
      <c r="K102" s="557">
        <f>(H102+I102)-J102</f>
        <v>226672.72993519419</v>
      </c>
    </row>
    <row r="103" spans="1:11" ht="18" customHeight="1" x14ac:dyDescent="0.4">
      <c r="A103" s="183" t="s">
        <v>132</v>
      </c>
      <c r="B103" s="956" t="s">
        <v>62</v>
      </c>
      <c r="C103" s="956"/>
      <c r="F103" s="555"/>
      <c r="G103" s="555"/>
      <c r="H103" s="556"/>
      <c r="I103" s="144">
        <f>H103*F$114</f>
        <v>0</v>
      </c>
      <c r="J103" s="556"/>
      <c r="K103" s="557">
        <f>(H103+I103)-J103</f>
        <v>0</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2619</v>
      </c>
      <c r="G108" s="560">
        <f t="shared" si="12"/>
        <v>0</v>
      </c>
      <c r="H108" s="557">
        <f t="shared" si="12"/>
        <v>130949.0063172699</v>
      </c>
      <c r="I108" s="557">
        <f t="shared" si="12"/>
        <v>95723.72361792429</v>
      </c>
      <c r="J108" s="557">
        <f t="shared" si="12"/>
        <v>0</v>
      </c>
      <c r="K108" s="557">
        <f t="shared" si="12"/>
        <v>226672.72993519419</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72">
        <v>18604182</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0.73099999999999998</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482696800</v>
      </c>
    </row>
    <row r="118" spans="1:6" ht="18" customHeight="1" x14ac:dyDescent="0.4">
      <c r="A118" s="183" t="s">
        <v>173</v>
      </c>
      <c r="B118" s="189" t="s">
        <v>18</v>
      </c>
      <c r="F118" s="556">
        <v>29161800</v>
      </c>
    </row>
    <row r="119" spans="1:6" ht="18" customHeight="1" x14ac:dyDescent="0.4">
      <c r="A119" s="183" t="s">
        <v>174</v>
      </c>
      <c r="B119" s="117" t="s">
        <v>19</v>
      </c>
      <c r="F119" s="567">
        <f>SUM(F117:F118)</f>
        <v>511858600</v>
      </c>
    </row>
    <row r="120" spans="1:6" ht="18" customHeight="1" x14ac:dyDescent="0.4">
      <c r="A120" s="183"/>
      <c r="B120" s="117"/>
    </row>
    <row r="121" spans="1:6" ht="18" customHeight="1" x14ac:dyDescent="0.4">
      <c r="A121" s="183" t="s">
        <v>167</v>
      </c>
      <c r="B121" s="117" t="s">
        <v>36</v>
      </c>
      <c r="F121" s="556">
        <v>493862600</v>
      </c>
    </row>
    <row r="122" spans="1:6" ht="18" customHeight="1" x14ac:dyDescent="0.4">
      <c r="A122" s="183"/>
    </row>
    <row r="123" spans="1:6" ht="18" customHeight="1" x14ac:dyDescent="0.4">
      <c r="A123" s="183" t="s">
        <v>175</v>
      </c>
      <c r="B123" s="117" t="s">
        <v>20</v>
      </c>
      <c r="F123" s="556">
        <f>+F119-F121</f>
        <v>17996000</v>
      </c>
    </row>
    <row r="124" spans="1:6" ht="18" customHeight="1" x14ac:dyDescent="0.4">
      <c r="A124" s="183"/>
    </row>
    <row r="125" spans="1:6" ht="18" customHeight="1" x14ac:dyDescent="0.4">
      <c r="A125" s="183" t="s">
        <v>176</v>
      </c>
      <c r="B125" s="117" t="s">
        <v>21</v>
      </c>
      <c r="F125" s="556">
        <v>3363200</v>
      </c>
    </row>
    <row r="126" spans="1:6" ht="18" customHeight="1" x14ac:dyDescent="0.4">
      <c r="A126" s="183"/>
    </row>
    <row r="127" spans="1:6" ht="18" customHeight="1" x14ac:dyDescent="0.4">
      <c r="A127" s="183" t="s">
        <v>177</v>
      </c>
      <c r="B127" s="117" t="s">
        <v>22</v>
      </c>
      <c r="F127" s="556">
        <f>+F123+F125</f>
        <v>21359200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49003.399999999994</v>
      </c>
      <c r="G141" s="136">
        <f t="shared" si="14"/>
        <v>7427.7029765674479</v>
      </c>
      <c r="H141" s="136">
        <f t="shared" si="14"/>
        <v>5525625.2601436973</v>
      </c>
      <c r="I141" s="136">
        <f t="shared" si="14"/>
        <v>4036281.0766450423</v>
      </c>
      <c r="J141" s="136">
        <f t="shared" si="14"/>
        <v>263476.16000000003</v>
      </c>
      <c r="K141" s="136">
        <f t="shared" si="14"/>
        <v>9298430.1767887399</v>
      </c>
    </row>
    <row r="142" spans="1:11" ht="18" customHeight="1" x14ac:dyDescent="0.4">
      <c r="A142" s="183" t="s">
        <v>142</v>
      </c>
      <c r="B142" s="117" t="s">
        <v>65</v>
      </c>
      <c r="F142" s="136">
        <f t="shared" ref="F142:K142" si="15">F49</f>
        <v>135695.70000000001</v>
      </c>
      <c r="G142" s="136">
        <f t="shared" si="15"/>
        <v>0</v>
      </c>
      <c r="H142" s="136">
        <f t="shared" si="15"/>
        <v>6333942.7983749993</v>
      </c>
      <c r="I142" s="136">
        <f t="shared" si="15"/>
        <v>4630112.1856121244</v>
      </c>
      <c r="J142" s="136">
        <f t="shared" si="15"/>
        <v>300000</v>
      </c>
      <c r="K142" s="136">
        <f t="shared" si="15"/>
        <v>10664054.983987125</v>
      </c>
    </row>
    <row r="143" spans="1:11" ht="18" customHeight="1" x14ac:dyDescent="0.4">
      <c r="A143" s="183" t="s">
        <v>144</v>
      </c>
      <c r="B143" s="117" t="s">
        <v>66</v>
      </c>
      <c r="F143" s="136">
        <f t="shared" ref="F143:K143" si="16">F64</f>
        <v>128818.57145454545</v>
      </c>
      <c r="G143" s="136">
        <f t="shared" si="16"/>
        <v>8499</v>
      </c>
      <c r="H143" s="136">
        <f t="shared" si="16"/>
        <v>11307682.774541775</v>
      </c>
      <c r="I143" s="136">
        <f t="shared" si="16"/>
        <v>8265916.2621900365</v>
      </c>
      <c r="J143" s="136">
        <f t="shared" si="16"/>
        <v>474354</v>
      </c>
      <c r="K143" s="136">
        <f t="shared" si="16"/>
        <v>19099245.036731809</v>
      </c>
    </row>
    <row r="144" spans="1:11" ht="18" customHeight="1" x14ac:dyDescent="0.4">
      <c r="A144" s="183" t="s">
        <v>146</v>
      </c>
      <c r="B144" s="117" t="s">
        <v>67</v>
      </c>
      <c r="F144" s="136">
        <f t="shared" ref="F144:K144" si="17">F74</f>
        <v>12920</v>
      </c>
      <c r="G144" s="136">
        <f t="shared" si="17"/>
        <v>1696</v>
      </c>
      <c r="H144" s="136">
        <f t="shared" si="17"/>
        <v>615267</v>
      </c>
      <c r="I144" s="136">
        <f t="shared" si="17"/>
        <v>449760.17699999997</v>
      </c>
      <c r="J144" s="136">
        <f t="shared" si="17"/>
        <v>0</v>
      </c>
      <c r="K144" s="136">
        <f t="shared" si="17"/>
        <v>1065027.1769999999</v>
      </c>
    </row>
    <row r="145" spans="1:11" ht="18" customHeight="1" x14ac:dyDescent="0.4">
      <c r="A145" s="183" t="s">
        <v>148</v>
      </c>
      <c r="B145" s="117" t="s">
        <v>68</v>
      </c>
      <c r="F145" s="136">
        <f t="shared" ref="F145:K145" si="18">F82</f>
        <v>4296.5</v>
      </c>
      <c r="G145" s="136">
        <f t="shared" si="18"/>
        <v>750.5</v>
      </c>
      <c r="H145" s="136">
        <f t="shared" si="18"/>
        <v>2526892.2176418738</v>
      </c>
      <c r="I145" s="136">
        <f t="shared" si="18"/>
        <v>515461.4342162098</v>
      </c>
      <c r="J145" s="136">
        <f t="shared" si="18"/>
        <v>0</v>
      </c>
      <c r="K145" s="136">
        <f t="shared" si="18"/>
        <v>3042353.6518580834</v>
      </c>
    </row>
    <row r="146" spans="1:11" ht="18" customHeight="1" x14ac:dyDescent="0.4">
      <c r="A146" s="183" t="s">
        <v>150</v>
      </c>
      <c r="B146" s="117" t="s">
        <v>69</v>
      </c>
      <c r="F146" s="136">
        <f t="shared" ref="F146:K146" si="19">F98</f>
        <v>54554.12000000001</v>
      </c>
      <c r="G146" s="136">
        <f t="shared" si="19"/>
        <v>1012</v>
      </c>
      <c r="H146" s="136">
        <f t="shared" si="19"/>
        <v>3395058.7350000003</v>
      </c>
      <c r="I146" s="136">
        <f t="shared" si="19"/>
        <v>2481787.9352849997</v>
      </c>
      <c r="J146" s="136">
        <f t="shared" si="19"/>
        <v>255891.7</v>
      </c>
      <c r="K146" s="136">
        <f t="shared" si="19"/>
        <v>5620954.9702849993</v>
      </c>
    </row>
    <row r="147" spans="1:11" ht="18" customHeight="1" x14ac:dyDescent="0.4">
      <c r="A147" s="183" t="s">
        <v>153</v>
      </c>
      <c r="B147" s="117" t="s">
        <v>61</v>
      </c>
      <c r="F147" s="560">
        <f t="shared" ref="F147:K147" si="20">F108</f>
        <v>2619</v>
      </c>
      <c r="G147" s="560">
        <f t="shared" si="20"/>
        <v>0</v>
      </c>
      <c r="H147" s="560">
        <f t="shared" si="20"/>
        <v>130949.0063172699</v>
      </c>
      <c r="I147" s="560">
        <f t="shared" si="20"/>
        <v>95723.72361792429</v>
      </c>
      <c r="J147" s="560">
        <f t="shared" si="20"/>
        <v>0</v>
      </c>
      <c r="K147" s="560">
        <f t="shared" si="20"/>
        <v>226672.72993519419</v>
      </c>
    </row>
    <row r="148" spans="1:11" ht="18" customHeight="1" x14ac:dyDescent="0.4">
      <c r="A148" s="183" t="s">
        <v>155</v>
      </c>
      <c r="B148" s="117" t="s">
        <v>70</v>
      </c>
      <c r="F148" s="137" t="s">
        <v>73</v>
      </c>
      <c r="G148" s="137" t="s">
        <v>73</v>
      </c>
      <c r="H148" s="138" t="s">
        <v>73</v>
      </c>
      <c r="I148" s="138" t="s">
        <v>73</v>
      </c>
      <c r="J148" s="138" t="s">
        <v>73</v>
      </c>
      <c r="K148" s="133">
        <f>F111</f>
        <v>18604182</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10683740.180449482</v>
      </c>
      <c r="I150" s="560">
        <f>I18</f>
        <v>0</v>
      </c>
      <c r="J150" s="560">
        <f>J18</f>
        <v>8881683.3713187296</v>
      </c>
      <c r="K150" s="560">
        <f>K18</f>
        <v>1802056.8091307525</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387907.29145454546</v>
      </c>
      <c r="G152" s="143">
        <f t="shared" si="22"/>
        <v>19385.202976567449</v>
      </c>
      <c r="H152" s="143">
        <f t="shared" si="22"/>
        <v>40519157.972469099</v>
      </c>
      <c r="I152" s="143">
        <f t="shared" si="22"/>
        <v>20475042.794566333</v>
      </c>
      <c r="J152" s="143">
        <f t="shared" si="22"/>
        <v>10175405.231318729</v>
      </c>
      <c r="K152" s="143">
        <f t="shared" si="22"/>
        <v>69422977.535716712</v>
      </c>
    </row>
    <row r="153" spans="1:11" ht="18" customHeight="1" x14ac:dyDescent="0.35">
      <c r="K153" s="255"/>
    </row>
    <row r="154" spans="1:11" ht="18" customHeight="1" x14ac:dyDescent="0.4">
      <c r="A154" s="120" t="s">
        <v>168</v>
      </c>
      <c r="B154" s="117" t="s">
        <v>28</v>
      </c>
      <c r="F154" s="571">
        <f>K152/F121</f>
        <v>0.14057144140033426</v>
      </c>
    </row>
    <row r="155" spans="1:11" ht="18" customHeight="1" x14ac:dyDescent="0.4">
      <c r="A155" s="120" t="s">
        <v>169</v>
      </c>
      <c r="B155" s="117" t="s">
        <v>72</v>
      </c>
      <c r="F155" s="571">
        <f>K152/F127</f>
        <v>3.2502611303661517</v>
      </c>
      <c r="G155" s="117"/>
      <c r="K155" s="255"/>
    </row>
    <row r="156" spans="1:11" ht="18" customHeight="1" x14ac:dyDescent="0.4">
      <c r="G156" s="117"/>
    </row>
  </sheetData>
  <mergeCells count="34">
    <mergeCell ref="B134:D134"/>
    <mergeCell ref="B135:D135"/>
    <mergeCell ref="B94:D94"/>
    <mergeCell ref="B95:D95"/>
    <mergeCell ref="D2:H2"/>
    <mergeCell ref="C5:G5"/>
    <mergeCell ref="C6:G6"/>
    <mergeCell ref="B106:D106"/>
    <mergeCell ref="B133:D133"/>
    <mergeCell ref="B57:D57"/>
    <mergeCell ref="B59:D59"/>
    <mergeCell ref="B62:D62"/>
    <mergeCell ref="C7:G7"/>
    <mergeCell ref="C9:G9"/>
    <mergeCell ref="C10:G10"/>
    <mergeCell ref="C11:G11"/>
    <mergeCell ref="B13:H13"/>
    <mergeCell ref="B41:C41"/>
    <mergeCell ref="B96:D96"/>
    <mergeCell ref="B103:C103"/>
    <mergeCell ref="B104:D104"/>
    <mergeCell ref="B105:D105"/>
    <mergeCell ref="B30:D30"/>
    <mergeCell ref="B31:D31"/>
    <mergeCell ref="B34:D34"/>
    <mergeCell ref="B90:C90"/>
    <mergeCell ref="B44:D44"/>
    <mergeCell ref="B45:D45"/>
    <mergeCell ref="B46:D46"/>
    <mergeCell ref="B47:D47"/>
    <mergeCell ref="B52:C52"/>
    <mergeCell ref="B53:D53"/>
    <mergeCell ref="B55:D55"/>
    <mergeCell ref="B56:D5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156"/>
  <sheetViews>
    <sheetView showGridLines="0" zoomScale="85" zoomScaleNormal="85" zoomScaleSheetLayoutView="80" workbookViewId="0">
      <selection activeCell="B10" sqref="B10"/>
    </sheetView>
  </sheetViews>
  <sheetFormatPr defaultColWidth="9" defaultRowHeight="18" customHeight="1" x14ac:dyDescent="0.35"/>
  <cols>
    <col min="1" max="1" width="8.265625" style="109" customWidth="1"/>
    <col min="2" max="2" width="55.3984375" style="187" bestFit="1" customWidth="1"/>
    <col min="3" max="3" width="9.59765625" style="187" customWidth="1"/>
    <col min="4" max="4" width="9" style="187"/>
    <col min="5" max="5" width="12.3984375" style="187" customWidth="1"/>
    <col min="6" max="6" width="18.59765625" style="187" customWidth="1"/>
    <col min="7" max="7" width="23.59765625" style="187" customWidth="1"/>
    <col min="8" max="8" width="17.1328125" style="187" customWidth="1"/>
    <col min="9" max="9" width="21.1328125" style="187" customWidth="1"/>
    <col min="10" max="10" width="19.86328125" style="187" customWidth="1"/>
    <col min="11" max="11" width="17.59765625" style="187" customWidth="1"/>
    <col min="12" max="16384" width="9" style="187"/>
  </cols>
  <sheetData>
    <row r="1" spans="1:11" ht="18" customHeight="1" x14ac:dyDescent="0.4">
      <c r="C1" s="283"/>
      <c r="D1" s="284"/>
      <c r="E1" s="283"/>
      <c r="F1" s="283"/>
      <c r="G1" s="283"/>
      <c r="H1" s="283"/>
      <c r="I1" s="283"/>
      <c r="J1" s="283"/>
      <c r="K1" s="283"/>
    </row>
    <row r="2" spans="1:11" ht="18" customHeight="1" x14ac:dyDescent="0.4">
      <c r="D2" s="1041" t="s">
        <v>730</v>
      </c>
      <c r="E2" s="1042"/>
      <c r="F2" s="1042"/>
      <c r="G2" s="1042"/>
      <c r="H2" s="1042"/>
    </row>
    <row r="3" spans="1:11" ht="18" customHeight="1" x14ac:dyDescent="0.4">
      <c r="B3" s="155" t="s">
        <v>0</v>
      </c>
    </row>
    <row r="5" spans="1:11" ht="18" customHeight="1" x14ac:dyDescent="0.4">
      <c r="B5" s="188" t="s">
        <v>40</v>
      </c>
      <c r="C5" s="1043" t="s">
        <v>297</v>
      </c>
      <c r="D5" s="1044"/>
      <c r="E5" s="1044"/>
      <c r="F5" s="1044"/>
      <c r="G5" s="1045"/>
    </row>
    <row r="6" spans="1:11" ht="18" customHeight="1" x14ac:dyDescent="0.4">
      <c r="B6" s="188" t="s">
        <v>3</v>
      </c>
      <c r="C6" s="1046" t="s">
        <v>298</v>
      </c>
      <c r="D6" s="1047"/>
      <c r="E6" s="1047"/>
      <c r="F6" s="1047"/>
      <c r="G6" s="1048"/>
    </row>
    <row r="7" spans="1:11" ht="18" customHeight="1" x14ac:dyDescent="0.4">
      <c r="B7" s="188" t="s">
        <v>4</v>
      </c>
      <c r="C7" s="1049"/>
      <c r="D7" s="1050"/>
      <c r="E7" s="1050"/>
      <c r="F7" s="1050"/>
      <c r="G7" s="1051"/>
    </row>
    <row r="9" spans="1:11" ht="18" customHeight="1" x14ac:dyDescent="0.4">
      <c r="B9" s="188" t="s">
        <v>1</v>
      </c>
      <c r="C9" s="1043" t="s">
        <v>299</v>
      </c>
      <c r="D9" s="1044"/>
      <c r="E9" s="1044"/>
      <c r="F9" s="1044"/>
      <c r="G9" s="1045"/>
    </row>
    <row r="10" spans="1:11" ht="18" customHeight="1" x14ac:dyDescent="0.4">
      <c r="B10" s="188" t="s">
        <v>2</v>
      </c>
      <c r="C10" s="1038" t="s">
        <v>731</v>
      </c>
      <c r="D10" s="1039"/>
      <c r="E10" s="1039"/>
      <c r="F10" s="1039"/>
      <c r="G10" s="1040"/>
    </row>
    <row r="11" spans="1:11" ht="18" customHeight="1" x14ac:dyDescent="0.45">
      <c r="B11" s="188" t="s">
        <v>32</v>
      </c>
      <c r="C11" s="1052" t="s">
        <v>300</v>
      </c>
      <c r="D11" s="1053"/>
      <c r="E11" s="1053"/>
      <c r="F11" s="1053"/>
      <c r="G11" s="1053"/>
    </row>
    <row r="12" spans="1:11" ht="18" customHeight="1" x14ac:dyDescent="0.4">
      <c r="B12" s="188"/>
      <c r="C12" s="188"/>
      <c r="D12" s="188"/>
      <c r="E12" s="188"/>
      <c r="F12" s="188"/>
      <c r="G12" s="188"/>
    </row>
    <row r="13" spans="1:11" ht="24.6" customHeight="1" x14ac:dyDescent="0.35">
      <c r="B13" s="1054"/>
      <c r="C13" s="1055"/>
      <c r="D13" s="1055"/>
      <c r="E13" s="1055"/>
      <c r="F13" s="1055"/>
      <c r="G13" s="1055"/>
      <c r="H13" s="1056"/>
      <c r="I13" s="283"/>
    </row>
    <row r="14" spans="1:11" ht="18" customHeight="1" x14ac:dyDescent="0.35">
      <c r="B14" s="157"/>
    </row>
    <row r="15" spans="1:11" ht="18" customHeight="1" x14ac:dyDescent="0.35">
      <c r="B15" s="157"/>
    </row>
    <row r="16" spans="1:11" ht="45" customHeight="1" x14ac:dyDescent="0.4">
      <c r="A16" s="284" t="s">
        <v>181</v>
      </c>
      <c r="B16" s="283"/>
      <c r="C16" s="283"/>
      <c r="D16" s="283"/>
      <c r="E16" s="283"/>
      <c r="F16" s="158" t="s">
        <v>9</v>
      </c>
      <c r="G16" s="158" t="s">
        <v>37</v>
      </c>
      <c r="H16" s="158" t="s">
        <v>29</v>
      </c>
      <c r="I16" s="158" t="s">
        <v>30</v>
      </c>
      <c r="J16" s="158" t="s">
        <v>33</v>
      </c>
      <c r="K16" s="158" t="s">
        <v>34</v>
      </c>
    </row>
    <row r="17" spans="1:11" ht="18" customHeight="1" x14ac:dyDescent="0.4">
      <c r="A17" s="156" t="s">
        <v>184</v>
      </c>
      <c r="B17" s="155" t="s">
        <v>182</v>
      </c>
    </row>
    <row r="18" spans="1:11" ht="18" customHeight="1" x14ac:dyDescent="0.4">
      <c r="A18" s="188" t="s">
        <v>185</v>
      </c>
      <c r="B18" s="154" t="s">
        <v>183</v>
      </c>
      <c r="F18" s="606" t="s">
        <v>73</v>
      </c>
      <c r="G18" s="606" t="s">
        <v>73</v>
      </c>
      <c r="H18" s="607">
        <v>47025450</v>
      </c>
      <c r="I18" s="607">
        <v>0</v>
      </c>
      <c r="J18" s="607">
        <v>39093534</v>
      </c>
      <c r="K18" s="608">
        <f>(H18+I18)-J18</f>
        <v>7931916</v>
      </c>
    </row>
    <row r="19" spans="1:11" ht="45" customHeight="1" x14ac:dyDescent="0.4">
      <c r="A19" s="284" t="s">
        <v>8</v>
      </c>
      <c r="B19" s="283"/>
      <c r="C19" s="283"/>
      <c r="D19" s="283"/>
      <c r="E19" s="283"/>
      <c r="F19" s="158" t="s">
        <v>9</v>
      </c>
      <c r="G19" s="158" t="s">
        <v>37</v>
      </c>
      <c r="H19" s="158" t="s">
        <v>29</v>
      </c>
      <c r="I19" s="158" t="s">
        <v>30</v>
      </c>
      <c r="J19" s="158" t="s">
        <v>33</v>
      </c>
      <c r="K19" s="158" t="s">
        <v>34</v>
      </c>
    </row>
    <row r="20" spans="1:11" ht="18" customHeight="1" x14ac:dyDescent="0.4">
      <c r="A20" s="156" t="s">
        <v>74</v>
      </c>
      <c r="B20" s="155" t="s">
        <v>41</v>
      </c>
    </row>
    <row r="21" spans="1:11" ht="18" customHeight="1" x14ac:dyDescent="0.4">
      <c r="A21" s="188" t="s">
        <v>75</v>
      </c>
      <c r="B21" s="154" t="s">
        <v>42</v>
      </c>
      <c r="F21" s="606">
        <v>3171.5</v>
      </c>
      <c r="G21" s="606">
        <v>664487</v>
      </c>
      <c r="H21" s="607">
        <v>288675.40000000002</v>
      </c>
      <c r="I21" s="607">
        <v>125982.232636</v>
      </c>
      <c r="J21" s="607">
        <v>14000</v>
      </c>
      <c r="K21" s="608">
        <f t="shared" ref="K21:K34" si="0">(H21+I21)-J21</f>
        <v>400657.63263600005</v>
      </c>
    </row>
    <row r="22" spans="1:11" ht="18" customHeight="1" x14ac:dyDescent="0.4">
      <c r="A22" s="188" t="s">
        <v>76</v>
      </c>
      <c r="B22" s="187" t="s">
        <v>6</v>
      </c>
      <c r="F22" s="606">
        <v>749</v>
      </c>
      <c r="G22" s="606">
        <v>2775</v>
      </c>
      <c r="H22" s="607">
        <v>59564.880000000005</v>
      </c>
      <c r="I22" s="607">
        <v>25952.418216000005</v>
      </c>
      <c r="J22" s="607">
        <v>0</v>
      </c>
      <c r="K22" s="608">
        <f t="shared" si="0"/>
        <v>85517.29821600001</v>
      </c>
    </row>
    <row r="23" spans="1:11" ht="18" customHeight="1" x14ac:dyDescent="0.4">
      <c r="A23" s="188" t="s">
        <v>77</v>
      </c>
      <c r="B23" s="187" t="s">
        <v>43</v>
      </c>
      <c r="F23" s="606">
        <v>0</v>
      </c>
      <c r="G23" s="606">
        <v>0</v>
      </c>
      <c r="H23" s="607">
        <v>0</v>
      </c>
      <c r="I23" s="607">
        <v>0</v>
      </c>
      <c r="J23" s="607">
        <v>0</v>
      </c>
      <c r="K23" s="608">
        <f t="shared" si="0"/>
        <v>0</v>
      </c>
    </row>
    <row r="24" spans="1:11" ht="18" customHeight="1" x14ac:dyDescent="0.4">
      <c r="A24" s="188" t="s">
        <v>78</v>
      </c>
      <c r="B24" s="187" t="s">
        <v>44</v>
      </c>
      <c r="F24" s="606">
        <v>5076</v>
      </c>
      <c r="G24" s="606">
        <v>1296</v>
      </c>
      <c r="H24" s="607">
        <v>248181.94</v>
      </c>
      <c r="I24" s="607">
        <v>108264.56645799999</v>
      </c>
      <c r="J24" s="607">
        <v>0</v>
      </c>
      <c r="K24" s="608">
        <f t="shared" si="0"/>
        <v>356446.50645799999</v>
      </c>
    </row>
    <row r="25" spans="1:11" ht="18" customHeight="1" x14ac:dyDescent="0.4">
      <c r="A25" s="188" t="s">
        <v>79</v>
      </c>
      <c r="B25" s="187" t="s">
        <v>5</v>
      </c>
      <c r="F25" s="606">
        <v>45</v>
      </c>
      <c r="G25" s="606">
        <v>215</v>
      </c>
      <c r="H25" s="607">
        <v>2712.5</v>
      </c>
      <c r="I25" s="607">
        <v>1181.8362499999998</v>
      </c>
      <c r="J25" s="607">
        <v>0</v>
      </c>
      <c r="K25" s="608">
        <f t="shared" si="0"/>
        <v>3894.3362499999998</v>
      </c>
    </row>
    <row r="26" spans="1:11" ht="18" customHeight="1" x14ac:dyDescent="0.4">
      <c r="A26" s="188" t="s">
        <v>80</v>
      </c>
      <c r="B26" s="187" t="s">
        <v>45</v>
      </c>
      <c r="F26" s="606">
        <v>24</v>
      </c>
      <c r="G26" s="606">
        <v>400</v>
      </c>
      <c r="H26" s="607">
        <v>18953</v>
      </c>
      <c r="I26" s="607">
        <v>8257.8220999999994</v>
      </c>
      <c r="J26" s="607">
        <v>0</v>
      </c>
      <c r="K26" s="608">
        <f t="shared" si="0"/>
        <v>27210.822099999998</v>
      </c>
    </row>
    <row r="27" spans="1:11" ht="18" customHeight="1" x14ac:dyDescent="0.4">
      <c r="A27" s="188" t="s">
        <v>81</v>
      </c>
      <c r="B27" s="187" t="s">
        <v>46</v>
      </c>
      <c r="F27" s="606">
        <v>424</v>
      </c>
      <c r="G27" s="606">
        <v>29235</v>
      </c>
      <c r="H27" s="607">
        <v>3813122</v>
      </c>
      <c r="I27" s="607">
        <v>7671.8055999999997</v>
      </c>
      <c r="J27" s="607">
        <v>0</v>
      </c>
      <c r="K27" s="608">
        <f t="shared" si="0"/>
        <v>3820793.8056000001</v>
      </c>
    </row>
    <row r="28" spans="1:11" ht="18" customHeight="1" x14ac:dyDescent="0.4">
      <c r="A28" s="188" t="s">
        <v>82</v>
      </c>
      <c r="B28" s="187" t="s">
        <v>47</v>
      </c>
      <c r="F28" s="606">
        <v>17678</v>
      </c>
      <c r="G28" s="606">
        <v>3818</v>
      </c>
      <c r="H28" s="607">
        <v>813162.28</v>
      </c>
      <c r="I28" s="607">
        <v>354294.80539599998</v>
      </c>
      <c r="J28" s="607">
        <v>1104724</v>
      </c>
      <c r="K28" s="608">
        <f t="shared" si="0"/>
        <v>62733.085395999951</v>
      </c>
    </row>
    <row r="29" spans="1:11" ht="18" customHeight="1" x14ac:dyDescent="0.4">
      <c r="A29" s="188" t="s">
        <v>83</v>
      </c>
      <c r="B29" s="187" t="s">
        <v>48</v>
      </c>
      <c r="F29" s="606">
        <v>45986</v>
      </c>
      <c r="G29" s="606">
        <v>43685</v>
      </c>
      <c r="H29" s="607">
        <v>9880088.2200000007</v>
      </c>
      <c r="I29" s="607">
        <v>3727042.8151539997</v>
      </c>
      <c r="J29" s="607">
        <v>177521</v>
      </c>
      <c r="K29" s="608">
        <f t="shared" si="0"/>
        <v>13429610.035154</v>
      </c>
    </row>
    <row r="30" spans="1:11" ht="18" customHeight="1" x14ac:dyDescent="0.4">
      <c r="A30" s="188" t="s">
        <v>84</v>
      </c>
      <c r="B30" s="1021" t="s">
        <v>301</v>
      </c>
      <c r="C30" s="1022"/>
      <c r="D30" s="1023"/>
      <c r="F30" s="606">
        <v>30506</v>
      </c>
      <c r="G30" s="606">
        <v>32491</v>
      </c>
      <c r="H30" s="607">
        <v>4935119.4000000004</v>
      </c>
      <c r="I30" s="607">
        <v>1924860.5624199996</v>
      </c>
      <c r="J30" s="607">
        <v>140000</v>
      </c>
      <c r="K30" s="608">
        <f t="shared" si="0"/>
        <v>6719979.9624199998</v>
      </c>
    </row>
    <row r="31" spans="1:11" ht="18" customHeight="1" x14ac:dyDescent="0.4">
      <c r="A31" s="188" t="s">
        <v>133</v>
      </c>
      <c r="B31" s="1021"/>
      <c r="C31" s="1022"/>
      <c r="D31" s="1023"/>
      <c r="F31" s="606">
        <v>0</v>
      </c>
      <c r="G31" s="606">
        <v>0</v>
      </c>
      <c r="H31" s="607">
        <v>0</v>
      </c>
      <c r="I31" s="607">
        <v>0</v>
      </c>
      <c r="J31" s="607">
        <v>0</v>
      </c>
      <c r="K31" s="608">
        <f t="shared" si="0"/>
        <v>0</v>
      </c>
    </row>
    <row r="32" spans="1:11" ht="18" customHeight="1" x14ac:dyDescent="0.4">
      <c r="A32" s="188" t="s">
        <v>134</v>
      </c>
      <c r="B32" s="511"/>
      <c r="C32" s="512"/>
      <c r="D32" s="513"/>
      <c r="F32" s="606">
        <v>0</v>
      </c>
      <c r="G32" s="606">
        <v>0</v>
      </c>
      <c r="H32" s="607">
        <v>0</v>
      </c>
      <c r="I32" s="607">
        <v>0</v>
      </c>
      <c r="J32" s="607">
        <v>0</v>
      </c>
      <c r="K32" s="608">
        <f t="shared" si="0"/>
        <v>0</v>
      </c>
    </row>
    <row r="33" spans="1:11" ht="18" customHeight="1" x14ac:dyDescent="0.4">
      <c r="A33" s="188" t="s">
        <v>135</v>
      </c>
      <c r="B33" s="511"/>
      <c r="C33" s="512"/>
      <c r="D33" s="513"/>
      <c r="F33" s="606">
        <v>0</v>
      </c>
      <c r="G33" s="606">
        <v>0</v>
      </c>
      <c r="H33" s="607">
        <v>0</v>
      </c>
      <c r="I33" s="607">
        <v>0</v>
      </c>
      <c r="J33" s="607">
        <v>0</v>
      </c>
      <c r="K33" s="608">
        <f t="shared" si="0"/>
        <v>0</v>
      </c>
    </row>
    <row r="34" spans="1:11" ht="18" customHeight="1" x14ac:dyDescent="0.4">
      <c r="A34" s="188" t="s">
        <v>136</v>
      </c>
      <c r="B34" s="1021"/>
      <c r="C34" s="1022"/>
      <c r="D34" s="1023"/>
      <c r="F34" s="606">
        <v>0</v>
      </c>
      <c r="G34" s="606">
        <v>0</v>
      </c>
      <c r="H34" s="607">
        <v>0</v>
      </c>
      <c r="I34" s="607">
        <v>0</v>
      </c>
      <c r="J34" s="607">
        <v>0</v>
      </c>
      <c r="K34" s="608">
        <f t="shared" si="0"/>
        <v>0</v>
      </c>
    </row>
    <row r="35" spans="1:11" ht="18" customHeight="1" x14ac:dyDescent="0.35">
      <c r="K35" s="609"/>
    </row>
    <row r="36" spans="1:11" ht="18" customHeight="1" x14ac:dyDescent="0.4">
      <c r="A36" s="156" t="s">
        <v>137</v>
      </c>
      <c r="B36" s="155" t="s">
        <v>138</v>
      </c>
      <c r="E36" s="155" t="s">
        <v>7</v>
      </c>
      <c r="F36" s="610">
        <v>103659.5</v>
      </c>
      <c r="G36" s="610">
        <v>778402</v>
      </c>
      <c r="H36" s="608">
        <v>20059579.620000001</v>
      </c>
      <c r="I36" s="608">
        <v>6283508.8642299995</v>
      </c>
      <c r="J36" s="608">
        <v>1436245</v>
      </c>
      <c r="K36" s="608">
        <f t="shared" ref="K36" si="1">SUM(K21:K34)</f>
        <v>24906843.484229997</v>
      </c>
    </row>
    <row r="37" spans="1:11" ht="18" customHeight="1" thickBot="1" x14ac:dyDescent="0.45">
      <c r="B37" s="155"/>
      <c r="F37" s="111"/>
      <c r="G37" s="111"/>
      <c r="H37" s="105"/>
      <c r="I37" s="105"/>
      <c r="J37" s="105"/>
      <c r="K37" s="112"/>
    </row>
    <row r="38" spans="1:11" ht="42.75" customHeight="1" x14ac:dyDescent="0.4">
      <c r="F38" s="158" t="s">
        <v>9</v>
      </c>
      <c r="G38" s="158" t="s">
        <v>37</v>
      </c>
      <c r="H38" s="158" t="s">
        <v>29</v>
      </c>
      <c r="I38" s="158" t="s">
        <v>30</v>
      </c>
      <c r="J38" s="158" t="s">
        <v>33</v>
      </c>
      <c r="K38" s="158" t="s">
        <v>34</v>
      </c>
    </row>
    <row r="39" spans="1:11" ht="18.75" customHeight="1" x14ac:dyDescent="0.4">
      <c r="A39" s="156" t="s">
        <v>86</v>
      </c>
      <c r="B39" s="155" t="s">
        <v>49</v>
      </c>
    </row>
    <row r="40" spans="1:11" ht="18" customHeight="1" x14ac:dyDescent="0.4">
      <c r="A40" s="188" t="s">
        <v>87</v>
      </c>
      <c r="B40" s="187" t="s">
        <v>31</v>
      </c>
      <c r="F40" s="606">
        <v>1053</v>
      </c>
      <c r="G40" s="606">
        <v>58</v>
      </c>
      <c r="H40" s="607">
        <v>119237817.36</v>
      </c>
      <c r="I40" s="607">
        <v>51951917.023751996</v>
      </c>
      <c r="J40" s="607">
        <v>0</v>
      </c>
      <c r="K40" s="608">
        <f t="shared" ref="K40:K47" si="2">(H40+I40)-J40</f>
        <v>171189734.38375199</v>
      </c>
    </row>
    <row r="41" spans="1:11" ht="18" customHeight="1" x14ac:dyDescent="0.4">
      <c r="A41" s="188" t="s">
        <v>88</v>
      </c>
      <c r="B41" s="1036" t="s">
        <v>50</v>
      </c>
      <c r="C41" s="1037"/>
      <c r="F41" s="606">
        <v>57463</v>
      </c>
      <c r="G41" s="606">
        <v>356</v>
      </c>
      <c r="H41" s="607">
        <v>3693793</v>
      </c>
      <c r="I41" s="607">
        <v>1609385.6100999999</v>
      </c>
      <c r="J41" s="607">
        <v>0</v>
      </c>
      <c r="K41" s="608">
        <f t="shared" si="2"/>
        <v>5303178.6101000002</v>
      </c>
    </row>
    <row r="42" spans="1:11" ht="18" customHeight="1" x14ac:dyDescent="0.4">
      <c r="A42" s="188" t="s">
        <v>89</v>
      </c>
      <c r="B42" s="154" t="s">
        <v>11</v>
      </c>
      <c r="F42" s="606">
        <v>85869</v>
      </c>
      <c r="G42" s="606">
        <v>161</v>
      </c>
      <c r="H42" s="607">
        <v>4009977.08</v>
      </c>
      <c r="I42" s="607">
        <v>1748539.2201559995</v>
      </c>
      <c r="J42" s="607">
        <v>0</v>
      </c>
      <c r="K42" s="608">
        <f t="shared" si="2"/>
        <v>5758516.3001559991</v>
      </c>
    </row>
    <row r="43" spans="1:11" ht="18" customHeight="1" x14ac:dyDescent="0.4">
      <c r="A43" s="188" t="s">
        <v>90</v>
      </c>
      <c r="B43" s="171" t="s">
        <v>10</v>
      </c>
      <c r="C43" s="159"/>
      <c r="D43" s="159"/>
      <c r="F43" s="606">
        <v>3</v>
      </c>
      <c r="G43" s="606">
        <v>50</v>
      </c>
      <c r="H43" s="607">
        <v>2267802</v>
      </c>
      <c r="I43" s="607">
        <v>988085.05200000003</v>
      </c>
      <c r="J43" s="607">
        <v>0</v>
      </c>
      <c r="K43" s="608">
        <f t="shared" si="2"/>
        <v>3255887.0520000001</v>
      </c>
    </row>
    <row r="44" spans="1:11" ht="18" customHeight="1" x14ac:dyDescent="0.4">
      <c r="A44" s="188" t="s">
        <v>91</v>
      </c>
      <c r="B44" s="1021" t="s">
        <v>302</v>
      </c>
      <c r="C44" s="1022"/>
      <c r="D44" s="1023"/>
      <c r="F44" s="606">
        <v>39215</v>
      </c>
      <c r="G44" s="606">
        <v>1129</v>
      </c>
      <c r="H44" s="607">
        <v>1944493</v>
      </c>
      <c r="I44" s="607">
        <v>855888.10341999994</v>
      </c>
      <c r="J44" s="607">
        <v>72350</v>
      </c>
      <c r="K44" s="608">
        <f t="shared" si="2"/>
        <v>2728031.1034200001</v>
      </c>
    </row>
    <row r="45" spans="1:11" ht="18" customHeight="1" x14ac:dyDescent="0.4">
      <c r="A45" s="188" t="s">
        <v>139</v>
      </c>
      <c r="B45" s="1021"/>
      <c r="C45" s="1022"/>
      <c r="D45" s="1023"/>
      <c r="F45" s="606">
        <v>0</v>
      </c>
      <c r="G45" s="606">
        <v>0</v>
      </c>
      <c r="H45" s="607">
        <v>0</v>
      </c>
      <c r="I45" s="607">
        <v>0</v>
      </c>
      <c r="J45" s="607">
        <v>0</v>
      </c>
      <c r="K45" s="608">
        <f t="shared" si="2"/>
        <v>0</v>
      </c>
    </row>
    <row r="46" spans="1:11" ht="18" customHeight="1" x14ac:dyDescent="0.4">
      <c r="A46" s="188" t="s">
        <v>140</v>
      </c>
      <c r="B46" s="1021"/>
      <c r="C46" s="1022"/>
      <c r="D46" s="1023"/>
      <c r="F46" s="606">
        <v>0</v>
      </c>
      <c r="G46" s="606">
        <v>0</v>
      </c>
      <c r="H46" s="607">
        <v>0</v>
      </c>
      <c r="I46" s="607">
        <v>0</v>
      </c>
      <c r="J46" s="607">
        <v>0</v>
      </c>
      <c r="K46" s="608">
        <f t="shared" si="2"/>
        <v>0</v>
      </c>
    </row>
    <row r="47" spans="1:11" ht="18" customHeight="1" x14ac:dyDescent="0.4">
      <c r="A47" s="188" t="s">
        <v>141</v>
      </c>
      <c r="B47" s="1021"/>
      <c r="C47" s="1022"/>
      <c r="D47" s="1023"/>
      <c r="F47" s="606">
        <v>0</v>
      </c>
      <c r="G47" s="606">
        <v>0</v>
      </c>
      <c r="H47" s="607">
        <v>0</v>
      </c>
      <c r="I47" s="607">
        <v>0</v>
      </c>
      <c r="J47" s="607">
        <v>0</v>
      </c>
      <c r="K47" s="608">
        <f t="shared" si="2"/>
        <v>0</v>
      </c>
    </row>
    <row r="49" spans="1:11" ht="18" customHeight="1" x14ac:dyDescent="0.4">
      <c r="A49" s="156" t="s">
        <v>142</v>
      </c>
      <c r="B49" s="155" t="s">
        <v>143</v>
      </c>
      <c r="E49" s="155" t="s">
        <v>7</v>
      </c>
      <c r="F49" s="610">
        <v>183603</v>
      </c>
      <c r="G49" s="610">
        <v>1754</v>
      </c>
      <c r="H49" s="608">
        <v>131153882.44</v>
      </c>
      <c r="I49" s="608">
        <v>57153815.009427994</v>
      </c>
      <c r="J49" s="608">
        <v>72350</v>
      </c>
      <c r="K49" s="608">
        <f t="shared" ref="K49" si="3">SUM(K40:K47)</f>
        <v>188235347.44942796</v>
      </c>
    </row>
    <row r="50" spans="1:11" ht="18" customHeight="1" thickBot="1" x14ac:dyDescent="0.4">
      <c r="G50" s="164"/>
      <c r="H50" s="164"/>
      <c r="I50" s="164"/>
      <c r="J50" s="164"/>
      <c r="K50" s="164"/>
    </row>
    <row r="51" spans="1:11" ht="42.75" customHeight="1" x14ac:dyDescent="0.4">
      <c r="F51" s="158" t="s">
        <v>9</v>
      </c>
      <c r="G51" s="158" t="s">
        <v>37</v>
      </c>
      <c r="H51" s="158" t="s">
        <v>29</v>
      </c>
      <c r="I51" s="158" t="s">
        <v>30</v>
      </c>
      <c r="J51" s="158" t="s">
        <v>33</v>
      </c>
      <c r="K51" s="158" t="s">
        <v>34</v>
      </c>
    </row>
    <row r="52" spans="1:11" ht="18" customHeight="1" x14ac:dyDescent="0.4">
      <c r="A52" s="156" t="s">
        <v>92</v>
      </c>
      <c r="B52" s="1024" t="s">
        <v>38</v>
      </c>
      <c r="C52" s="1025"/>
    </row>
    <row r="53" spans="1:11" ht="18" customHeight="1" x14ac:dyDescent="0.4">
      <c r="A53" s="188" t="s">
        <v>51</v>
      </c>
      <c r="B53" s="1029" t="s">
        <v>462</v>
      </c>
      <c r="C53" s="1030"/>
      <c r="D53" s="1028"/>
      <c r="F53" s="606">
        <v>0</v>
      </c>
      <c r="G53" s="606">
        <v>0</v>
      </c>
      <c r="H53" s="607">
        <v>1627287.6124594107</v>
      </c>
      <c r="I53" s="607">
        <v>0</v>
      </c>
      <c r="J53" s="607">
        <v>0</v>
      </c>
      <c r="K53" s="608">
        <f t="shared" ref="K53:K62" si="4">(H53+I53)-J53</f>
        <v>1627287.6124594107</v>
      </c>
    </row>
    <row r="54" spans="1:11" ht="18" customHeight="1" x14ac:dyDescent="0.4">
      <c r="A54" s="188" t="s">
        <v>93</v>
      </c>
      <c r="B54" s="1029" t="s">
        <v>303</v>
      </c>
      <c r="C54" s="1030"/>
      <c r="D54" s="1028"/>
      <c r="F54" s="606">
        <v>2481</v>
      </c>
      <c r="G54" s="606">
        <v>2672</v>
      </c>
      <c r="H54" s="607">
        <v>201700.22</v>
      </c>
      <c r="I54" s="607">
        <v>87880.785854000002</v>
      </c>
      <c r="J54" s="607">
        <v>137217</v>
      </c>
      <c r="K54" s="608">
        <f t="shared" si="4"/>
        <v>152364.00585399999</v>
      </c>
    </row>
    <row r="55" spans="1:11" ht="18" customHeight="1" x14ac:dyDescent="0.4">
      <c r="A55" s="188" t="s">
        <v>94</v>
      </c>
      <c r="B55" s="1026" t="s">
        <v>304</v>
      </c>
      <c r="C55" s="1027"/>
      <c r="D55" s="1028"/>
      <c r="F55" s="606">
        <v>3716</v>
      </c>
      <c r="G55" s="606">
        <v>1917</v>
      </c>
      <c r="H55" s="607">
        <v>165354.58000000002</v>
      </c>
      <c r="I55" s="607">
        <v>72044.990506000002</v>
      </c>
      <c r="J55" s="607">
        <v>123953</v>
      </c>
      <c r="K55" s="608">
        <f t="shared" si="4"/>
        <v>113446.57050600002</v>
      </c>
    </row>
    <row r="56" spans="1:11" ht="18" customHeight="1" x14ac:dyDescent="0.4">
      <c r="A56" s="188" t="s">
        <v>95</v>
      </c>
      <c r="B56" s="1026" t="s">
        <v>463</v>
      </c>
      <c r="C56" s="1027"/>
      <c r="D56" s="1028"/>
      <c r="F56" s="606">
        <v>0</v>
      </c>
      <c r="G56" s="606">
        <v>0</v>
      </c>
      <c r="H56" s="607">
        <v>710130.75041197101</v>
      </c>
      <c r="I56" s="607">
        <v>0</v>
      </c>
      <c r="J56" s="607">
        <v>0</v>
      </c>
      <c r="K56" s="608">
        <f t="shared" si="4"/>
        <v>710130.75041197101</v>
      </c>
    </row>
    <row r="57" spans="1:11" ht="18" customHeight="1" x14ac:dyDescent="0.4">
      <c r="A57" s="188" t="s">
        <v>96</v>
      </c>
      <c r="B57" s="1026" t="s">
        <v>504</v>
      </c>
      <c r="C57" s="1027"/>
      <c r="D57" s="1028"/>
      <c r="F57" s="606">
        <v>0</v>
      </c>
      <c r="G57" s="606">
        <v>0</v>
      </c>
      <c r="H57" s="607">
        <v>6963769.7377287159</v>
      </c>
      <c r="I57" s="607">
        <v>0</v>
      </c>
      <c r="J57" s="607">
        <v>0</v>
      </c>
      <c r="K57" s="608">
        <f t="shared" si="4"/>
        <v>6963769.7377287159</v>
      </c>
    </row>
    <row r="58" spans="1:11" ht="18" customHeight="1" x14ac:dyDescent="0.4">
      <c r="A58" s="188" t="s">
        <v>97</v>
      </c>
      <c r="B58" s="1031" t="s">
        <v>305</v>
      </c>
      <c r="C58" s="1032"/>
      <c r="D58" s="1033"/>
      <c r="F58" s="606">
        <v>0</v>
      </c>
      <c r="G58" s="606">
        <v>573</v>
      </c>
      <c r="H58" s="607">
        <v>69710</v>
      </c>
      <c r="I58" s="607">
        <v>30372.646999999997</v>
      </c>
      <c r="J58" s="607">
        <v>9500</v>
      </c>
      <c r="K58" s="608">
        <f t="shared" si="4"/>
        <v>90582.646999999997</v>
      </c>
    </row>
    <row r="59" spans="1:11" ht="18" customHeight="1" x14ac:dyDescent="0.4">
      <c r="A59" s="188" t="s">
        <v>98</v>
      </c>
      <c r="B59" s="1026" t="s">
        <v>306</v>
      </c>
      <c r="C59" s="1027"/>
      <c r="D59" s="1028"/>
      <c r="F59" s="606">
        <v>0</v>
      </c>
      <c r="G59" s="606">
        <v>0</v>
      </c>
      <c r="H59" s="607">
        <v>0</v>
      </c>
      <c r="I59" s="607">
        <v>0</v>
      </c>
      <c r="J59" s="607">
        <v>0</v>
      </c>
      <c r="K59" s="608">
        <f t="shared" si="4"/>
        <v>0</v>
      </c>
    </row>
    <row r="60" spans="1:11" ht="18" customHeight="1" x14ac:dyDescent="0.4">
      <c r="A60" s="188" t="s">
        <v>99</v>
      </c>
      <c r="B60" s="1031" t="s">
        <v>307</v>
      </c>
      <c r="C60" s="1034"/>
      <c r="D60" s="1035"/>
      <c r="F60" s="606">
        <v>0</v>
      </c>
      <c r="G60" s="606">
        <v>13629</v>
      </c>
      <c r="H60" s="607">
        <v>666792</v>
      </c>
      <c r="I60" s="607">
        <v>102819.32640000001</v>
      </c>
      <c r="J60" s="607">
        <v>0</v>
      </c>
      <c r="K60" s="608">
        <f t="shared" si="4"/>
        <v>769611.32640000002</v>
      </c>
    </row>
    <row r="61" spans="1:11" ht="18" customHeight="1" x14ac:dyDescent="0.4">
      <c r="A61" s="188" t="s">
        <v>100</v>
      </c>
      <c r="B61" s="1026" t="s">
        <v>308</v>
      </c>
      <c r="C61" s="1032"/>
      <c r="D61" s="1033"/>
      <c r="F61" s="606">
        <v>0</v>
      </c>
      <c r="G61" s="606">
        <v>0</v>
      </c>
      <c r="H61" s="607">
        <v>0</v>
      </c>
      <c r="I61" s="607">
        <v>0</v>
      </c>
      <c r="J61" s="607">
        <v>0</v>
      </c>
      <c r="K61" s="608">
        <f t="shared" si="4"/>
        <v>0</v>
      </c>
    </row>
    <row r="62" spans="1:11" ht="18" customHeight="1" x14ac:dyDescent="0.4">
      <c r="A62" s="188" t="s">
        <v>101</v>
      </c>
      <c r="B62" s="1026" t="s">
        <v>309</v>
      </c>
      <c r="C62" s="1027"/>
      <c r="D62" s="1028"/>
      <c r="F62" s="606">
        <v>1908</v>
      </c>
      <c r="G62" s="606">
        <v>798</v>
      </c>
      <c r="H62" s="607">
        <v>11134509.939999999</v>
      </c>
      <c r="I62" s="607">
        <v>53086.968957999998</v>
      </c>
      <c r="J62" s="607">
        <v>511309</v>
      </c>
      <c r="K62" s="608">
        <f t="shared" si="4"/>
        <v>10676287.908957999</v>
      </c>
    </row>
    <row r="63" spans="1:11" ht="18" customHeight="1" x14ac:dyDescent="0.4">
      <c r="A63" s="188"/>
      <c r="I63" s="170"/>
    </row>
    <row r="64" spans="1:11" ht="18" customHeight="1" x14ac:dyDescent="0.4">
      <c r="A64" s="188" t="s">
        <v>144</v>
      </c>
      <c r="B64" s="155" t="s">
        <v>145</v>
      </c>
      <c r="E64" s="155" t="s">
        <v>7</v>
      </c>
      <c r="F64" s="610">
        <v>8105</v>
      </c>
      <c r="G64" s="610">
        <v>19589</v>
      </c>
      <c r="H64" s="608">
        <v>21539254.840600096</v>
      </c>
      <c r="I64" s="608">
        <v>346204.71871800005</v>
      </c>
      <c r="J64" s="608">
        <v>781979</v>
      </c>
      <c r="K64" s="608">
        <f t="shared" ref="K64" si="5">SUM(K53:K62)</f>
        <v>21103480.559318095</v>
      </c>
    </row>
    <row r="65" spans="1:11" ht="18" customHeight="1" x14ac:dyDescent="0.35">
      <c r="F65" s="172"/>
      <c r="G65" s="172"/>
      <c r="H65" s="172"/>
      <c r="I65" s="172"/>
      <c r="J65" s="172"/>
      <c r="K65" s="172"/>
    </row>
    <row r="66" spans="1:11" ht="42.75" customHeight="1" x14ac:dyDescent="0.4">
      <c r="F66" s="176" t="s">
        <v>9</v>
      </c>
      <c r="G66" s="176" t="s">
        <v>37</v>
      </c>
      <c r="H66" s="176" t="s">
        <v>29</v>
      </c>
      <c r="I66" s="176" t="s">
        <v>30</v>
      </c>
      <c r="J66" s="176" t="s">
        <v>33</v>
      </c>
      <c r="K66" s="176" t="s">
        <v>34</v>
      </c>
    </row>
    <row r="67" spans="1:11" ht="18" customHeight="1" x14ac:dyDescent="0.4">
      <c r="A67" s="156" t="s">
        <v>102</v>
      </c>
      <c r="B67" s="155" t="s">
        <v>12</v>
      </c>
      <c r="F67" s="177"/>
      <c r="G67" s="177"/>
      <c r="H67" s="177"/>
      <c r="I67" s="178"/>
      <c r="J67" s="177"/>
      <c r="K67" s="179"/>
    </row>
    <row r="68" spans="1:11" ht="18" customHeight="1" x14ac:dyDescent="0.4">
      <c r="A68" s="188" t="s">
        <v>103</v>
      </c>
      <c r="B68" s="187" t="s">
        <v>52</v>
      </c>
      <c r="F68" s="606">
        <v>0</v>
      </c>
      <c r="G68" s="606">
        <v>0</v>
      </c>
      <c r="H68" s="607">
        <v>0</v>
      </c>
      <c r="I68" s="607">
        <v>0</v>
      </c>
      <c r="J68" s="607">
        <v>0</v>
      </c>
      <c r="K68" s="608">
        <f>(H68+I68)-J68</f>
        <v>0</v>
      </c>
    </row>
    <row r="69" spans="1:11" ht="18" customHeight="1" x14ac:dyDescent="0.4">
      <c r="A69" s="188" t="s">
        <v>104</v>
      </c>
      <c r="B69" s="154" t="s">
        <v>53</v>
      </c>
      <c r="F69" s="606">
        <v>0</v>
      </c>
      <c r="G69" s="606">
        <v>0</v>
      </c>
      <c r="H69" s="607">
        <v>75000</v>
      </c>
      <c r="I69" s="607">
        <v>0</v>
      </c>
      <c r="J69" s="607">
        <v>0</v>
      </c>
      <c r="K69" s="608">
        <f>(H69+I69)-J69</f>
        <v>75000</v>
      </c>
    </row>
    <row r="70" spans="1:11" ht="18" customHeight="1" x14ac:dyDescent="0.4">
      <c r="A70" s="188" t="s">
        <v>178</v>
      </c>
      <c r="B70" s="514" t="s">
        <v>296</v>
      </c>
      <c r="C70" s="515"/>
      <c r="D70" s="516"/>
      <c r="E70" s="155"/>
      <c r="F70" s="606">
        <v>17519</v>
      </c>
      <c r="G70" s="606">
        <v>0</v>
      </c>
      <c r="H70" s="607">
        <v>728314.94</v>
      </c>
      <c r="I70" s="607">
        <v>0</v>
      </c>
      <c r="J70" s="607">
        <v>0</v>
      </c>
      <c r="K70" s="608">
        <f>(H70+I70)-J70</f>
        <v>728314.94</v>
      </c>
    </row>
    <row r="71" spans="1:11" ht="18" customHeight="1" x14ac:dyDescent="0.4">
      <c r="A71" s="188" t="s">
        <v>179</v>
      </c>
      <c r="B71" s="514"/>
      <c r="C71" s="515"/>
      <c r="D71" s="516"/>
      <c r="E71" s="155"/>
      <c r="F71" s="606">
        <v>0</v>
      </c>
      <c r="G71" s="606">
        <v>0</v>
      </c>
      <c r="H71" s="607">
        <v>0</v>
      </c>
      <c r="I71" s="607">
        <v>0</v>
      </c>
      <c r="J71" s="607">
        <v>0</v>
      </c>
      <c r="K71" s="608">
        <f>(H71+I71)-J71</f>
        <v>0</v>
      </c>
    </row>
    <row r="72" spans="1:11" ht="18" customHeight="1" x14ac:dyDescent="0.4">
      <c r="A72" s="188" t="s">
        <v>180</v>
      </c>
      <c r="B72" s="517"/>
      <c r="C72" s="518"/>
      <c r="D72" s="165"/>
      <c r="E72" s="155"/>
      <c r="F72" s="606">
        <v>0</v>
      </c>
      <c r="G72" s="606">
        <v>0</v>
      </c>
      <c r="H72" s="607">
        <v>0</v>
      </c>
      <c r="I72" s="607">
        <v>0</v>
      </c>
      <c r="J72" s="607">
        <v>0</v>
      </c>
      <c r="K72" s="608">
        <f>(H72+I72)-J72</f>
        <v>0</v>
      </c>
    </row>
    <row r="73" spans="1:11" ht="18" customHeight="1" x14ac:dyDescent="0.4">
      <c r="A73" s="188"/>
      <c r="B73" s="154"/>
      <c r="E73" s="155"/>
      <c r="F73" s="180"/>
      <c r="G73" s="180"/>
      <c r="H73" s="181"/>
      <c r="I73" s="178"/>
      <c r="J73" s="181"/>
      <c r="K73" s="179"/>
    </row>
    <row r="74" spans="1:11" ht="18" customHeight="1" x14ac:dyDescent="0.4">
      <c r="A74" s="156" t="s">
        <v>146</v>
      </c>
      <c r="B74" s="155" t="s">
        <v>147</v>
      </c>
      <c r="E74" s="155" t="s">
        <v>7</v>
      </c>
      <c r="F74" s="611">
        <v>17519</v>
      </c>
      <c r="G74" s="611">
        <v>0</v>
      </c>
      <c r="H74" s="612">
        <v>803314.94</v>
      </c>
      <c r="I74" s="175">
        <v>0</v>
      </c>
      <c r="J74" s="611">
        <v>0</v>
      </c>
      <c r="K74" s="612">
        <f t="shared" ref="K74" si="6">SUM(K68:K72)</f>
        <v>803314.94</v>
      </c>
    </row>
    <row r="75" spans="1:11" ht="42.75" customHeight="1" x14ac:dyDescent="0.4">
      <c r="F75" s="158" t="s">
        <v>9</v>
      </c>
      <c r="G75" s="158" t="s">
        <v>37</v>
      </c>
      <c r="H75" s="158" t="s">
        <v>29</v>
      </c>
      <c r="I75" s="158" t="s">
        <v>30</v>
      </c>
      <c r="J75" s="158" t="s">
        <v>33</v>
      </c>
      <c r="K75" s="158" t="s">
        <v>34</v>
      </c>
    </row>
    <row r="76" spans="1:11" ht="18" customHeight="1" x14ac:dyDescent="0.4">
      <c r="A76" s="156" t="s">
        <v>105</v>
      </c>
      <c r="B76" s="155" t="s">
        <v>106</v>
      </c>
    </row>
    <row r="77" spans="1:11" ht="18" customHeight="1" x14ac:dyDescent="0.4">
      <c r="A77" s="188" t="s">
        <v>107</v>
      </c>
      <c r="B77" s="154" t="s">
        <v>54</v>
      </c>
      <c r="F77" s="606">
        <v>97</v>
      </c>
      <c r="G77" s="606">
        <v>3620</v>
      </c>
      <c r="H77" s="607">
        <v>2866125.4449999998</v>
      </c>
      <c r="I77" s="607">
        <v>5568.6816999999992</v>
      </c>
      <c r="J77" s="607">
        <v>79320</v>
      </c>
      <c r="K77" s="608">
        <f>(H77+I77)-J77</f>
        <v>2792374.1266999999</v>
      </c>
    </row>
    <row r="78" spans="1:11" ht="18" customHeight="1" x14ac:dyDescent="0.4">
      <c r="A78" s="188" t="s">
        <v>108</v>
      </c>
      <c r="B78" s="154" t="s">
        <v>55</v>
      </c>
      <c r="F78" s="606">
        <v>0</v>
      </c>
      <c r="G78" s="606">
        <v>0</v>
      </c>
      <c r="H78" s="607">
        <v>0</v>
      </c>
      <c r="I78" s="607">
        <v>0</v>
      </c>
      <c r="J78" s="607">
        <v>0</v>
      </c>
      <c r="K78" s="608">
        <f>(H78+I78)-J78</f>
        <v>0</v>
      </c>
    </row>
    <row r="79" spans="1:11" ht="18" customHeight="1" x14ac:dyDescent="0.4">
      <c r="A79" s="188" t="s">
        <v>109</v>
      </c>
      <c r="B79" s="154" t="s">
        <v>13</v>
      </c>
      <c r="F79" s="606">
        <v>1761</v>
      </c>
      <c r="G79" s="606">
        <v>2604</v>
      </c>
      <c r="H79" s="607">
        <v>212207.12</v>
      </c>
      <c r="I79" s="607">
        <v>7248.3487700000005</v>
      </c>
      <c r="J79" s="607">
        <v>5000</v>
      </c>
      <c r="K79" s="608">
        <f>(H79+I79)-J79</f>
        <v>214455.46877000001</v>
      </c>
    </row>
    <row r="80" spans="1:11" ht="18" customHeight="1" x14ac:dyDescent="0.4">
      <c r="A80" s="188" t="s">
        <v>110</v>
      </c>
      <c r="B80" s="154" t="s">
        <v>56</v>
      </c>
      <c r="F80" s="606">
        <v>90</v>
      </c>
      <c r="G80" s="606">
        <v>7</v>
      </c>
      <c r="H80" s="607">
        <v>5602.3</v>
      </c>
      <c r="I80" s="607">
        <v>0</v>
      </c>
      <c r="J80" s="607">
        <v>0</v>
      </c>
      <c r="K80" s="608">
        <f>(H80+I80)-J80</f>
        <v>5602.3</v>
      </c>
    </row>
    <row r="81" spans="1:11" ht="18" customHeight="1" x14ac:dyDescent="0.4">
      <c r="A81" s="188"/>
      <c r="K81" s="613"/>
    </row>
    <row r="82" spans="1:11" ht="18" customHeight="1" x14ac:dyDescent="0.4">
      <c r="A82" s="188" t="s">
        <v>148</v>
      </c>
      <c r="B82" s="155" t="s">
        <v>149</v>
      </c>
      <c r="E82" s="155" t="s">
        <v>7</v>
      </c>
      <c r="F82" s="614">
        <v>1948</v>
      </c>
      <c r="G82" s="614">
        <v>6231</v>
      </c>
      <c r="H82" s="612">
        <v>3083934.8649999998</v>
      </c>
      <c r="I82" s="612">
        <v>12817.03047</v>
      </c>
      <c r="J82" s="612">
        <v>84320</v>
      </c>
      <c r="K82" s="612">
        <f t="shared" ref="K82" si="7">SUM(K77:K80)</f>
        <v>3012431.8954699999</v>
      </c>
    </row>
    <row r="83" spans="1:11" ht="18" customHeight="1" thickBot="1" x14ac:dyDescent="0.45">
      <c r="A83" s="188"/>
      <c r="F83" s="164"/>
      <c r="G83" s="164"/>
      <c r="H83" s="164"/>
      <c r="I83" s="164"/>
      <c r="J83" s="164"/>
      <c r="K83" s="164"/>
    </row>
    <row r="84" spans="1:11" ht="42.75" customHeight="1" x14ac:dyDescent="0.4">
      <c r="F84" s="158" t="s">
        <v>9</v>
      </c>
      <c r="G84" s="158" t="s">
        <v>37</v>
      </c>
      <c r="H84" s="158" t="s">
        <v>29</v>
      </c>
      <c r="I84" s="158" t="s">
        <v>30</v>
      </c>
      <c r="J84" s="158" t="s">
        <v>33</v>
      </c>
      <c r="K84" s="158" t="s">
        <v>34</v>
      </c>
    </row>
    <row r="85" spans="1:11" ht="18" customHeight="1" x14ac:dyDescent="0.4">
      <c r="A85" s="156" t="s">
        <v>111</v>
      </c>
      <c r="B85" s="155" t="s">
        <v>57</v>
      </c>
    </row>
    <row r="86" spans="1:11" ht="18" customHeight="1" x14ac:dyDescent="0.4">
      <c r="A86" s="188" t="s">
        <v>112</v>
      </c>
      <c r="B86" s="154" t="s">
        <v>113</v>
      </c>
      <c r="F86" s="606">
        <v>73</v>
      </c>
      <c r="G86" s="606">
        <v>52</v>
      </c>
      <c r="H86" s="607">
        <v>3028.4</v>
      </c>
      <c r="I86" s="607">
        <v>1319.47388</v>
      </c>
      <c r="J86" s="607">
        <v>0</v>
      </c>
      <c r="K86" s="608">
        <f t="shared" ref="K86:K96" si="8">(H86+I86)-J86</f>
        <v>4347.8738800000001</v>
      </c>
    </row>
    <row r="87" spans="1:11" ht="18" customHeight="1" x14ac:dyDescent="0.4">
      <c r="A87" s="188" t="s">
        <v>114</v>
      </c>
      <c r="B87" s="154" t="s">
        <v>14</v>
      </c>
      <c r="F87" s="606">
        <v>2502</v>
      </c>
      <c r="G87" s="606">
        <v>1</v>
      </c>
      <c r="H87" s="607">
        <v>226892.48</v>
      </c>
      <c r="I87" s="607">
        <v>98857.053535999992</v>
      </c>
      <c r="J87" s="607">
        <v>0</v>
      </c>
      <c r="K87" s="608">
        <f t="shared" si="8"/>
        <v>325749.533536</v>
      </c>
    </row>
    <row r="88" spans="1:11" ht="18" customHeight="1" x14ac:dyDescent="0.4">
      <c r="A88" s="188" t="s">
        <v>115</v>
      </c>
      <c r="B88" s="154" t="s">
        <v>116</v>
      </c>
      <c r="F88" s="606">
        <v>48132</v>
      </c>
      <c r="G88" s="606">
        <v>2917</v>
      </c>
      <c r="H88" s="607">
        <v>1299682.8400000001</v>
      </c>
      <c r="I88" s="607">
        <v>566668.37412399985</v>
      </c>
      <c r="J88" s="607">
        <v>25</v>
      </c>
      <c r="K88" s="608">
        <f t="shared" si="8"/>
        <v>1866326.2141239999</v>
      </c>
    </row>
    <row r="89" spans="1:11" ht="18" customHeight="1" x14ac:dyDescent="0.4">
      <c r="A89" s="188" t="s">
        <v>117</v>
      </c>
      <c r="B89" s="154" t="s">
        <v>58</v>
      </c>
      <c r="F89" s="606">
        <v>11184</v>
      </c>
      <c r="G89" s="606">
        <v>3101</v>
      </c>
      <c r="H89" s="607">
        <v>266660.02</v>
      </c>
      <c r="I89" s="607">
        <v>116183.770714</v>
      </c>
      <c r="J89" s="607">
        <v>11113</v>
      </c>
      <c r="K89" s="608">
        <f t="shared" si="8"/>
        <v>371730.790714</v>
      </c>
    </row>
    <row r="90" spans="1:11" ht="18" customHeight="1" x14ac:dyDescent="0.4">
      <c r="A90" s="188" t="s">
        <v>118</v>
      </c>
      <c r="B90" s="1036" t="s">
        <v>59</v>
      </c>
      <c r="C90" s="1037"/>
      <c r="F90" s="606">
        <v>0</v>
      </c>
      <c r="G90" s="606">
        <v>0</v>
      </c>
      <c r="H90" s="607">
        <v>0</v>
      </c>
      <c r="I90" s="607">
        <v>0</v>
      </c>
      <c r="J90" s="607">
        <v>0</v>
      </c>
      <c r="K90" s="608">
        <f t="shared" si="8"/>
        <v>0</v>
      </c>
    </row>
    <row r="91" spans="1:11" ht="18" customHeight="1" x14ac:dyDescent="0.4">
      <c r="A91" s="188" t="s">
        <v>119</v>
      </c>
      <c r="B91" s="154" t="s">
        <v>60</v>
      </c>
      <c r="F91" s="606">
        <v>4261.3999999999996</v>
      </c>
      <c r="G91" s="606">
        <v>0</v>
      </c>
      <c r="H91" s="607">
        <v>333385.33600000001</v>
      </c>
      <c r="I91" s="607">
        <v>145255.9908952</v>
      </c>
      <c r="J91" s="607">
        <v>0</v>
      </c>
      <c r="K91" s="608">
        <f t="shared" si="8"/>
        <v>478641.32689520001</v>
      </c>
    </row>
    <row r="92" spans="1:11" ht="18" customHeight="1" x14ac:dyDescent="0.4">
      <c r="A92" s="188" t="s">
        <v>120</v>
      </c>
      <c r="B92" s="154" t="s">
        <v>121</v>
      </c>
      <c r="F92" s="606">
        <v>5156.6000000000004</v>
      </c>
      <c r="G92" s="606">
        <v>310</v>
      </c>
      <c r="H92" s="607">
        <v>433737.79861538461</v>
      </c>
      <c r="I92" s="607">
        <v>188979.55885672307</v>
      </c>
      <c r="J92" s="607">
        <v>3400</v>
      </c>
      <c r="K92" s="608">
        <f t="shared" si="8"/>
        <v>619317.35747210775</v>
      </c>
    </row>
    <row r="93" spans="1:11" ht="18" customHeight="1" x14ac:dyDescent="0.4">
      <c r="A93" s="188" t="s">
        <v>122</v>
      </c>
      <c r="B93" s="154" t="s">
        <v>123</v>
      </c>
      <c r="F93" s="606">
        <v>7151</v>
      </c>
      <c r="G93" s="606">
        <v>77075</v>
      </c>
      <c r="H93" s="607">
        <v>468437.34</v>
      </c>
      <c r="I93" s="607">
        <v>204098.14903800003</v>
      </c>
      <c r="J93" s="607">
        <v>47321</v>
      </c>
      <c r="K93" s="608">
        <f t="shared" si="8"/>
        <v>625214.48903800012</v>
      </c>
    </row>
    <row r="94" spans="1:11" ht="18" customHeight="1" x14ac:dyDescent="0.4">
      <c r="A94" s="188" t="s">
        <v>124</v>
      </c>
      <c r="B94" s="1026" t="s">
        <v>310</v>
      </c>
      <c r="C94" s="1027"/>
      <c r="D94" s="1028"/>
      <c r="F94" s="606">
        <v>1899</v>
      </c>
      <c r="G94" s="606">
        <v>5955</v>
      </c>
      <c r="H94" s="607">
        <v>185500.93373076923</v>
      </c>
      <c r="I94" s="607">
        <v>80822.756826496145</v>
      </c>
      <c r="J94" s="607">
        <v>6065</v>
      </c>
      <c r="K94" s="608">
        <f t="shared" si="8"/>
        <v>260258.69055726536</v>
      </c>
    </row>
    <row r="95" spans="1:11" ht="18" customHeight="1" x14ac:dyDescent="0.4">
      <c r="A95" s="188" t="s">
        <v>125</v>
      </c>
      <c r="B95" s="1026"/>
      <c r="C95" s="1027"/>
      <c r="D95" s="1028"/>
      <c r="F95" s="606">
        <v>0</v>
      </c>
      <c r="G95" s="606">
        <v>0</v>
      </c>
      <c r="H95" s="607">
        <v>0</v>
      </c>
      <c r="I95" s="607">
        <v>0</v>
      </c>
      <c r="J95" s="607">
        <v>0</v>
      </c>
      <c r="K95" s="608">
        <f t="shared" si="8"/>
        <v>0</v>
      </c>
    </row>
    <row r="96" spans="1:11" ht="18" customHeight="1" x14ac:dyDescent="0.4">
      <c r="A96" s="188" t="s">
        <v>126</v>
      </c>
      <c r="B96" s="1026"/>
      <c r="C96" s="1027"/>
      <c r="D96" s="1028"/>
      <c r="F96" s="606">
        <v>0</v>
      </c>
      <c r="G96" s="606">
        <v>0</v>
      </c>
      <c r="H96" s="607">
        <v>0</v>
      </c>
      <c r="I96" s="607">
        <v>0</v>
      </c>
      <c r="J96" s="607">
        <v>0</v>
      </c>
      <c r="K96" s="608">
        <f t="shared" si="8"/>
        <v>0</v>
      </c>
    </row>
    <row r="97" spans="1:11" ht="18" customHeight="1" x14ac:dyDescent="0.4">
      <c r="A97" s="188"/>
      <c r="B97" s="154"/>
    </row>
    <row r="98" spans="1:11" ht="18" customHeight="1" x14ac:dyDescent="0.4">
      <c r="A98" s="156" t="s">
        <v>150</v>
      </c>
      <c r="B98" s="155" t="s">
        <v>151</v>
      </c>
      <c r="E98" s="155" t="s">
        <v>7</v>
      </c>
      <c r="F98" s="610">
        <v>80359</v>
      </c>
      <c r="G98" s="610">
        <v>89411</v>
      </c>
      <c r="H98" s="608">
        <v>3217325.1483461545</v>
      </c>
      <c r="I98" s="608">
        <v>1402185.1278704193</v>
      </c>
      <c r="J98" s="608">
        <v>67924</v>
      </c>
      <c r="K98" s="608">
        <f t="shared" ref="K98" si="9">SUM(K86:K96)</f>
        <v>4551586.2762165731</v>
      </c>
    </row>
    <row r="99" spans="1:11" ht="18" customHeight="1" thickBot="1" x14ac:dyDescent="0.45">
      <c r="B99" s="155"/>
      <c r="F99" s="164"/>
      <c r="G99" s="164"/>
      <c r="H99" s="164"/>
      <c r="I99" s="164"/>
      <c r="J99" s="164"/>
      <c r="K99" s="164"/>
    </row>
    <row r="100" spans="1:11" ht="42.75" customHeight="1" x14ac:dyDescent="0.4">
      <c r="F100" s="158" t="s">
        <v>9</v>
      </c>
      <c r="G100" s="158" t="s">
        <v>37</v>
      </c>
      <c r="H100" s="158" t="s">
        <v>29</v>
      </c>
      <c r="I100" s="158" t="s">
        <v>30</v>
      </c>
      <c r="J100" s="158" t="s">
        <v>33</v>
      </c>
      <c r="K100" s="158" t="s">
        <v>34</v>
      </c>
    </row>
    <row r="101" spans="1:11" ht="18" customHeight="1" x14ac:dyDescent="0.4">
      <c r="A101" s="156" t="s">
        <v>130</v>
      </c>
      <c r="B101" s="155" t="s">
        <v>63</v>
      </c>
    </row>
    <row r="102" spans="1:11" ht="18" customHeight="1" x14ac:dyDescent="0.4">
      <c r="A102" s="188" t="s">
        <v>131</v>
      </c>
      <c r="B102" s="154" t="s">
        <v>152</v>
      </c>
      <c r="F102" s="606">
        <v>6053</v>
      </c>
      <c r="G102" s="606">
        <v>0</v>
      </c>
      <c r="H102" s="607">
        <v>431302.27546538453</v>
      </c>
      <c r="I102" s="607">
        <v>187918.40142026806</v>
      </c>
      <c r="J102" s="607">
        <v>0</v>
      </c>
      <c r="K102" s="608">
        <f>(H102+I102)-J102</f>
        <v>619220.67688565259</v>
      </c>
    </row>
    <row r="103" spans="1:11" ht="18" customHeight="1" x14ac:dyDescent="0.4">
      <c r="A103" s="188" t="s">
        <v>132</v>
      </c>
      <c r="B103" s="1036" t="s">
        <v>62</v>
      </c>
      <c r="C103" s="1036"/>
      <c r="F103" s="606">
        <v>598</v>
      </c>
      <c r="G103" s="606">
        <v>0</v>
      </c>
      <c r="H103" s="607">
        <v>53116.26</v>
      </c>
      <c r="I103" s="607">
        <v>23142.754482</v>
      </c>
      <c r="J103" s="607">
        <v>0</v>
      </c>
      <c r="K103" s="608">
        <f>(H103+I103)-J103</f>
        <v>76259.014481999999</v>
      </c>
    </row>
    <row r="104" spans="1:11" ht="18" customHeight="1" x14ac:dyDescent="0.4">
      <c r="A104" s="188" t="s">
        <v>128</v>
      </c>
      <c r="B104" s="1026" t="s">
        <v>311</v>
      </c>
      <c r="C104" s="1027"/>
      <c r="D104" s="1028"/>
      <c r="F104" s="606">
        <v>0</v>
      </c>
      <c r="G104" s="606">
        <v>0</v>
      </c>
      <c r="H104" s="607">
        <v>38710.75</v>
      </c>
      <c r="I104" s="607">
        <v>16866.273774999998</v>
      </c>
      <c r="J104" s="607">
        <v>0</v>
      </c>
      <c r="K104" s="608">
        <f>(H104+I104)-J104</f>
        <v>55577.023774999994</v>
      </c>
    </row>
    <row r="105" spans="1:11" ht="18" customHeight="1" x14ac:dyDescent="0.4">
      <c r="A105" s="188" t="s">
        <v>127</v>
      </c>
      <c r="B105" s="1026"/>
      <c r="C105" s="1027"/>
      <c r="D105" s="1028"/>
      <c r="F105" s="606">
        <v>0</v>
      </c>
      <c r="G105" s="606">
        <v>0</v>
      </c>
      <c r="H105" s="607">
        <v>0</v>
      </c>
      <c r="I105" s="607">
        <v>0</v>
      </c>
      <c r="J105" s="607">
        <v>0</v>
      </c>
      <c r="K105" s="608">
        <f>(H105+I105)-J105</f>
        <v>0</v>
      </c>
    </row>
    <row r="106" spans="1:11" ht="18" customHeight="1" x14ac:dyDescent="0.4">
      <c r="A106" s="188" t="s">
        <v>129</v>
      </c>
      <c r="B106" s="1026"/>
      <c r="C106" s="1027"/>
      <c r="D106" s="1028"/>
      <c r="F106" s="606">
        <v>0</v>
      </c>
      <c r="G106" s="606">
        <v>0</v>
      </c>
      <c r="H106" s="607">
        <v>0</v>
      </c>
      <c r="I106" s="607">
        <v>0</v>
      </c>
      <c r="J106" s="607">
        <v>0</v>
      </c>
      <c r="K106" s="608">
        <f>(H106+I106)-J106</f>
        <v>0</v>
      </c>
    </row>
    <row r="107" spans="1:11" ht="18" customHeight="1" x14ac:dyDescent="0.4">
      <c r="B107" s="155"/>
    </row>
    <row r="108" spans="1:11" s="159" customFormat="1" ht="18" customHeight="1" x14ac:dyDescent="0.4">
      <c r="A108" s="156" t="s">
        <v>153</v>
      </c>
      <c r="B108" s="182" t="s">
        <v>154</v>
      </c>
      <c r="C108" s="187"/>
      <c r="D108" s="187"/>
      <c r="E108" s="155" t="s">
        <v>7</v>
      </c>
      <c r="F108" s="610">
        <v>6651</v>
      </c>
      <c r="G108" s="610">
        <v>0</v>
      </c>
      <c r="H108" s="608">
        <v>523129.28546538454</v>
      </c>
      <c r="I108" s="608">
        <v>227927.42967726805</v>
      </c>
      <c r="J108" s="608">
        <v>0</v>
      </c>
      <c r="K108" s="608">
        <f t="shared" ref="K108" si="10">SUM(K102:K106)</f>
        <v>751056.71514265263</v>
      </c>
    </row>
    <row r="109" spans="1:11" s="159" customFormat="1" ht="18" customHeight="1" thickBot="1" x14ac:dyDescent="0.45">
      <c r="A109" s="160"/>
      <c r="B109" s="161"/>
      <c r="C109" s="162"/>
      <c r="D109" s="162"/>
      <c r="E109" s="162"/>
      <c r="F109" s="164"/>
      <c r="G109" s="164"/>
      <c r="H109" s="164"/>
      <c r="I109" s="164"/>
      <c r="J109" s="164"/>
      <c r="K109" s="164"/>
    </row>
    <row r="110" spans="1:11" s="159" customFormat="1" ht="18" customHeight="1" x14ac:dyDescent="0.4">
      <c r="A110" s="156" t="s">
        <v>156</v>
      </c>
      <c r="B110" s="155" t="s">
        <v>39</v>
      </c>
      <c r="C110" s="187"/>
      <c r="D110" s="187"/>
      <c r="E110" s="187"/>
      <c r="F110" s="187"/>
      <c r="G110" s="187"/>
      <c r="H110" s="187"/>
      <c r="I110" s="187"/>
      <c r="J110" s="187"/>
      <c r="K110" s="187"/>
    </row>
    <row r="111" spans="1:11" ht="18" customHeight="1" x14ac:dyDescent="0.4">
      <c r="A111" s="156" t="s">
        <v>155</v>
      </c>
      <c r="B111" s="155" t="s">
        <v>164</v>
      </c>
      <c r="E111" s="155" t="s">
        <v>7</v>
      </c>
      <c r="F111" s="607">
        <v>25938000</v>
      </c>
    </row>
    <row r="112" spans="1:11" ht="18" customHeight="1" x14ac:dyDescent="0.4">
      <c r="B112" s="155"/>
      <c r="E112" s="155"/>
      <c r="F112" s="163"/>
    </row>
    <row r="113" spans="1:6" ht="18" customHeight="1" x14ac:dyDescent="0.4">
      <c r="A113" s="156"/>
      <c r="B113" s="155" t="s">
        <v>15</v>
      </c>
    </row>
    <row r="114" spans="1:6" ht="18" customHeight="1" x14ac:dyDescent="0.4">
      <c r="A114" s="188" t="s">
        <v>171</v>
      </c>
      <c r="B114" s="154" t="s">
        <v>35</v>
      </c>
      <c r="F114" s="615">
        <v>0.43569999999999998</v>
      </c>
    </row>
    <row r="115" spans="1:6" ht="18" customHeight="1" x14ac:dyDescent="0.4">
      <c r="A115" s="188"/>
      <c r="B115" s="155"/>
    </row>
    <row r="116" spans="1:6" ht="18" customHeight="1" x14ac:dyDescent="0.4">
      <c r="A116" s="188" t="s">
        <v>170</v>
      </c>
      <c r="B116" s="155" t="s">
        <v>16</v>
      </c>
    </row>
    <row r="117" spans="1:6" ht="18" customHeight="1" x14ac:dyDescent="0.4">
      <c r="A117" s="188" t="s">
        <v>172</v>
      </c>
      <c r="B117" s="154" t="s">
        <v>17</v>
      </c>
      <c r="F117" s="616">
        <v>2121134000</v>
      </c>
    </row>
    <row r="118" spans="1:6" ht="18" customHeight="1" x14ac:dyDescent="0.4">
      <c r="A118" s="188" t="s">
        <v>173</v>
      </c>
      <c r="B118" s="187" t="s">
        <v>18</v>
      </c>
      <c r="F118" s="616">
        <v>406556000</v>
      </c>
    </row>
    <row r="119" spans="1:6" ht="18" customHeight="1" x14ac:dyDescent="0.4">
      <c r="A119" s="188" t="s">
        <v>174</v>
      </c>
      <c r="B119" s="155" t="s">
        <v>19</v>
      </c>
      <c r="F119" s="612">
        <v>2527690000</v>
      </c>
    </row>
    <row r="120" spans="1:6" ht="18" customHeight="1" x14ac:dyDescent="0.4">
      <c r="A120" s="188"/>
      <c r="B120" s="155"/>
    </row>
    <row r="121" spans="1:6" ht="18" customHeight="1" x14ac:dyDescent="0.4">
      <c r="A121" s="188" t="s">
        <v>167</v>
      </c>
      <c r="B121" s="155" t="s">
        <v>36</v>
      </c>
      <c r="F121" s="616">
        <v>2476117000</v>
      </c>
    </row>
    <row r="122" spans="1:6" ht="18" customHeight="1" x14ac:dyDescent="0.4">
      <c r="A122" s="188"/>
    </row>
    <row r="123" spans="1:6" ht="18" customHeight="1" x14ac:dyDescent="0.4">
      <c r="A123" s="188" t="s">
        <v>175</v>
      </c>
      <c r="B123" s="155" t="s">
        <v>20</v>
      </c>
      <c r="F123" s="607">
        <v>51573000</v>
      </c>
    </row>
    <row r="124" spans="1:6" ht="18" customHeight="1" x14ac:dyDescent="0.4">
      <c r="A124" s="188"/>
    </row>
    <row r="125" spans="1:6" ht="18" customHeight="1" x14ac:dyDescent="0.4">
      <c r="A125" s="188" t="s">
        <v>176</v>
      </c>
      <c r="B125" s="155" t="s">
        <v>21</v>
      </c>
      <c r="F125" s="617">
        <v>-5369000</v>
      </c>
    </row>
    <row r="126" spans="1:6" ht="18" customHeight="1" x14ac:dyDescent="0.4">
      <c r="A126" s="188"/>
    </row>
    <row r="127" spans="1:6" ht="18" customHeight="1" x14ac:dyDescent="0.4">
      <c r="A127" s="188" t="s">
        <v>177</v>
      </c>
      <c r="B127" s="155" t="s">
        <v>22</v>
      </c>
      <c r="F127" s="607">
        <f>+F123+F125</f>
        <v>46204000</v>
      </c>
    </row>
    <row r="128" spans="1:6" ht="18" customHeight="1" x14ac:dyDescent="0.4">
      <c r="A128" s="188"/>
    </row>
    <row r="129" spans="1:11" ht="42.75" customHeight="1" x14ac:dyDescent="0.4">
      <c r="F129" s="158" t="s">
        <v>9</v>
      </c>
      <c r="G129" s="158" t="s">
        <v>37</v>
      </c>
      <c r="H129" s="158" t="s">
        <v>29</v>
      </c>
      <c r="I129" s="158" t="s">
        <v>30</v>
      </c>
      <c r="J129" s="158" t="s">
        <v>33</v>
      </c>
      <c r="K129" s="158" t="s">
        <v>34</v>
      </c>
    </row>
    <row r="130" spans="1:11" ht="18" customHeight="1" x14ac:dyDescent="0.4">
      <c r="A130" s="156" t="s">
        <v>157</v>
      </c>
      <c r="B130" s="155" t="s">
        <v>23</v>
      </c>
    </row>
    <row r="131" spans="1:11" ht="18" customHeight="1" x14ac:dyDescent="0.4">
      <c r="A131" s="188" t="s">
        <v>158</v>
      </c>
      <c r="B131" s="187" t="s">
        <v>24</v>
      </c>
      <c r="F131" s="606">
        <v>0</v>
      </c>
      <c r="G131" s="606">
        <v>0</v>
      </c>
      <c r="H131" s="607">
        <v>0</v>
      </c>
      <c r="I131" s="607">
        <v>0</v>
      </c>
      <c r="J131" s="607">
        <v>0</v>
      </c>
      <c r="K131" s="608">
        <f>(H131+I131)-J131</f>
        <v>0</v>
      </c>
    </row>
    <row r="132" spans="1:11" ht="18" customHeight="1" x14ac:dyDescent="0.4">
      <c r="A132" s="188" t="s">
        <v>159</v>
      </c>
      <c r="B132" s="187" t="s">
        <v>25</v>
      </c>
      <c r="F132" s="606">
        <v>0</v>
      </c>
      <c r="G132" s="606">
        <v>0</v>
      </c>
      <c r="H132" s="607">
        <v>0</v>
      </c>
      <c r="I132" s="607">
        <v>0</v>
      </c>
      <c r="J132" s="607">
        <v>0</v>
      </c>
      <c r="K132" s="608">
        <f>(H132+I132)-J132</f>
        <v>0</v>
      </c>
    </row>
    <row r="133" spans="1:11" ht="18" customHeight="1" x14ac:dyDescent="0.4">
      <c r="A133" s="188" t="s">
        <v>160</v>
      </c>
      <c r="B133" s="1021"/>
      <c r="C133" s="1022"/>
      <c r="D133" s="1023"/>
      <c r="F133" s="606">
        <v>0</v>
      </c>
      <c r="G133" s="606">
        <v>0</v>
      </c>
      <c r="H133" s="607">
        <v>0</v>
      </c>
      <c r="I133" s="607">
        <v>0</v>
      </c>
      <c r="J133" s="607">
        <v>0</v>
      </c>
      <c r="K133" s="608">
        <f>(H133+I133)-J133</f>
        <v>0</v>
      </c>
    </row>
    <row r="134" spans="1:11" ht="18" customHeight="1" x14ac:dyDescent="0.4">
      <c r="A134" s="188" t="s">
        <v>161</v>
      </c>
      <c r="B134" s="1021"/>
      <c r="C134" s="1022"/>
      <c r="D134" s="1023"/>
      <c r="F134" s="606">
        <v>0</v>
      </c>
      <c r="G134" s="606">
        <v>0</v>
      </c>
      <c r="H134" s="607">
        <v>0</v>
      </c>
      <c r="I134" s="607">
        <v>0</v>
      </c>
      <c r="J134" s="607">
        <v>0</v>
      </c>
      <c r="K134" s="608">
        <f>(H134+I134)-J134</f>
        <v>0</v>
      </c>
    </row>
    <row r="135" spans="1:11" ht="18" customHeight="1" x14ac:dyDescent="0.4">
      <c r="A135" s="188" t="s">
        <v>162</v>
      </c>
      <c r="B135" s="1021"/>
      <c r="C135" s="1022"/>
      <c r="D135" s="1023"/>
      <c r="F135" s="606">
        <v>0</v>
      </c>
      <c r="G135" s="606">
        <v>0</v>
      </c>
      <c r="H135" s="607">
        <v>0</v>
      </c>
      <c r="I135" s="607">
        <v>0</v>
      </c>
      <c r="J135" s="607">
        <v>0</v>
      </c>
      <c r="K135" s="608">
        <f>(H135+I135)-J135</f>
        <v>0</v>
      </c>
    </row>
    <row r="136" spans="1:11" ht="18" customHeight="1" x14ac:dyDescent="0.4">
      <c r="A136" s="156"/>
    </row>
    <row r="137" spans="1:11" ht="18" customHeight="1" x14ac:dyDescent="0.4">
      <c r="A137" s="156" t="s">
        <v>163</v>
      </c>
      <c r="B137" s="155" t="s">
        <v>27</v>
      </c>
      <c r="F137" s="610">
        <v>0</v>
      </c>
      <c r="G137" s="610">
        <v>0</v>
      </c>
      <c r="H137" s="608">
        <v>0</v>
      </c>
      <c r="I137" s="608">
        <v>0</v>
      </c>
      <c r="J137" s="608">
        <v>0</v>
      </c>
      <c r="K137" s="608">
        <f t="shared" ref="K137" si="11">SUM(K131:K135)</f>
        <v>0</v>
      </c>
    </row>
    <row r="138" spans="1:11" ht="18" customHeight="1" x14ac:dyDescent="0.35">
      <c r="A138" s="187"/>
    </row>
    <row r="139" spans="1:11" ht="42.75" customHeight="1" x14ac:dyDescent="0.4">
      <c r="F139" s="158" t="s">
        <v>9</v>
      </c>
      <c r="G139" s="158" t="s">
        <v>37</v>
      </c>
      <c r="H139" s="158" t="s">
        <v>29</v>
      </c>
      <c r="I139" s="158" t="s">
        <v>30</v>
      </c>
      <c r="J139" s="158" t="s">
        <v>33</v>
      </c>
      <c r="K139" s="158" t="s">
        <v>34</v>
      </c>
    </row>
    <row r="140" spans="1:11" ht="18" customHeight="1" x14ac:dyDescent="0.4">
      <c r="A140" s="156" t="s">
        <v>166</v>
      </c>
      <c r="B140" s="155" t="s">
        <v>26</v>
      </c>
    </row>
    <row r="141" spans="1:11" ht="18" customHeight="1" x14ac:dyDescent="0.4">
      <c r="A141" s="188" t="s">
        <v>137</v>
      </c>
      <c r="B141" s="155" t="s">
        <v>64</v>
      </c>
      <c r="F141" s="167">
        <f t="shared" ref="F141:K141" si="12">F36</f>
        <v>103659.5</v>
      </c>
      <c r="G141" s="167">
        <f t="shared" si="12"/>
        <v>778402</v>
      </c>
      <c r="H141" s="167">
        <f t="shared" si="12"/>
        <v>20059579.620000001</v>
      </c>
      <c r="I141" s="167">
        <f t="shared" si="12"/>
        <v>6283508.8642299995</v>
      </c>
      <c r="J141" s="167">
        <f t="shared" si="12"/>
        <v>1436245</v>
      </c>
      <c r="K141" s="167">
        <f t="shared" si="12"/>
        <v>24906843.484229997</v>
      </c>
    </row>
    <row r="142" spans="1:11" ht="18" customHeight="1" x14ac:dyDescent="0.4">
      <c r="A142" s="188" t="s">
        <v>142</v>
      </c>
      <c r="B142" s="155" t="s">
        <v>65</v>
      </c>
      <c r="F142" s="167">
        <f t="shared" ref="F142:K142" si="13">F49</f>
        <v>183603</v>
      </c>
      <c r="G142" s="167">
        <f t="shared" si="13"/>
        <v>1754</v>
      </c>
      <c r="H142" s="167">
        <f t="shared" si="13"/>
        <v>131153882.44</v>
      </c>
      <c r="I142" s="167">
        <f t="shared" si="13"/>
        <v>57153815.009427994</v>
      </c>
      <c r="J142" s="167">
        <f t="shared" si="13"/>
        <v>72350</v>
      </c>
      <c r="K142" s="167">
        <f t="shared" si="13"/>
        <v>188235347.44942796</v>
      </c>
    </row>
    <row r="143" spans="1:11" ht="18" customHeight="1" x14ac:dyDescent="0.4">
      <c r="A143" s="188" t="s">
        <v>144</v>
      </c>
      <c r="B143" s="155" t="s">
        <v>66</v>
      </c>
      <c r="F143" s="167">
        <f t="shared" ref="F143:K143" si="14">F64</f>
        <v>8105</v>
      </c>
      <c r="G143" s="167">
        <f t="shared" si="14"/>
        <v>19589</v>
      </c>
      <c r="H143" s="167">
        <f t="shared" si="14"/>
        <v>21539254.840600096</v>
      </c>
      <c r="I143" s="167">
        <f t="shared" si="14"/>
        <v>346204.71871800005</v>
      </c>
      <c r="J143" s="167">
        <f t="shared" si="14"/>
        <v>781979</v>
      </c>
      <c r="K143" s="167">
        <f t="shared" si="14"/>
        <v>21103480.559318095</v>
      </c>
    </row>
    <row r="144" spans="1:11" ht="18" customHeight="1" x14ac:dyDescent="0.4">
      <c r="A144" s="188" t="s">
        <v>146</v>
      </c>
      <c r="B144" s="155" t="s">
        <v>67</v>
      </c>
      <c r="F144" s="167">
        <f t="shared" ref="F144:K144" si="15">F74</f>
        <v>17519</v>
      </c>
      <c r="G144" s="167">
        <f t="shared" si="15"/>
        <v>0</v>
      </c>
      <c r="H144" s="167">
        <f t="shared" si="15"/>
        <v>803314.94</v>
      </c>
      <c r="I144" s="167">
        <f t="shared" si="15"/>
        <v>0</v>
      </c>
      <c r="J144" s="167">
        <f t="shared" si="15"/>
        <v>0</v>
      </c>
      <c r="K144" s="167">
        <f t="shared" si="15"/>
        <v>803314.94</v>
      </c>
    </row>
    <row r="145" spans="1:11" ht="18" customHeight="1" x14ac:dyDescent="0.4">
      <c r="A145" s="188" t="s">
        <v>148</v>
      </c>
      <c r="B145" s="155" t="s">
        <v>68</v>
      </c>
      <c r="F145" s="167">
        <f t="shared" ref="F145:K145" si="16">F82</f>
        <v>1948</v>
      </c>
      <c r="G145" s="167">
        <f t="shared" si="16"/>
        <v>6231</v>
      </c>
      <c r="H145" s="167">
        <f t="shared" si="16"/>
        <v>3083934.8649999998</v>
      </c>
      <c r="I145" s="167">
        <f t="shared" si="16"/>
        <v>12817.03047</v>
      </c>
      <c r="J145" s="167">
        <f t="shared" si="16"/>
        <v>84320</v>
      </c>
      <c r="K145" s="167">
        <f t="shared" si="16"/>
        <v>3012431.8954699999</v>
      </c>
    </row>
    <row r="146" spans="1:11" ht="18" customHeight="1" x14ac:dyDescent="0.4">
      <c r="A146" s="188" t="s">
        <v>150</v>
      </c>
      <c r="B146" s="155" t="s">
        <v>69</v>
      </c>
      <c r="F146" s="167">
        <f t="shared" ref="F146:K146" si="17">F98</f>
        <v>80359</v>
      </c>
      <c r="G146" s="167">
        <f t="shared" si="17"/>
        <v>89411</v>
      </c>
      <c r="H146" s="167">
        <f t="shared" si="17"/>
        <v>3217325.1483461545</v>
      </c>
      <c r="I146" s="167">
        <f t="shared" si="17"/>
        <v>1402185.1278704193</v>
      </c>
      <c r="J146" s="167">
        <f t="shared" si="17"/>
        <v>67924</v>
      </c>
      <c r="K146" s="167">
        <f t="shared" si="17"/>
        <v>4551586.2762165731</v>
      </c>
    </row>
    <row r="147" spans="1:11" ht="18" customHeight="1" x14ac:dyDescent="0.4">
      <c r="A147" s="188" t="s">
        <v>153</v>
      </c>
      <c r="B147" s="155" t="s">
        <v>61</v>
      </c>
      <c r="F147" s="610">
        <f t="shared" ref="F147:K147" si="18">F108</f>
        <v>6651</v>
      </c>
      <c r="G147" s="610">
        <f t="shared" si="18"/>
        <v>0</v>
      </c>
      <c r="H147" s="610">
        <f t="shared" si="18"/>
        <v>523129.28546538454</v>
      </c>
      <c r="I147" s="610">
        <f t="shared" si="18"/>
        <v>227927.42967726805</v>
      </c>
      <c r="J147" s="610">
        <f t="shared" si="18"/>
        <v>0</v>
      </c>
      <c r="K147" s="610">
        <f t="shared" si="18"/>
        <v>751056.71514265263</v>
      </c>
    </row>
    <row r="148" spans="1:11" ht="18" customHeight="1" x14ac:dyDescent="0.4">
      <c r="A148" s="188" t="s">
        <v>155</v>
      </c>
      <c r="B148" s="155" t="s">
        <v>70</v>
      </c>
      <c r="F148" s="168" t="s">
        <v>73</v>
      </c>
      <c r="G148" s="168" t="s">
        <v>73</v>
      </c>
      <c r="H148" s="169" t="s">
        <v>73</v>
      </c>
      <c r="I148" s="169" t="s">
        <v>73</v>
      </c>
      <c r="J148" s="169" t="s">
        <v>73</v>
      </c>
      <c r="K148" s="285">
        <f>F111</f>
        <v>25938000</v>
      </c>
    </row>
    <row r="149" spans="1:11" ht="18" customHeight="1" x14ac:dyDescent="0.4">
      <c r="A149" s="188" t="s">
        <v>163</v>
      </c>
      <c r="B149" s="155" t="s">
        <v>71</v>
      </c>
      <c r="F149" s="610">
        <f t="shared" ref="F149:K149" si="19">F137</f>
        <v>0</v>
      </c>
      <c r="G149" s="610">
        <f t="shared" si="19"/>
        <v>0</v>
      </c>
      <c r="H149" s="610">
        <f t="shared" si="19"/>
        <v>0</v>
      </c>
      <c r="I149" s="610">
        <f t="shared" si="19"/>
        <v>0</v>
      </c>
      <c r="J149" s="610">
        <f t="shared" si="19"/>
        <v>0</v>
      </c>
      <c r="K149" s="610">
        <f t="shared" si="19"/>
        <v>0</v>
      </c>
    </row>
    <row r="150" spans="1:11" ht="18" customHeight="1" x14ac:dyDescent="0.4">
      <c r="A150" s="188" t="s">
        <v>185</v>
      </c>
      <c r="B150" s="155" t="s">
        <v>186</v>
      </c>
      <c r="F150" s="168" t="s">
        <v>73</v>
      </c>
      <c r="G150" s="168" t="s">
        <v>73</v>
      </c>
      <c r="H150" s="610">
        <f>H18</f>
        <v>47025450</v>
      </c>
      <c r="I150" s="610">
        <f>I18</f>
        <v>0</v>
      </c>
      <c r="J150" s="610">
        <f>J18</f>
        <v>39093534</v>
      </c>
      <c r="K150" s="610">
        <f>K18</f>
        <v>7931916</v>
      </c>
    </row>
    <row r="151" spans="1:11" ht="18" customHeight="1" x14ac:dyDescent="0.4">
      <c r="B151" s="155"/>
      <c r="F151" s="172"/>
      <c r="G151" s="172"/>
      <c r="H151" s="172"/>
      <c r="I151" s="172"/>
      <c r="J151" s="172"/>
      <c r="K151" s="172"/>
    </row>
    <row r="152" spans="1:11" ht="18" customHeight="1" x14ac:dyDescent="0.4">
      <c r="A152" s="156" t="s">
        <v>165</v>
      </c>
      <c r="B152" s="155" t="s">
        <v>26</v>
      </c>
      <c r="F152" s="173">
        <f t="shared" ref="F152:K152" si="20">SUM(F141:F150)</f>
        <v>401844.5</v>
      </c>
      <c r="G152" s="173">
        <f t="shared" si="20"/>
        <v>895387</v>
      </c>
      <c r="H152" s="173">
        <f t="shared" si="20"/>
        <v>227405871.13941166</v>
      </c>
      <c r="I152" s="173">
        <f t="shared" si="20"/>
        <v>65426458.180393681</v>
      </c>
      <c r="J152" s="173">
        <f t="shared" si="20"/>
        <v>41536352</v>
      </c>
      <c r="K152" s="173">
        <f t="shared" si="20"/>
        <v>277233977.31980526</v>
      </c>
    </row>
    <row r="154" spans="1:11" ht="18" customHeight="1" x14ac:dyDescent="0.4">
      <c r="A154" s="156" t="s">
        <v>168</v>
      </c>
      <c r="B154" s="155" t="s">
        <v>28</v>
      </c>
      <c r="F154" s="618">
        <f>K152/F121</f>
        <v>0.11196319774865456</v>
      </c>
    </row>
    <row r="155" spans="1:11" ht="18" customHeight="1" x14ac:dyDescent="0.4">
      <c r="A155" s="156" t="s">
        <v>169</v>
      </c>
      <c r="B155" s="155" t="s">
        <v>72</v>
      </c>
      <c r="F155" s="618">
        <f>K152/F127</f>
        <v>6.0002159406069877</v>
      </c>
      <c r="G155" s="155"/>
    </row>
    <row r="156" spans="1:11" ht="18" customHeight="1" x14ac:dyDescent="0.4">
      <c r="G156" s="155"/>
    </row>
  </sheetData>
  <mergeCells count="38">
    <mergeCell ref="C11:G11"/>
    <mergeCell ref="B13:H13"/>
    <mergeCell ref="B30:D30"/>
    <mergeCell ref="B134:D134"/>
    <mergeCell ref="B135:D135"/>
    <mergeCell ref="B96:D96"/>
    <mergeCell ref="B103:C103"/>
    <mergeCell ref="B104:D104"/>
    <mergeCell ref="B105:D105"/>
    <mergeCell ref="B106:D106"/>
    <mergeCell ref="B133:D133"/>
    <mergeCell ref="B31:D31"/>
    <mergeCell ref="B34:D34"/>
    <mergeCell ref="B41:C41"/>
    <mergeCell ref="B44:D44"/>
    <mergeCell ref="B45:D45"/>
    <mergeCell ref="C10:G10"/>
    <mergeCell ref="D2:H2"/>
    <mergeCell ref="C5:G5"/>
    <mergeCell ref="C6:G6"/>
    <mergeCell ref="C7:G7"/>
    <mergeCell ref="C9:G9"/>
    <mergeCell ref="B46:D46"/>
    <mergeCell ref="B47:D47"/>
    <mergeCell ref="B52:C52"/>
    <mergeCell ref="B95:D95"/>
    <mergeCell ref="B54:D54"/>
    <mergeCell ref="B55:D55"/>
    <mergeCell ref="B56:D56"/>
    <mergeCell ref="B57:D57"/>
    <mergeCell ref="B58:D58"/>
    <mergeCell ref="B59:D59"/>
    <mergeCell ref="B60:D60"/>
    <mergeCell ref="B61:D61"/>
    <mergeCell ref="B62:D62"/>
    <mergeCell ref="B90:C90"/>
    <mergeCell ref="B94:D94"/>
    <mergeCell ref="B53:D53"/>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3" manualBreakCount="3">
    <brk id="37" max="16383" man="1"/>
    <brk id="74" max="16383" man="1"/>
    <brk id="10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K157"/>
  <sheetViews>
    <sheetView zoomScale="85" zoomScaleNormal="85" workbookViewId="0">
      <selection activeCell="A2" sqref="A2"/>
    </sheetView>
  </sheetViews>
  <sheetFormatPr defaultColWidth="9" defaultRowHeight="18" customHeight="1" x14ac:dyDescent="0.35"/>
  <cols>
    <col min="1" max="1" width="4.73046875" style="27" bestFit="1" customWidth="1"/>
    <col min="2" max="2" width="45.73046875" style="189" bestFit="1" customWidth="1"/>
    <col min="3" max="3" width="7.1328125" style="189" customWidth="1"/>
    <col min="4" max="4" width="5.265625" style="189" customWidth="1"/>
    <col min="5" max="5" width="10.73046875" style="189" customWidth="1"/>
    <col min="6" max="6" width="11.3984375" style="189" bestFit="1" customWidth="1"/>
    <col min="7" max="7" width="18.73046875" style="189" bestFit="1" customWidth="1"/>
    <col min="8" max="8" width="16.3984375" style="333" bestFit="1" customWidth="1"/>
    <col min="9" max="9" width="18.265625" style="333" bestFit="1" customWidth="1"/>
    <col min="10" max="10" width="13.265625" style="333" bestFit="1" customWidth="1"/>
    <col min="11" max="11" width="16.86328125" style="333" bestFit="1" customWidth="1"/>
    <col min="12" max="16384" width="9" style="189"/>
  </cols>
  <sheetData>
    <row r="1" spans="1:11" ht="18" customHeight="1" x14ac:dyDescent="0.4">
      <c r="C1" s="119"/>
      <c r="D1" s="118"/>
      <c r="E1" s="119"/>
      <c r="F1" s="119"/>
      <c r="G1" s="119"/>
      <c r="H1" s="332"/>
      <c r="I1" s="332"/>
      <c r="J1" s="332"/>
      <c r="K1" s="332"/>
    </row>
    <row r="2" spans="1:11" ht="18" customHeight="1" x14ac:dyDescent="0.4">
      <c r="C2" s="619"/>
      <c r="D2" s="1057" t="s">
        <v>730</v>
      </c>
      <c r="E2" s="950"/>
      <c r="F2" s="950"/>
      <c r="G2" s="950"/>
      <c r="H2" s="950"/>
    </row>
    <row r="3" spans="1:11" ht="18" customHeight="1" x14ac:dyDescent="0.4">
      <c r="B3" s="117" t="s">
        <v>0</v>
      </c>
    </row>
    <row r="5" spans="1:11" ht="18" customHeight="1" x14ac:dyDescent="0.4">
      <c r="B5" s="183" t="s">
        <v>40</v>
      </c>
      <c r="C5" s="1017" t="s">
        <v>732</v>
      </c>
      <c r="D5" s="962"/>
      <c r="E5" s="962"/>
      <c r="F5" s="962"/>
      <c r="G5" s="963"/>
    </row>
    <row r="6" spans="1:11" ht="18" customHeight="1" x14ac:dyDescent="0.4">
      <c r="B6" s="183" t="s">
        <v>3</v>
      </c>
      <c r="C6" s="1058">
        <v>210010</v>
      </c>
      <c r="D6" s="1059"/>
      <c r="E6" s="1059"/>
      <c r="F6" s="1059"/>
      <c r="G6" s="1060"/>
    </row>
    <row r="7" spans="1:11" ht="18" customHeight="1" x14ac:dyDescent="0.4">
      <c r="B7" s="183" t="s">
        <v>4</v>
      </c>
      <c r="C7" s="967">
        <v>269</v>
      </c>
      <c r="D7" s="968"/>
      <c r="E7" s="968"/>
      <c r="F7" s="968"/>
      <c r="G7" s="969"/>
    </row>
    <row r="9" spans="1:11" ht="18" customHeight="1" x14ac:dyDescent="0.4">
      <c r="B9" s="183" t="s">
        <v>1</v>
      </c>
      <c r="C9" s="1017" t="s">
        <v>505</v>
      </c>
      <c r="D9" s="962"/>
      <c r="E9" s="962"/>
      <c r="F9" s="962"/>
      <c r="G9" s="963"/>
    </row>
    <row r="10" spans="1:11" ht="18" customHeight="1" x14ac:dyDescent="0.4">
      <c r="B10" s="183" t="s">
        <v>2</v>
      </c>
      <c r="C10" s="970" t="s">
        <v>343</v>
      </c>
      <c r="D10" s="971"/>
      <c r="E10" s="971"/>
      <c r="F10" s="971"/>
      <c r="G10" s="972"/>
    </row>
    <row r="11" spans="1:11" ht="18" customHeight="1" x14ac:dyDescent="0.4">
      <c r="B11" s="183" t="s">
        <v>32</v>
      </c>
      <c r="C11" s="1020" t="s">
        <v>506</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332"/>
    </row>
    <row r="14" spans="1:11" ht="18" customHeight="1" x14ac:dyDescent="0.35">
      <c r="B14" s="121"/>
    </row>
    <row r="15" spans="1:11" ht="18" customHeight="1" x14ac:dyDescent="0.35">
      <c r="B15" s="121"/>
    </row>
    <row r="16" spans="1:11" ht="45" customHeight="1" x14ac:dyDescent="0.4">
      <c r="A16" s="401" t="s">
        <v>181</v>
      </c>
      <c r="B16" s="119"/>
      <c r="C16" s="119"/>
      <c r="D16" s="119"/>
      <c r="E16" s="119"/>
      <c r="F16" s="122" t="s">
        <v>9</v>
      </c>
      <c r="G16" s="122" t="s">
        <v>37</v>
      </c>
      <c r="H16" s="110" t="s">
        <v>29</v>
      </c>
      <c r="I16" s="110" t="s">
        <v>30</v>
      </c>
      <c r="J16" s="110" t="s">
        <v>33</v>
      </c>
      <c r="K16" s="110" t="s">
        <v>34</v>
      </c>
    </row>
    <row r="17" spans="1:11" ht="18" customHeight="1" x14ac:dyDescent="0.4">
      <c r="A17" s="403" t="s">
        <v>184</v>
      </c>
      <c r="B17" s="117" t="s">
        <v>182</v>
      </c>
    </row>
    <row r="18" spans="1:11" ht="18" customHeight="1" x14ac:dyDescent="0.4">
      <c r="A18" s="404" t="s">
        <v>185</v>
      </c>
      <c r="B18" s="116" t="s">
        <v>183</v>
      </c>
      <c r="F18" s="555" t="s">
        <v>73</v>
      </c>
      <c r="G18" s="555" t="s">
        <v>73</v>
      </c>
      <c r="H18" s="603">
        <v>967520</v>
      </c>
      <c r="I18" s="335">
        <v>0</v>
      </c>
      <c r="J18" s="603">
        <v>804326</v>
      </c>
      <c r="K18" s="621">
        <v>163194</v>
      </c>
    </row>
    <row r="19" spans="1:11" ht="45" customHeight="1" x14ac:dyDescent="0.4">
      <c r="A19" s="401" t="s">
        <v>8</v>
      </c>
      <c r="B19" s="119"/>
      <c r="C19" s="119"/>
      <c r="D19" s="119"/>
      <c r="E19" s="119"/>
      <c r="F19" s="122" t="s">
        <v>9</v>
      </c>
      <c r="G19" s="122" t="s">
        <v>37</v>
      </c>
      <c r="H19" s="110" t="s">
        <v>29</v>
      </c>
      <c r="I19" s="110" t="s">
        <v>30</v>
      </c>
      <c r="J19" s="110" t="s">
        <v>33</v>
      </c>
      <c r="K19" s="110" t="s">
        <v>34</v>
      </c>
    </row>
    <row r="20" spans="1:11" ht="18" customHeight="1" x14ac:dyDescent="0.4">
      <c r="A20" s="403" t="s">
        <v>74</v>
      </c>
      <c r="B20" s="117" t="s">
        <v>41</v>
      </c>
    </row>
    <row r="21" spans="1:11" ht="18" customHeight="1" x14ac:dyDescent="0.4">
      <c r="A21" s="404" t="s">
        <v>75</v>
      </c>
      <c r="B21" s="116" t="s">
        <v>42</v>
      </c>
      <c r="F21" s="555">
        <v>1060</v>
      </c>
      <c r="G21" s="555">
        <v>1865</v>
      </c>
      <c r="H21" s="555">
        <v>69152.080518788047</v>
      </c>
      <c r="I21" s="555">
        <v>27939.073304257967</v>
      </c>
      <c r="J21" s="555">
        <v>0</v>
      </c>
      <c r="K21" s="621">
        <v>97091.153823046014</v>
      </c>
    </row>
    <row r="22" spans="1:11" ht="18" customHeight="1" x14ac:dyDescent="0.4">
      <c r="A22" s="404" t="s">
        <v>76</v>
      </c>
      <c r="B22" s="189" t="s">
        <v>6</v>
      </c>
      <c r="F22" s="555">
        <v>155</v>
      </c>
      <c r="G22" s="555">
        <v>153</v>
      </c>
      <c r="H22" s="555">
        <v>6917.2523400114587</v>
      </c>
      <c r="I22" s="555">
        <v>2794.7332710998121</v>
      </c>
      <c r="J22" s="555">
        <v>0</v>
      </c>
      <c r="K22" s="621">
        <v>9711.9856111112713</v>
      </c>
    </row>
    <row r="23" spans="1:11" ht="18" customHeight="1" x14ac:dyDescent="0.4">
      <c r="A23" s="404" t="s">
        <v>77</v>
      </c>
      <c r="B23" s="189" t="s">
        <v>43</v>
      </c>
      <c r="F23" s="555"/>
      <c r="G23" s="555"/>
      <c r="H23" s="555"/>
      <c r="I23" s="555"/>
      <c r="J23" s="555"/>
      <c r="K23" s="621">
        <v>0</v>
      </c>
    </row>
    <row r="24" spans="1:11" ht="18" customHeight="1" x14ac:dyDescent="0.4">
      <c r="A24" s="404" t="s">
        <v>78</v>
      </c>
      <c r="B24" s="189" t="s">
        <v>44</v>
      </c>
      <c r="F24" s="555">
        <v>0</v>
      </c>
      <c r="G24" s="555">
        <v>0</v>
      </c>
      <c r="H24" s="555">
        <v>0</v>
      </c>
      <c r="I24" s="555">
        <v>0</v>
      </c>
      <c r="J24" s="555">
        <v>0</v>
      </c>
      <c r="K24" s="621">
        <v>0</v>
      </c>
    </row>
    <row r="25" spans="1:11" ht="18" customHeight="1" x14ac:dyDescent="0.4">
      <c r="A25" s="404" t="s">
        <v>79</v>
      </c>
      <c r="B25" s="189" t="s">
        <v>5</v>
      </c>
      <c r="F25" s="555"/>
      <c r="G25" s="555"/>
      <c r="H25" s="555"/>
      <c r="I25" s="555"/>
      <c r="J25" s="555"/>
      <c r="K25" s="621">
        <v>0</v>
      </c>
    </row>
    <row r="26" spans="1:11" ht="18" customHeight="1" x14ac:dyDescent="0.4">
      <c r="A26" s="404" t="s">
        <v>80</v>
      </c>
      <c r="B26" s="189" t="s">
        <v>45</v>
      </c>
      <c r="F26" s="555"/>
      <c r="G26" s="555"/>
      <c r="H26" s="555"/>
      <c r="I26" s="555"/>
      <c r="J26" s="555"/>
      <c r="K26" s="621">
        <v>0</v>
      </c>
    </row>
    <row r="27" spans="1:11" ht="18" customHeight="1" x14ac:dyDescent="0.4">
      <c r="A27" s="404" t="s">
        <v>81</v>
      </c>
      <c r="B27" s="189" t="s">
        <v>46</v>
      </c>
      <c r="F27" s="555"/>
      <c r="G27" s="555"/>
      <c r="H27" s="555"/>
      <c r="I27" s="555"/>
      <c r="J27" s="555"/>
      <c r="K27" s="621">
        <v>0</v>
      </c>
    </row>
    <row r="28" spans="1:11" ht="18" customHeight="1" x14ac:dyDescent="0.4">
      <c r="A28" s="404" t="s">
        <v>82</v>
      </c>
      <c r="B28" s="189" t="s">
        <v>47</v>
      </c>
      <c r="F28" s="555"/>
      <c r="G28" s="555"/>
      <c r="H28" s="555"/>
      <c r="I28" s="555"/>
      <c r="J28" s="555"/>
      <c r="K28" s="621">
        <v>0</v>
      </c>
    </row>
    <row r="29" spans="1:11" ht="18" customHeight="1" x14ac:dyDescent="0.4">
      <c r="A29" s="404" t="s">
        <v>83</v>
      </c>
      <c r="B29" s="189" t="s">
        <v>48</v>
      </c>
      <c r="F29" s="555">
        <v>0</v>
      </c>
      <c r="G29" s="555">
        <v>0</v>
      </c>
      <c r="H29" s="555">
        <v>0</v>
      </c>
      <c r="I29" s="555">
        <v>0</v>
      </c>
      <c r="J29" s="555">
        <v>0</v>
      </c>
      <c r="K29" s="621">
        <v>0</v>
      </c>
    </row>
    <row r="30" spans="1:11" ht="18" customHeight="1" x14ac:dyDescent="0.4">
      <c r="A30" s="404" t="s">
        <v>84</v>
      </c>
      <c r="B30" s="951"/>
      <c r="C30" s="952"/>
      <c r="D30" s="953"/>
      <c r="F30" s="555"/>
      <c r="G30" s="555"/>
      <c r="H30" s="603"/>
      <c r="I30" s="335"/>
      <c r="J30" s="603"/>
      <c r="K30" s="621">
        <v>0</v>
      </c>
    </row>
    <row r="31" spans="1:11" ht="18" customHeight="1" x14ac:dyDescent="0.4">
      <c r="A31" s="404" t="s">
        <v>133</v>
      </c>
      <c r="B31" s="951"/>
      <c r="C31" s="952"/>
      <c r="D31" s="953"/>
      <c r="F31" s="555"/>
      <c r="G31" s="555"/>
      <c r="H31" s="603"/>
      <c r="I31" s="335"/>
      <c r="J31" s="603"/>
      <c r="K31" s="621">
        <v>0</v>
      </c>
    </row>
    <row r="32" spans="1:11" ht="18" customHeight="1" x14ac:dyDescent="0.4">
      <c r="A32" s="404" t="s">
        <v>134</v>
      </c>
      <c r="B32" s="500"/>
      <c r="C32" s="501"/>
      <c r="D32" s="502"/>
      <c r="F32" s="555"/>
      <c r="G32" s="558" t="s">
        <v>85</v>
      </c>
      <c r="H32" s="603"/>
      <c r="I32" s="335"/>
      <c r="J32" s="603"/>
      <c r="K32" s="621">
        <v>0</v>
      </c>
    </row>
    <row r="33" spans="1:11" ht="18" customHeight="1" x14ac:dyDescent="0.4">
      <c r="A33" s="404" t="s">
        <v>135</v>
      </c>
      <c r="B33" s="500"/>
      <c r="C33" s="501"/>
      <c r="D33" s="502"/>
      <c r="F33" s="555"/>
      <c r="G33" s="558" t="s">
        <v>85</v>
      </c>
      <c r="H33" s="603"/>
      <c r="I33" s="335"/>
      <c r="J33" s="603"/>
      <c r="K33" s="621">
        <v>0</v>
      </c>
    </row>
    <row r="34" spans="1:11" ht="18" customHeight="1" x14ac:dyDescent="0.4">
      <c r="A34" s="404" t="s">
        <v>136</v>
      </c>
      <c r="B34" s="951"/>
      <c r="C34" s="952"/>
      <c r="D34" s="953"/>
      <c r="F34" s="555"/>
      <c r="G34" s="558" t="s">
        <v>85</v>
      </c>
      <c r="H34" s="603"/>
      <c r="I34" s="335"/>
      <c r="J34" s="603"/>
      <c r="K34" s="621">
        <v>0</v>
      </c>
    </row>
    <row r="35" spans="1:11" ht="18" customHeight="1" x14ac:dyDescent="0.35">
      <c r="K35" s="622"/>
    </row>
    <row r="36" spans="1:11" ht="18" customHeight="1" x14ac:dyDescent="0.4">
      <c r="A36" s="403" t="s">
        <v>137</v>
      </c>
      <c r="B36" s="117" t="s">
        <v>138</v>
      </c>
      <c r="E36" s="117" t="s">
        <v>7</v>
      </c>
      <c r="F36" s="560">
        <v>1215</v>
      </c>
      <c r="G36" s="560">
        <v>2018</v>
      </c>
      <c r="H36" s="621">
        <v>76069.332858799506</v>
      </c>
      <c r="I36" s="621">
        <v>30733.806575357779</v>
      </c>
      <c r="J36" s="621">
        <v>0</v>
      </c>
      <c r="K36" s="621">
        <v>106803.13943415729</v>
      </c>
    </row>
    <row r="37" spans="1:11" ht="18" customHeight="1" thickBot="1" x14ac:dyDescent="0.45">
      <c r="B37" s="117"/>
      <c r="F37" s="127"/>
      <c r="G37" s="127"/>
      <c r="H37" s="336"/>
      <c r="I37" s="336"/>
      <c r="J37" s="336"/>
      <c r="K37" s="623"/>
    </row>
    <row r="38" spans="1:11" ht="42.75" customHeight="1" x14ac:dyDescent="0.4">
      <c r="F38" s="122" t="s">
        <v>9</v>
      </c>
      <c r="G38" s="122" t="s">
        <v>37</v>
      </c>
      <c r="H38" s="110" t="s">
        <v>29</v>
      </c>
      <c r="I38" s="110" t="s">
        <v>30</v>
      </c>
      <c r="J38" s="110" t="s">
        <v>33</v>
      </c>
      <c r="K38" s="110" t="s">
        <v>34</v>
      </c>
    </row>
    <row r="39" spans="1:11" ht="18.75" customHeight="1" x14ac:dyDescent="0.4">
      <c r="A39" s="403" t="s">
        <v>86</v>
      </c>
      <c r="B39" s="117" t="s">
        <v>49</v>
      </c>
    </row>
    <row r="40" spans="1:11" ht="18" customHeight="1" x14ac:dyDescent="0.4">
      <c r="A40" s="404" t="s">
        <v>87</v>
      </c>
      <c r="B40" s="189" t="s">
        <v>31</v>
      </c>
      <c r="F40" s="555"/>
      <c r="G40" s="555"/>
      <c r="H40" s="603"/>
      <c r="I40" s="335">
        <v>0</v>
      </c>
      <c r="J40" s="603"/>
      <c r="K40" s="621">
        <v>0</v>
      </c>
    </row>
    <row r="41" spans="1:11" ht="18" customHeight="1" x14ac:dyDescent="0.4">
      <c r="A41" s="404" t="s">
        <v>88</v>
      </c>
      <c r="B41" s="956" t="s">
        <v>50</v>
      </c>
      <c r="C41" s="957"/>
      <c r="F41" s="555">
        <v>3358.3441573628124</v>
      </c>
      <c r="G41" s="555">
        <v>9</v>
      </c>
      <c r="H41" s="603">
        <v>114900</v>
      </c>
      <c r="I41" s="335">
        <v>0</v>
      </c>
      <c r="J41" s="603">
        <v>0</v>
      </c>
      <c r="K41" s="621">
        <v>114900</v>
      </c>
    </row>
    <row r="42" spans="1:11" ht="18" customHeight="1" x14ac:dyDescent="0.4">
      <c r="A42" s="404" t="s">
        <v>89</v>
      </c>
      <c r="B42" s="116" t="s">
        <v>11</v>
      </c>
      <c r="F42" s="555">
        <v>0</v>
      </c>
      <c r="G42" s="555">
        <v>0</v>
      </c>
      <c r="H42" s="555">
        <v>0</v>
      </c>
      <c r="I42" s="555">
        <v>0</v>
      </c>
      <c r="J42" s="555">
        <v>0</v>
      </c>
      <c r="K42" s="621">
        <v>0</v>
      </c>
    </row>
    <row r="43" spans="1:11" ht="18" customHeight="1" x14ac:dyDescent="0.4">
      <c r="A43" s="404" t="s">
        <v>90</v>
      </c>
      <c r="B43" s="141" t="s">
        <v>10</v>
      </c>
      <c r="C43" s="123"/>
      <c r="D43" s="123"/>
      <c r="F43" s="555"/>
      <c r="G43" s="555"/>
      <c r="H43" s="603"/>
      <c r="I43" s="335"/>
      <c r="J43" s="603"/>
      <c r="K43" s="621">
        <v>0</v>
      </c>
    </row>
    <row r="44" spans="1:11" ht="18" customHeight="1" x14ac:dyDescent="0.4">
      <c r="A44" s="404" t="s">
        <v>91</v>
      </c>
      <c r="B44" s="951"/>
      <c r="C44" s="952"/>
      <c r="D44" s="953"/>
      <c r="F44" s="555"/>
      <c r="G44" s="555"/>
      <c r="H44" s="603"/>
      <c r="I44" s="335"/>
      <c r="J44" s="603"/>
      <c r="K44" s="621">
        <v>0</v>
      </c>
    </row>
    <row r="45" spans="1:11" ht="18" customHeight="1" x14ac:dyDescent="0.4">
      <c r="A45" s="404" t="s">
        <v>139</v>
      </c>
      <c r="B45" s="951"/>
      <c r="C45" s="952"/>
      <c r="D45" s="953"/>
      <c r="F45" s="555"/>
      <c r="G45" s="555"/>
      <c r="H45" s="603"/>
      <c r="I45" s="335"/>
      <c r="J45" s="603"/>
      <c r="K45" s="621">
        <v>0</v>
      </c>
    </row>
    <row r="46" spans="1:11" ht="18" customHeight="1" x14ac:dyDescent="0.4">
      <c r="A46" s="404" t="s">
        <v>140</v>
      </c>
      <c r="B46" s="951"/>
      <c r="C46" s="952"/>
      <c r="D46" s="953"/>
      <c r="F46" s="555"/>
      <c r="G46" s="555"/>
      <c r="H46" s="603"/>
      <c r="I46" s="335"/>
      <c r="J46" s="603"/>
      <c r="K46" s="621">
        <v>0</v>
      </c>
    </row>
    <row r="47" spans="1:11" ht="18" customHeight="1" x14ac:dyDescent="0.4">
      <c r="A47" s="404" t="s">
        <v>141</v>
      </c>
      <c r="B47" s="951"/>
      <c r="C47" s="952"/>
      <c r="D47" s="953"/>
      <c r="F47" s="555"/>
      <c r="G47" s="555"/>
      <c r="H47" s="603"/>
      <c r="I47" s="335"/>
      <c r="J47" s="603"/>
      <c r="K47" s="621">
        <v>0</v>
      </c>
    </row>
    <row r="49" spans="1:11" ht="18" customHeight="1" x14ac:dyDescent="0.4">
      <c r="A49" s="403" t="s">
        <v>142</v>
      </c>
      <c r="B49" s="117" t="s">
        <v>143</v>
      </c>
      <c r="E49" s="117" t="s">
        <v>7</v>
      </c>
      <c r="F49" s="563">
        <v>3358.3441573628124</v>
      </c>
      <c r="G49" s="563">
        <v>9</v>
      </c>
      <c r="H49" s="621">
        <v>114900</v>
      </c>
      <c r="I49" s="621">
        <v>0</v>
      </c>
      <c r="J49" s="621">
        <v>0</v>
      </c>
      <c r="K49" s="621">
        <v>114900</v>
      </c>
    </row>
    <row r="50" spans="1:11" ht="18" customHeight="1" thickBot="1" x14ac:dyDescent="0.4">
      <c r="G50" s="129"/>
      <c r="H50" s="337"/>
      <c r="I50" s="337"/>
      <c r="J50" s="337"/>
      <c r="K50" s="337"/>
    </row>
    <row r="51" spans="1:11" ht="42.75" customHeight="1" x14ac:dyDescent="0.4">
      <c r="F51" s="122" t="s">
        <v>9</v>
      </c>
      <c r="G51" s="122" t="s">
        <v>37</v>
      </c>
      <c r="H51" s="110" t="s">
        <v>29</v>
      </c>
      <c r="I51" s="110" t="s">
        <v>30</v>
      </c>
      <c r="J51" s="110" t="s">
        <v>33</v>
      </c>
      <c r="K51" s="110" t="s">
        <v>34</v>
      </c>
    </row>
    <row r="52" spans="1:11" ht="18" customHeight="1" x14ac:dyDescent="0.4">
      <c r="A52" s="403" t="s">
        <v>92</v>
      </c>
      <c r="B52" s="976" t="s">
        <v>38</v>
      </c>
      <c r="C52" s="977"/>
    </row>
    <row r="53" spans="1:11" ht="18" customHeight="1" x14ac:dyDescent="0.4">
      <c r="A53" s="404" t="s">
        <v>51</v>
      </c>
      <c r="B53" s="978" t="s">
        <v>346</v>
      </c>
      <c r="C53" s="1063"/>
      <c r="D53" s="1062"/>
      <c r="F53" s="558">
        <v>570.20000000000005</v>
      </c>
      <c r="G53" s="558">
        <v>703</v>
      </c>
      <c r="H53" s="624">
        <v>571331</v>
      </c>
      <c r="I53" s="624">
        <v>472503.93203358731</v>
      </c>
      <c r="J53" s="558"/>
      <c r="K53" s="625">
        <v>1043834.9320335872</v>
      </c>
    </row>
    <row r="54" spans="1:11" ht="18" customHeight="1" x14ac:dyDescent="0.4">
      <c r="A54" s="404" t="s">
        <v>93</v>
      </c>
      <c r="B54" s="973" t="s">
        <v>347</v>
      </c>
      <c r="C54" s="1061"/>
      <c r="D54" s="1062"/>
      <c r="F54" s="558">
        <v>10950</v>
      </c>
      <c r="G54" s="558">
        <v>18900</v>
      </c>
      <c r="H54" s="624">
        <v>1189846</v>
      </c>
      <c r="I54" s="624">
        <v>984030.12179355882</v>
      </c>
      <c r="J54" s="558"/>
      <c r="K54" s="625">
        <v>2173876.1217935588</v>
      </c>
    </row>
    <row r="55" spans="1:11" ht="18" customHeight="1" x14ac:dyDescent="0.4">
      <c r="A55" s="404" t="s">
        <v>94</v>
      </c>
      <c r="B55" s="973"/>
      <c r="C55" s="1061"/>
      <c r="D55" s="1062"/>
      <c r="F55" s="558">
        <v>0</v>
      </c>
      <c r="G55" s="558">
        <v>0</v>
      </c>
      <c r="H55" s="624">
        <v>0</v>
      </c>
      <c r="I55" s="624">
        <v>0</v>
      </c>
      <c r="J55" s="558">
        <v>0</v>
      </c>
      <c r="K55" s="625">
        <v>0</v>
      </c>
    </row>
    <row r="56" spans="1:11" ht="18" customHeight="1" x14ac:dyDescent="0.4">
      <c r="A56" s="404" t="s">
        <v>95</v>
      </c>
      <c r="B56" s="973" t="s">
        <v>345</v>
      </c>
      <c r="C56" s="1061"/>
      <c r="D56" s="1062"/>
      <c r="F56" s="558"/>
      <c r="G56" s="558"/>
      <c r="H56" s="624">
        <v>217349.7</v>
      </c>
      <c r="I56" s="624">
        <v>179753.22164615712</v>
      </c>
      <c r="J56" s="558"/>
      <c r="K56" s="625">
        <v>397102.92164615716</v>
      </c>
    </row>
    <row r="57" spans="1:11" ht="18" customHeight="1" x14ac:dyDescent="0.4">
      <c r="A57" s="404" t="s">
        <v>96</v>
      </c>
      <c r="B57" s="973" t="s">
        <v>733</v>
      </c>
      <c r="C57" s="1061"/>
      <c r="D57" s="1062"/>
      <c r="F57" s="558"/>
      <c r="G57" s="558"/>
      <c r="H57" s="624">
        <v>1173407.54</v>
      </c>
      <c r="I57" s="624">
        <v>970435.13572317781</v>
      </c>
      <c r="J57" s="558"/>
      <c r="K57" s="625">
        <v>2143842.6757231778</v>
      </c>
    </row>
    <row r="58" spans="1:11" ht="18" customHeight="1" x14ac:dyDescent="0.4">
      <c r="A58" s="404" t="s">
        <v>97</v>
      </c>
      <c r="B58" s="973" t="s">
        <v>734</v>
      </c>
      <c r="C58" s="1061"/>
      <c r="D58" s="1062"/>
      <c r="F58" s="558"/>
      <c r="G58" s="558"/>
      <c r="H58" s="624">
        <v>5.1766666666666659</v>
      </c>
      <c r="I58" s="624">
        <v>0.96260054436434606</v>
      </c>
      <c r="J58" s="558"/>
      <c r="K58" s="625">
        <v>6.1392672110310116</v>
      </c>
    </row>
    <row r="59" spans="1:11" ht="18" customHeight="1" x14ac:dyDescent="0.4">
      <c r="A59" s="404" t="s">
        <v>98</v>
      </c>
      <c r="B59" s="506" t="s">
        <v>735</v>
      </c>
      <c r="C59" s="519"/>
      <c r="D59" s="520"/>
      <c r="F59" s="558"/>
      <c r="G59" s="558"/>
      <c r="H59" s="624">
        <v>2291561.7917666668</v>
      </c>
      <c r="I59" s="624">
        <v>587538.30494093813</v>
      </c>
      <c r="J59" s="558"/>
      <c r="K59" s="625">
        <v>2879100.0967076048</v>
      </c>
    </row>
    <row r="60" spans="1:11" ht="18" customHeight="1" x14ac:dyDescent="0.4">
      <c r="A60" s="404" t="s">
        <v>99</v>
      </c>
      <c r="B60" s="506" t="s">
        <v>736</v>
      </c>
      <c r="C60" s="519"/>
      <c r="D60" s="520"/>
      <c r="F60" s="558"/>
      <c r="G60" s="558"/>
      <c r="H60" s="624"/>
      <c r="I60" s="624"/>
      <c r="J60" s="558"/>
      <c r="K60" s="625">
        <v>0</v>
      </c>
    </row>
    <row r="61" spans="1:11" ht="18" customHeight="1" x14ac:dyDescent="0.4">
      <c r="A61" s="404" t="s">
        <v>100</v>
      </c>
      <c r="B61" s="506" t="s">
        <v>737</v>
      </c>
      <c r="C61" s="626"/>
      <c r="D61" s="627"/>
      <c r="F61" s="558"/>
      <c r="G61" s="558"/>
      <c r="H61" s="624">
        <v>1060814.5683333334</v>
      </c>
      <c r="I61" s="624">
        <v>576551.79955310072</v>
      </c>
      <c r="J61" s="558"/>
      <c r="K61" s="625">
        <v>1637366.3678864341</v>
      </c>
    </row>
    <row r="62" spans="1:11" ht="18" customHeight="1" x14ac:dyDescent="0.4">
      <c r="A62" s="404" t="s">
        <v>101</v>
      </c>
      <c r="B62" s="973" t="s">
        <v>738</v>
      </c>
      <c r="C62" s="1061"/>
      <c r="D62" s="1062"/>
      <c r="F62" s="558">
        <v>241</v>
      </c>
      <c r="G62" s="558">
        <v>307</v>
      </c>
      <c r="H62" s="558">
        <v>11031.211702856526</v>
      </c>
      <c r="I62" s="558">
        <v>4456.8699898647437</v>
      </c>
      <c r="J62" s="558">
        <v>21340</v>
      </c>
      <c r="K62" s="625">
        <v>-5851.9183072787309</v>
      </c>
    </row>
    <row r="63" spans="1:11" ht="18" customHeight="1" x14ac:dyDescent="0.4">
      <c r="A63" s="404"/>
      <c r="I63" s="628"/>
    </row>
    <row r="64" spans="1:11" ht="18" customHeight="1" x14ac:dyDescent="0.4">
      <c r="A64" s="404" t="s">
        <v>144</v>
      </c>
      <c r="B64" s="117" t="s">
        <v>145</v>
      </c>
      <c r="E64" s="117" t="s">
        <v>7</v>
      </c>
      <c r="F64" s="560">
        <v>11761.2</v>
      </c>
      <c r="G64" s="560">
        <v>19910</v>
      </c>
      <c r="H64" s="621">
        <v>6515346.9884695234</v>
      </c>
      <c r="I64" s="621">
        <v>3775270.348280929</v>
      </c>
      <c r="J64" s="621">
        <v>21340</v>
      </c>
      <c r="K64" s="621">
        <v>10269277.336750451</v>
      </c>
    </row>
    <row r="65" spans="1:11" ht="18" customHeight="1" x14ac:dyDescent="0.35">
      <c r="F65" s="142"/>
      <c r="G65" s="142"/>
      <c r="H65" s="338"/>
      <c r="I65" s="338"/>
      <c r="J65" s="338"/>
      <c r="K65" s="338"/>
    </row>
    <row r="66" spans="1:11" ht="42.75" customHeight="1" x14ac:dyDescent="0.4">
      <c r="F66" s="147" t="s">
        <v>9</v>
      </c>
      <c r="G66" s="147" t="s">
        <v>37</v>
      </c>
      <c r="H66" s="339" t="s">
        <v>29</v>
      </c>
      <c r="I66" s="339" t="s">
        <v>30</v>
      </c>
      <c r="J66" s="339" t="s">
        <v>33</v>
      </c>
      <c r="K66" s="339" t="s">
        <v>34</v>
      </c>
    </row>
    <row r="67" spans="1:11" ht="18" customHeight="1" x14ac:dyDescent="0.4">
      <c r="A67" s="403" t="s">
        <v>102</v>
      </c>
      <c r="B67" s="117" t="s">
        <v>12</v>
      </c>
      <c r="F67" s="148"/>
      <c r="G67" s="148"/>
      <c r="H67" s="340"/>
      <c r="I67" s="341"/>
      <c r="J67" s="340"/>
      <c r="K67" s="340"/>
    </row>
    <row r="68" spans="1:11" ht="18" customHeight="1" x14ac:dyDescent="0.4">
      <c r="A68" s="404" t="s">
        <v>103</v>
      </c>
      <c r="B68" s="189" t="s">
        <v>52</v>
      </c>
      <c r="F68" s="564"/>
      <c r="G68" s="564"/>
      <c r="H68" s="603"/>
      <c r="I68" s="335">
        <v>0</v>
      </c>
      <c r="J68" s="603"/>
      <c r="K68" s="621">
        <v>0</v>
      </c>
    </row>
    <row r="69" spans="1:11" ht="18" customHeight="1" x14ac:dyDescent="0.4">
      <c r="A69" s="404" t="s">
        <v>104</v>
      </c>
      <c r="B69" s="116" t="s">
        <v>53</v>
      </c>
      <c r="F69" s="564"/>
      <c r="G69" s="564"/>
      <c r="H69" s="603"/>
      <c r="I69" s="335">
        <v>0</v>
      </c>
      <c r="J69" s="603"/>
      <c r="K69" s="621">
        <v>0</v>
      </c>
    </row>
    <row r="70" spans="1:11" ht="18" customHeight="1" x14ac:dyDescent="0.4">
      <c r="A70" s="404" t="s">
        <v>178</v>
      </c>
      <c r="B70" s="503"/>
      <c r="C70" s="504"/>
      <c r="D70" s="505"/>
      <c r="E70" s="117"/>
      <c r="F70" s="131"/>
      <c r="G70" s="131"/>
      <c r="H70" s="342"/>
      <c r="I70" s="335">
        <v>0</v>
      </c>
      <c r="J70" s="342"/>
      <c r="K70" s="621">
        <v>0</v>
      </c>
    </row>
    <row r="71" spans="1:11" ht="18" customHeight="1" x14ac:dyDescent="0.4">
      <c r="A71" s="404" t="s">
        <v>179</v>
      </c>
      <c r="B71" s="503"/>
      <c r="C71" s="504"/>
      <c r="D71" s="505"/>
      <c r="E71" s="117"/>
      <c r="F71" s="131"/>
      <c r="G71" s="131"/>
      <c r="H71" s="342"/>
      <c r="I71" s="335">
        <v>0</v>
      </c>
      <c r="J71" s="342"/>
      <c r="K71" s="621">
        <v>0</v>
      </c>
    </row>
    <row r="72" spans="1:11" ht="18" customHeight="1" x14ac:dyDescent="0.4">
      <c r="A72" s="404" t="s">
        <v>180</v>
      </c>
      <c r="B72" s="510"/>
      <c r="C72" s="508"/>
      <c r="D72" s="130"/>
      <c r="E72" s="117"/>
      <c r="F72" s="555"/>
      <c r="G72" s="555"/>
      <c r="H72" s="603"/>
      <c r="I72" s="335">
        <v>0</v>
      </c>
      <c r="J72" s="603"/>
      <c r="K72" s="621">
        <v>0</v>
      </c>
    </row>
    <row r="73" spans="1:11" ht="18" customHeight="1" x14ac:dyDescent="0.4">
      <c r="A73" s="404"/>
      <c r="B73" s="116"/>
      <c r="E73" s="117"/>
      <c r="F73" s="151"/>
      <c r="G73" s="151"/>
      <c r="H73" s="343"/>
      <c r="I73" s="341"/>
      <c r="J73" s="343"/>
      <c r="K73" s="340"/>
    </row>
    <row r="74" spans="1:11" ht="18" customHeight="1" x14ac:dyDescent="0.4">
      <c r="A74" s="403" t="s">
        <v>146</v>
      </c>
      <c r="B74" s="117" t="s">
        <v>147</v>
      </c>
      <c r="E74" s="117" t="s">
        <v>7</v>
      </c>
      <c r="F74" s="566">
        <v>0</v>
      </c>
      <c r="G74" s="566">
        <v>0</v>
      </c>
      <c r="H74" s="605">
        <v>0</v>
      </c>
      <c r="I74" s="334">
        <v>0</v>
      </c>
      <c r="J74" s="605">
        <v>0</v>
      </c>
      <c r="K74" s="605">
        <v>0</v>
      </c>
    </row>
    <row r="75" spans="1:11" ht="42.75" customHeight="1" x14ac:dyDescent="0.4">
      <c r="F75" s="122" t="s">
        <v>9</v>
      </c>
      <c r="G75" s="122" t="s">
        <v>37</v>
      </c>
      <c r="H75" s="110" t="s">
        <v>29</v>
      </c>
      <c r="I75" s="110" t="s">
        <v>30</v>
      </c>
      <c r="J75" s="110" t="s">
        <v>33</v>
      </c>
      <c r="K75" s="110" t="s">
        <v>34</v>
      </c>
    </row>
    <row r="76" spans="1:11" ht="18" customHeight="1" x14ac:dyDescent="0.4">
      <c r="A76" s="403" t="s">
        <v>105</v>
      </c>
      <c r="B76" s="117" t="s">
        <v>106</v>
      </c>
    </row>
    <row r="77" spans="1:11" ht="18" customHeight="1" x14ac:dyDescent="0.4">
      <c r="A77" s="404" t="s">
        <v>107</v>
      </c>
      <c r="B77" s="116" t="s">
        <v>54</v>
      </c>
      <c r="F77" s="555"/>
      <c r="G77" s="555"/>
      <c r="H77" s="555"/>
      <c r="I77" s="555"/>
      <c r="J77" s="555"/>
      <c r="K77" s="621">
        <v>0</v>
      </c>
    </row>
    <row r="78" spans="1:11" ht="18" customHeight="1" x14ac:dyDescent="0.4">
      <c r="A78" s="404" t="s">
        <v>108</v>
      </c>
      <c r="B78" s="116" t="s">
        <v>55</v>
      </c>
      <c r="F78" s="555">
        <v>102</v>
      </c>
      <c r="G78" s="555">
        <v>150</v>
      </c>
      <c r="H78" s="603">
        <v>6551.9983140720569</v>
      </c>
      <c r="I78" s="335">
        <v>2647.1620204759975</v>
      </c>
      <c r="J78" s="603"/>
      <c r="K78" s="621">
        <v>9199.1603345480544</v>
      </c>
    </row>
    <row r="79" spans="1:11" ht="18" customHeight="1" x14ac:dyDescent="0.4">
      <c r="A79" s="404" t="s">
        <v>109</v>
      </c>
      <c r="B79" s="116" t="s">
        <v>13</v>
      </c>
      <c r="F79" s="555"/>
      <c r="G79" s="555"/>
      <c r="H79" s="603"/>
      <c r="I79" s="335">
        <v>0</v>
      </c>
      <c r="J79" s="603"/>
      <c r="K79" s="621">
        <v>0</v>
      </c>
    </row>
    <row r="80" spans="1:11" ht="18" customHeight="1" x14ac:dyDescent="0.4">
      <c r="A80" s="404" t="s">
        <v>110</v>
      </c>
      <c r="B80" s="116" t="s">
        <v>56</v>
      </c>
      <c r="F80" s="555"/>
      <c r="G80" s="555"/>
      <c r="H80" s="603"/>
      <c r="I80" s="335">
        <v>0</v>
      </c>
      <c r="J80" s="603"/>
      <c r="K80" s="621">
        <v>0</v>
      </c>
    </row>
    <row r="81" spans="1:11" ht="18" customHeight="1" x14ac:dyDescent="0.4">
      <c r="A81" s="404"/>
      <c r="K81" s="629"/>
    </row>
    <row r="82" spans="1:11" ht="18" customHeight="1" x14ac:dyDescent="0.4">
      <c r="A82" s="404" t="s">
        <v>148</v>
      </c>
      <c r="B82" s="117" t="s">
        <v>149</v>
      </c>
      <c r="E82" s="117" t="s">
        <v>7</v>
      </c>
      <c r="F82" s="566">
        <v>102</v>
      </c>
      <c r="G82" s="566">
        <v>150</v>
      </c>
      <c r="H82" s="605">
        <v>6551.9983140720569</v>
      </c>
      <c r="I82" s="605">
        <v>2647.1620204759975</v>
      </c>
      <c r="J82" s="605">
        <v>0</v>
      </c>
      <c r="K82" s="605">
        <v>9199.1603345480544</v>
      </c>
    </row>
    <row r="83" spans="1:11" ht="18" customHeight="1" thickBot="1" x14ac:dyDescent="0.45">
      <c r="A83" s="404"/>
      <c r="F83" s="129"/>
      <c r="G83" s="129"/>
      <c r="H83" s="337"/>
      <c r="I83" s="337"/>
      <c r="J83" s="337"/>
      <c r="K83" s="337"/>
    </row>
    <row r="84" spans="1:11" ht="42.75" customHeight="1" x14ac:dyDescent="0.4">
      <c r="F84" s="122" t="s">
        <v>9</v>
      </c>
      <c r="G84" s="122" t="s">
        <v>37</v>
      </c>
      <c r="H84" s="110" t="s">
        <v>29</v>
      </c>
      <c r="I84" s="110" t="s">
        <v>30</v>
      </c>
      <c r="J84" s="110" t="s">
        <v>33</v>
      </c>
      <c r="K84" s="110" t="s">
        <v>34</v>
      </c>
    </row>
    <row r="85" spans="1:11" ht="18" customHeight="1" x14ac:dyDescent="0.4">
      <c r="A85" s="403" t="s">
        <v>111</v>
      </c>
      <c r="B85" s="117" t="s">
        <v>57</v>
      </c>
    </row>
    <row r="86" spans="1:11" ht="18" customHeight="1" x14ac:dyDescent="0.4">
      <c r="A86" s="404" t="s">
        <v>112</v>
      </c>
      <c r="B86" s="116" t="s">
        <v>113</v>
      </c>
      <c r="F86" s="555"/>
      <c r="G86" s="555"/>
      <c r="H86" s="603"/>
      <c r="I86" s="335"/>
      <c r="J86" s="603"/>
      <c r="K86" s="621">
        <v>0</v>
      </c>
    </row>
    <row r="87" spans="1:11" ht="18" customHeight="1" x14ac:dyDescent="0.4">
      <c r="A87" s="404" t="s">
        <v>114</v>
      </c>
      <c r="B87" s="116" t="s">
        <v>14</v>
      </c>
      <c r="F87" s="555"/>
      <c r="G87" s="555"/>
      <c r="H87" s="555"/>
      <c r="I87" s="555"/>
      <c r="J87" s="555"/>
      <c r="K87" s="621">
        <v>0</v>
      </c>
    </row>
    <row r="88" spans="1:11" ht="18" customHeight="1" x14ac:dyDescent="0.4">
      <c r="A88" s="404" t="s">
        <v>115</v>
      </c>
      <c r="B88" s="116" t="s">
        <v>116</v>
      </c>
      <c r="F88" s="555">
        <v>0</v>
      </c>
      <c r="G88" s="555">
        <v>0</v>
      </c>
      <c r="H88" s="555">
        <v>2706</v>
      </c>
      <c r="I88" s="555">
        <v>1093.287892340149</v>
      </c>
      <c r="J88" s="555">
        <v>0</v>
      </c>
      <c r="K88" s="621">
        <v>3799.287892340149</v>
      </c>
    </row>
    <row r="89" spans="1:11" ht="18" customHeight="1" x14ac:dyDescent="0.4">
      <c r="A89" s="404" t="s">
        <v>117</v>
      </c>
      <c r="B89" s="116" t="s">
        <v>58</v>
      </c>
      <c r="F89" s="555"/>
      <c r="G89" s="555"/>
      <c r="H89" s="555"/>
      <c r="I89" s="555"/>
      <c r="J89" s="555"/>
      <c r="K89" s="621">
        <v>0</v>
      </c>
    </row>
    <row r="90" spans="1:11" ht="18" customHeight="1" x14ac:dyDescent="0.4">
      <c r="A90" s="404" t="s">
        <v>118</v>
      </c>
      <c r="B90" s="956" t="s">
        <v>59</v>
      </c>
      <c r="C90" s="957"/>
      <c r="F90" s="555"/>
      <c r="G90" s="555"/>
      <c r="H90" s="555"/>
      <c r="I90" s="555"/>
      <c r="J90" s="555"/>
      <c r="K90" s="621">
        <v>0</v>
      </c>
    </row>
    <row r="91" spans="1:11" ht="18" customHeight="1" x14ac:dyDescent="0.4">
      <c r="A91" s="404" t="s">
        <v>119</v>
      </c>
      <c r="B91" s="116" t="s">
        <v>60</v>
      </c>
      <c r="F91" s="555">
        <v>277</v>
      </c>
      <c r="G91" s="555">
        <v>0</v>
      </c>
      <c r="H91" s="555">
        <v>12361.799343117251</v>
      </c>
      <c r="I91" s="555">
        <v>4994.4588135138574</v>
      </c>
      <c r="J91" s="555">
        <v>0</v>
      </c>
      <c r="K91" s="621">
        <v>17356.258156631109</v>
      </c>
    </row>
    <row r="92" spans="1:11" ht="18" customHeight="1" x14ac:dyDescent="0.4">
      <c r="A92" s="404" t="s">
        <v>120</v>
      </c>
      <c r="B92" s="116" t="s">
        <v>121</v>
      </c>
      <c r="F92" s="555">
        <v>24</v>
      </c>
      <c r="G92" s="555">
        <v>200</v>
      </c>
      <c r="H92" s="555">
        <v>871.55482968185947</v>
      </c>
      <c r="I92" s="555">
        <v>352.12872978631106</v>
      </c>
      <c r="J92" s="555">
        <v>0</v>
      </c>
      <c r="K92" s="621">
        <v>1223.6835594681706</v>
      </c>
    </row>
    <row r="93" spans="1:11" ht="18" customHeight="1" x14ac:dyDescent="0.4">
      <c r="A93" s="404" t="s">
        <v>122</v>
      </c>
      <c r="B93" s="116" t="s">
        <v>123</v>
      </c>
      <c r="F93" s="555"/>
      <c r="G93" s="555"/>
      <c r="H93" s="555"/>
      <c r="I93" s="555"/>
      <c r="J93" s="555"/>
      <c r="K93" s="621">
        <v>0</v>
      </c>
    </row>
    <row r="94" spans="1:11" ht="18" customHeight="1" x14ac:dyDescent="0.4">
      <c r="A94" s="404" t="s">
        <v>124</v>
      </c>
      <c r="B94" s="980" t="s">
        <v>739</v>
      </c>
      <c r="C94" s="974"/>
      <c r="D94" s="975"/>
      <c r="F94" s="555">
        <v>8</v>
      </c>
      <c r="G94" s="555">
        <v>40</v>
      </c>
      <c r="H94" s="603">
        <v>290.51827656061982</v>
      </c>
      <c r="I94" s="335">
        <v>117.37624326210369</v>
      </c>
      <c r="J94" s="603"/>
      <c r="K94" s="621">
        <v>407.89451982272351</v>
      </c>
    </row>
    <row r="95" spans="1:11" ht="18" customHeight="1" x14ac:dyDescent="0.4">
      <c r="A95" s="404" t="s">
        <v>125</v>
      </c>
      <c r="B95" s="980"/>
      <c r="C95" s="974"/>
      <c r="D95" s="975"/>
      <c r="F95" s="555"/>
      <c r="G95" s="555"/>
      <c r="H95" s="603"/>
      <c r="I95" s="335"/>
      <c r="J95" s="603"/>
      <c r="K95" s="621">
        <v>0</v>
      </c>
    </row>
    <row r="96" spans="1:11" ht="18" customHeight="1" x14ac:dyDescent="0.4">
      <c r="A96" s="404" t="s">
        <v>126</v>
      </c>
      <c r="B96" s="980"/>
      <c r="C96" s="974"/>
      <c r="D96" s="975"/>
      <c r="F96" s="555"/>
      <c r="G96" s="555"/>
      <c r="H96" s="603"/>
      <c r="I96" s="335"/>
      <c r="J96" s="603"/>
      <c r="K96" s="621">
        <v>0</v>
      </c>
    </row>
    <row r="97" spans="1:11" ht="18" customHeight="1" x14ac:dyDescent="0.4">
      <c r="A97" s="404"/>
      <c r="B97" s="116"/>
    </row>
    <row r="98" spans="1:11" ht="18" customHeight="1" x14ac:dyDescent="0.4">
      <c r="A98" s="403" t="s">
        <v>150</v>
      </c>
      <c r="B98" s="117" t="s">
        <v>151</v>
      </c>
      <c r="E98" s="117" t="s">
        <v>7</v>
      </c>
      <c r="F98" s="560">
        <v>309</v>
      </c>
      <c r="G98" s="560">
        <v>240</v>
      </c>
      <c r="H98" s="621">
        <v>16229.872449359731</v>
      </c>
      <c r="I98" s="621">
        <v>6557.2516789024203</v>
      </c>
      <c r="J98" s="621">
        <v>0</v>
      </c>
      <c r="K98" s="621">
        <v>22787.124128262149</v>
      </c>
    </row>
    <row r="99" spans="1:11" ht="18" customHeight="1" thickBot="1" x14ac:dyDescent="0.45">
      <c r="B99" s="117"/>
      <c r="F99" s="129"/>
      <c r="G99" s="129"/>
      <c r="H99" s="337"/>
      <c r="I99" s="337"/>
      <c r="J99" s="337"/>
      <c r="K99" s="337"/>
    </row>
    <row r="100" spans="1:11" ht="42.75" customHeight="1" x14ac:dyDescent="0.4">
      <c r="F100" s="122" t="s">
        <v>9</v>
      </c>
      <c r="G100" s="122" t="s">
        <v>37</v>
      </c>
      <c r="H100" s="110" t="s">
        <v>29</v>
      </c>
      <c r="I100" s="110" t="s">
        <v>30</v>
      </c>
      <c r="J100" s="110" t="s">
        <v>33</v>
      </c>
      <c r="K100" s="110" t="s">
        <v>34</v>
      </c>
    </row>
    <row r="101" spans="1:11" ht="18" customHeight="1" x14ac:dyDescent="0.4">
      <c r="A101" s="403" t="s">
        <v>130</v>
      </c>
      <c r="B101" s="117" t="s">
        <v>63</v>
      </c>
    </row>
    <row r="102" spans="1:11" ht="18" customHeight="1" x14ac:dyDescent="0.4">
      <c r="A102" s="404" t="s">
        <v>131</v>
      </c>
      <c r="B102" s="116" t="s">
        <v>152</v>
      </c>
      <c r="F102" s="555">
        <v>660</v>
      </c>
      <c r="G102" s="555">
        <v>0</v>
      </c>
      <c r="H102" s="555">
        <v>24368.339021119631</v>
      </c>
      <c r="I102" s="555">
        <v>9845.3843341574611</v>
      </c>
      <c r="J102" s="555">
        <v>0</v>
      </c>
      <c r="K102" s="555">
        <v>34213.723355277092</v>
      </c>
    </row>
    <row r="103" spans="1:11" ht="18" customHeight="1" x14ac:dyDescent="0.4">
      <c r="A103" s="404" t="s">
        <v>132</v>
      </c>
      <c r="B103" s="956" t="s">
        <v>62</v>
      </c>
      <c r="C103" s="956"/>
      <c r="F103" s="555">
        <v>1500</v>
      </c>
      <c r="G103" s="555">
        <v>0</v>
      </c>
      <c r="H103" s="555">
        <v>66941.151677530244</v>
      </c>
      <c r="I103" s="555">
        <v>27045.805849353019</v>
      </c>
      <c r="J103" s="555">
        <v>0</v>
      </c>
      <c r="K103" s="555">
        <v>93986.957526883256</v>
      </c>
    </row>
    <row r="104" spans="1:11" ht="18" customHeight="1" x14ac:dyDescent="0.4">
      <c r="A104" s="404" t="s">
        <v>128</v>
      </c>
      <c r="B104" s="980"/>
      <c r="C104" s="974"/>
      <c r="D104" s="975"/>
      <c r="F104" s="555"/>
      <c r="G104" s="555"/>
      <c r="H104" s="603"/>
      <c r="I104" s="335"/>
      <c r="J104" s="603"/>
      <c r="K104" s="621"/>
    </row>
    <row r="105" spans="1:11" ht="18" customHeight="1" x14ac:dyDescent="0.4">
      <c r="A105" s="404" t="s">
        <v>127</v>
      </c>
      <c r="B105" s="980"/>
      <c r="C105" s="974"/>
      <c r="D105" s="975"/>
      <c r="F105" s="555"/>
      <c r="G105" s="555"/>
      <c r="H105" s="603"/>
      <c r="I105" s="335"/>
      <c r="J105" s="603"/>
      <c r="K105" s="621"/>
    </row>
    <row r="106" spans="1:11" ht="18" customHeight="1" x14ac:dyDescent="0.4">
      <c r="A106" s="404" t="s">
        <v>129</v>
      </c>
      <c r="B106" s="980"/>
      <c r="C106" s="974"/>
      <c r="D106" s="975"/>
      <c r="F106" s="555"/>
      <c r="G106" s="555"/>
      <c r="H106" s="603"/>
      <c r="I106" s="335"/>
      <c r="J106" s="603"/>
      <c r="K106" s="621"/>
    </row>
    <row r="107" spans="1:11" ht="18" customHeight="1" x14ac:dyDescent="0.4">
      <c r="B107" s="117"/>
    </row>
    <row r="108" spans="1:11" s="123" customFormat="1" ht="18" customHeight="1" x14ac:dyDescent="0.4">
      <c r="A108" s="403" t="s">
        <v>153</v>
      </c>
      <c r="B108" s="153" t="s">
        <v>154</v>
      </c>
      <c r="C108" s="189"/>
      <c r="D108" s="189"/>
      <c r="E108" s="117" t="s">
        <v>7</v>
      </c>
      <c r="F108" s="560">
        <v>2160</v>
      </c>
      <c r="G108" s="560">
        <v>0</v>
      </c>
      <c r="H108" s="621">
        <v>91309.490698649868</v>
      </c>
      <c r="I108" s="621">
        <v>36891.19018351048</v>
      </c>
      <c r="J108" s="621">
        <v>0</v>
      </c>
      <c r="K108" s="621">
        <v>128200.68088216035</v>
      </c>
    </row>
    <row r="109" spans="1:11" s="123" customFormat="1" ht="18" customHeight="1" thickBot="1" x14ac:dyDescent="0.45">
      <c r="A109" s="414"/>
      <c r="B109" s="125"/>
      <c r="C109" s="126"/>
      <c r="D109" s="126"/>
      <c r="E109" s="126"/>
      <c r="F109" s="129"/>
      <c r="G109" s="129"/>
      <c r="H109" s="337"/>
      <c r="I109" s="337"/>
      <c r="J109" s="337"/>
      <c r="K109" s="337"/>
    </row>
    <row r="110" spans="1:11" s="123" customFormat="1" ht="18" customHeight="1" x14ac:dyDescent="0.4">
      <c r="A110" s="403" t="s">
        <v>156</v>
      </c>
      <c r="B110" s="117" t="s">
        <v>39</v>
      </c>
      <c r="C110" s="189"/>
      <c r="D110" s="189"/>
      <c r="E110" s="189"/>
      <c r="F110" s="189"/>
      <c r="G110" s="189"/>
      <c r="H110" s="333"/>
      <c r="I110" s="333"/>
      <c r="J110" s="333"/>
      <c r="K110" s="333"/>
    </row>
    <row r="111" spans="1:11" ht="18" customHeight="1" x14ac:dyDescent="0.4">
      <c r="A111" s="403" t="s">
        <v>155</v>
      </c>
      <c r="B111" s="117" t="s">
        <v>164</v>
      </c>
      <c r="E111" s="117" t="s">
        <v>7</v>
      </c>
      <c r="F111" s="603">
        <v>446565.16</v>
      </c>
    </row>
    <row r="112" spans="1:11" ht="18" customHeight="1" x14ac:dyDescent="0.4">
      <c r="B112" s="117"/>
      <c r="E112" s="117"/>
      <c r="F112" s="184"/>
    </row>
    <row r="113" spans="1:7" ht="18" customHeight="1" x14ac:dyDescent="0.4">
      <c r="A113" s="403"/>
      <c r="B113" s="117" t="s">
        <v>15</v>
      </c>
    </row>
    <row r="114" spans="1:7" ht="18" customHeight="1" x14ac:dyDescent="0.4">
      <c r="A114" s="404" t="s">
        <v>171</v>
      </c>
      <c r="B114" s="116" t="s">
        <v>35</v>
      </c>
      <c r="F114" s="570">
        <v>0.82702309525229212</v>
      </c>
    </row>
    <row r="115" spans="1:7" ht="18" customHeight="1" x14ac:dyDescent="0.4">
      <c r="A115" s="404"/>
      <c r="B115" s="117"/>
    </row>
    <row r="116" spans="1:7" ht="18" customHeight="1" x14ac:dyDescent="0.4">
      <c r="A116" s="404" t="s">
        <v>170</v>
      </c>
      <c r="B116" s="117" t="s">
        <v>16</v>
      </c>
    </row>
    <row r="117" spans="1:7" ht="18" customHeight="1" x14ac:dyDescent="0.4">
      <c r="A117" s="404" t="s">
        <v>172</v>
      </c>
      <c r="B117" s="116" t="s">
        <v>17</v>
      </c>
      <c r="F117" s="572">
        <v>38777496.629999995</v>
      </c>
      <c r="G117" s="350"/>
    </row>
    <row r="118" spans="1:7" ht="18" customHeight="1" x14ac:dyDescent="0.4">
      <c r="A118" s="404" t="s">
        <v>173</v>
      </c>
      <c r="B118" s="189" t="s">
        <v>18</v>
      </c>
      <c r="F118" s="572">
        <v>893745.83818821609</v>
      </c>
    </row>
    <row r="119" spans="1:7" ht="18" customHeight="1" x14ac:dyDescent="0.4">
      <c r="A119" s="404" t="s">
        <v>174</v>
      </c>
      <c r="B119" s="117" t="s">
        <v>19</v>
      </c>
      <c r="F119" s="630">
        <v>39671242.468188211</v>
      </c>
    </row>
    <row r="120" spans="1:7" ht="18" customHeight="1" x14ac:dyDescent="0.4">
      <c r="A120" s="404"/>
      <c r="B120" s="117"/>
      <c r="F120" s="108"/>
    </row>
    <row r="121" spans="1:7" ht="18" customHeight="1" x14ac:dyDescent="0.4">
      <c r="A121" s="404" t="s">
        <v>167</v>
      </c>
      <c r="B121" s="117" t="s">
        <v>36</v>
      </c>
      <c r="F121" s="572">
        <v>40190863.089935303</v>
      </c>
    </row>
    <row r="122" spans="1:7" ht="18" customHeight="1" x14ac:dyDescent="0.4">
      <c r="A122" s="404"/>
      <c r="F122" s="108"/>
    </row>
    <row r="123" spans="1:7" ht="18" customHeight="1" x14ac:dyDescent="0.4">
      <c r="A123" s="404" t="s">
        <v>175</v>
      </c>
      <c r="B123" s="117" t="s">
        <v>20</v>
      </c>
      <c r="F123" s="572">
        <v>-519620.62174709141</v>
      </c>
    </row>
    <row r="124" spans="1:7" ht="18" customHeight="1" x14ac:dyDescent="0.4">
      <c r="A124" s="404"/>
      <c r="F124" s="108"/>
    </row>
    <row r="125" spans="1:7" ht="18" customHeight="1" x14ac:dyDescent="0.4">
      <c r="A125" s="404" t="s">
        <v>176</v>
      </c>
      <c r="B125" s="117" t="s">
        <v>21</v>
      </c>
      <c r="F125" s="572">
        <v>0</v>
      </c>
    </row>
    <row r="126" spans="1:7" ht="18" customHeight="1" x14ac:dyDescent="0.4">
      <c r="A126" s="404"/>
      <c r="F126" s="108"/>
    </row>
    <row r="127" spans="1:7" ht="18" customHeight="1" x14ac:dyDescent="0.4">
      <c r="A127" s="404" t="s">
        <v>177</v>
      </c>
      <c r="B127" s="117" t="s">
        <v>22</v>
      </c>
      <c r="F127" s="572">
        <v>-519620.62174709141</v>
      </c>
    </row>
    <row r="128" spans="1:7" ht="18" customHeight="1" x14ac:dyDescent="0.4">
      <c r="A128" s="404"/>
    </row>
    <row r="129" spans="1:11" ht="42.75" customHeight="1" x14ac:dyDescent="0.4">
      <c r="F129" s="122" t="s">
        <v>9</v>
      </c>
      <c r="G129" s="122" t="s">
        <v>37</v>
      </c>
      <c r="H129" s="110" t="s">
        <v>29</v>
      </c>
      <c r="I129" s="110" t="s">
        <v>30</v>
      </c>
      <c r="J129" s="110" t="s">
        <v>33</v>
      </c>
      <c r="K129" s="110" t="s">
        <v>34</v>
      </c>
    </row>
    <row r="130" spans="1:11" ht="18" customHeight="1" x14ac:dyDescent="0.4">
      <c r="A130" s="403" t="s">
        <v>157</v>
      </c>
      <c r="B130" s="117" t="s">
        <v>23</v>
      </c>
    </row>
    <row r="131" spans="1:11" ht="18" customHeight="1" x14ac:dyDescent="0.4">
      <c r="A131" s="404" t="s">
        <v>158</v>
      </c>
      <c r="B131" s="189" t="s">
        <v>24</v>
      </c>
      <c r="F131" s="555"/>
      <c r="G131" s="555"/>
      <c r="H131" s="603"/>
      <c r="I131" s="335">
        <v>0</v>
      </c>
      <c r="J131" s="603"/>
      <c r="K131" s="621">
        <v>0</v>
      </c>
    </row>
    <row r="132" spans="1:11" ht="18" customHeight="1" x14ac:dyDescent="0.4">
      <c r="A132" s="404" t="s">
        <v>159</v>
      </c>
      <c r="B132" s="189" t="s">
        <v>25</v>
      </c>
      <c r="F132" s="555"/>
      <c r="G132" s="555"/>
      <c r="H132" s="603"/>
      <c r="I132" s="335">
        <v>0</v>
      </c>
      <c r="J132" s="603"/>
      <c r="K132" s="621">
        <v>0</v>
      </c>
    </row>
    <row r="133" spans="1:11" ht="18" customHeight="1" x14ac:dyDescent="0.4">
      <c r="A133" s="404" t="s">
        <v>160</v>
      </c>
      <c r="B133" s="951"/>
      <c r="C133" s="952"/>
      <c r="D133" s="953"/>
      <c r="F133" s="555"/>
      <c r="G133" s="555"/>
      <c r="H133" s="603"/>
      <c r="I133" s="335">
        <v>0</v>
      </c>
      <c r="J133" s="603"/>
      <c r="K133" s="621">
        <v>0</v>
      </c>
    </row>
    <row r="134" spans="1:11" ht="18" customHeight="1" x14ac:dyDescent="0.4">
      <c r="A134" s="404" t="s">
        <v>161</v>
      </c>
      <c r="B134" s="951"/>
      <c r="C134" s="952"/>
      <c r="D134" s="953"/>
      <c r="F134" s="555"/>
      <c r="G134" s="555"/>
      <c r="H134" s="603"/>
      <c r="I134" s="335">
        <v>0</v>
      </c>
      <c r="J134" s="603"/>
      <c r="K134" s="621">
        <v>0</v>
      </c>
    </row>
    <row r="135" spans="1:11" ht="18" customHeight="1" x14ac:dyDescent="0.4">
      <c r="A135" s="404" t="s">
        <v>162</v>
      </c>
      <c r="B135" s="951"/>
      <c r="C135" s="952"/>
      <c r="D135" s="953"/>
      <c r="F135" s="555"/>
      <c r="G135" s="555"/>
      <c r="H135" s="603"/>
      <c r="I135" s="335">
        <v>0</v>
      </c>
      <c r="J135" s="603"/>
      <c r="K135" s="621">
        <v>0</v>
      </c>
    </row>
    <row r="136" spans="1:11" ht="18" customHeight="1" x14ac:dyDescent="0.4">
      <c r="A136" s="403"/>
    </row>
    <row r="137" spans="1:11" ht="18" customHeight="1" x14ac:dyDescent="0.4">
      <c r="A137" s="403" t="s">
        <v>163</v>
      </c>
      <c r="B137" s="117" t="s">
        <v>27</v>
      </c>
      <c r="F137" s="560">
        <v>0</v>
      </c>
      <c r="G137" s="560">
        <v>0</v>
      </c>
      <c r="H137" s="621">
        <v>0</v>
      </c>
      <c r="I137" s="621">
        <v>0</v>
      </c>
      <c r="J137" s="621">
        <v>0</v>
      </c>
      <c r="K137" s="621">
        <v>0</v>
      </c>
    </row>
    <row r="138" spans="1:11" ht="18" customHeight="1" x14ac:dyDescent="0.35">
      <c r="A138" s="415"/>
    </row>
    <row r="139" spans="1:11" ht="42.75" customHeight="1" x14ac:dyDescent="0.4">
      <c r="F139" s="122" t="s">
        <v>9</v>
      </c>
      <c r="G139" s="122" t="s">
        <v>37</v>
      </c>
      <c r="H139" s="110" t="s">
        <v>29</v>
      </c>
      <c r="I139" s="110" t="s">
        <v>30</v>
      </c>
      <c r="J139" s="110" t="s">
        <v>33</v>
      </c>
      <c r="K139" s="110" t="s">
        <v>34</v>
      </c>
    </row>
    <row r="140" spans="1:11" ht="18" customHeight="1" x14ac:dyDescent="0.4">
      <c r="A140" s="403" t="s">
        <v>166</v>
      </c>
      <c r="B140" s="117" t="s">
        <v>26</v>
      </c>
    </row>
    <row r="141" spans="1:11" ht="18" customHeight="1" x14ac:dyDescent="0.4">
      <c r="A141" s="404" t="s">
        <v>137</v>
      </c>
      <c r="B141" s="117" t="s">
        <v>64</v>
      </c>
      <c r="F141" s="136">
        <v>1215</v>
      </c>
      <c r="G141" s="136">
        <v>2018</v>
      </c>
      <c r="H141" s="346">
        <v>76069.332858799506</v>
      </c>
      <c r="I141" s="346">
        <v>30733.806575357779</v>
      </c>
      <c r="J141" s="346">
        <v>0</v>
      </c>
      <c r="K141" s="346">
        <v>106803.13943415729</v>
      </c>
    </row>
    <row r="142" spans="1:11" ht="18" customHeight="1" x14ac:dyDescent="0.4">
      <c r="A142" s="404" t="s">
        <v>142</v>
      </c>
      <c r="B142" s="117" t="s">
        <v>65</v>
      </c>
      <c r="F142" s="136">
        <v>3358.3441573628124</v>
      </c>
      <c r="G142" s="136">
        <v>9</v>
      </c>
      <c r="H142" s="346">
        <v>114900</v>
      </c>
      <c r="I142" s="346">
        <v>0</v>
      </c>
      <c r="J142" s="346">
        <v>0</v>
      </c>
      <c r="K142" s="346">
        <v>114900</v>
      </c>
    </row>
    <row r="143" spans="1:11" ht="18" customHeight="1" x14ac:dyDescent="0.4">
      <c r="A143" s="404" t="s">
        <v>144</v>
      </c>
      <c r="B143" s="117" t="s">
        <v>66</v>
      </c>
      <c r="F143" s="136">
        <v>11761.2</v>
      </c>
      <c r="G143" s="136">
        <v>19910</v>
      </c>
      <c r="H143" s="346">
        <v>6515346.9884695234</v>
      </c>
      <c r="I143" s="346">
        <v>3775270.348280929</v>
      </c>
      <c r="J143" s="346">
        <v>21340</v>
      </c>
      <c r="K143" s="346">
        <v>10269277.336750451</v>
      </c>
    </row>
    <row r="144" spans="1:11" ht="18" customHeight="1" x14ac:dyDescent="0.4">
      <c r="A144" s="404" t="s">
        <v>146</v>
      </c>
      <c r="B144" s="117" t="s">
        <v>67</v>
      </c>
      <c r="F144" s="136">
        <v>0</v>
      </c>
      <c r="G144" s="136">
        <v>0</v>
      </c>
      <c r="H144" s="346">
        <v>0</v>
      </c>
      <c r="I144" s="346">
        <v>0</v>
      </c>
      <c r="J144" s="346">
        <v>0</v>
      </c>
      <c r="K144" s="346">
        <v>0</v>
      </c>
    </row>
    <row r="145" spans="1:11" ht="18" customHeight="1" x14ac:dyDescent="0.4">
      <c r="A145" s="404" t="s">
        <v>148</v>
      </c>
      <c r="B145" s="117" t="s">
        <v>68</v>
      </c>
      <c r="F145" s="136">
        <v>102</v>
      </c>
      <c r="G145" s="136">
        <v>150</v>
      </c>
      <c r="H145" s="346">
        <v>6551.9983140720569</v>
      </c>
      <c r="I145" s="346">
        <v>2647.1620204759975</v>
      </c>
      <c r="J145" s="346">
        <v>0</v>
      </c>
      <c r="K145" s="346">
        <v>9199.1603345480544</v>
      </c>
    </row>
    <row r="146" spans="1:11" ht="18" customHeight="1" x14ac:dyDescent="0.4">
      <c r="A146" s="404" t="s">
        <v>150</v>
      </c>
      <c r="B146" s="117" t="s">
        <v>69</v>
      </c>
      <c r="F146" s="136">
        <v>309</v>
      </c>
      <c r="G146" s="136">
        <v>240</v>
      </c>
      <c r="H146" s="346">
        <v>16229.872449359731</v>
      </c>
      <c r="I146" s="346">
        <v>6557.2516789024203</v>
      </c>
      <c r="J146" s="346">
        <v>0</v>
      </c>
      <c r="K146" s="346">
        <v>22787.124128262149</v>
      </c>
    </row>
    <row r="147" spans="1:11" ht="18" customHeight="1" x14ac:dyDescent="0.4">
      <c r="A147" s="404" t="s">
        <v>153</v>
      </c>
      <c r="B147" s="117" t="s">
        <v>61</v>
      </c>
      <c r="F147" s="560">
        <v>2160</v>
      </c>
      <c r="G147" s="560">
        <v>0</v>
      </c>
      <c r="H147" s="621">
        <v>91309.490698649868</v>
      </c>
      <c r="I147" s="621">
        <v>36891.19018351048</v>
      </c>
      <c r="J147" s="621">
        <v>0</v>
      </c>
      <c r="K147" s="621">
        <v>128200.68088216035</v>
      </c>
    </row>
    <row r="148" spans="1:11" ht="18" customHeight="1" x14ac:dyDescent="0.4">
      <c r="A148" s="404" t="s">
        <v>155</v>
      </c>
      <c r="B148" s="117" t="s">
        <v>70</v>
      </c>
      <c r="F148" s="137" t="s">
        <v>73</v>
      </c>
      <c r="G148" s="137" t="s">
        <v>73</v>
      </c>
      <c r="H148" s="347" t="s">
        <v>73</v>
      </c>
      <c r="I148" s="347" t="s">
        <v>73</v>
      </c>
      <c r="J148" s="347" t="s">
        <v>73</v>
      </c>
      <c r="K148" s="346">
        <v>446565.16</v>
      </c>
    </row>
    <row r="149" spans="1:11" ht="18" customHeight="1" x14ac:dyDescent="0.4">
      <c r="A149" s="404" t="s">
        <v>163</v>
      </c>
      <c r="B149" s="117" t="s">
        <v>71</v>
      </c>
      <c r="F149" s="560">
        <v>0</v>
      </c>
      <c r="G149" s="560">
        <v>0</v>
      </c>
      <c r="H149" s="621">
        <v>0</v>
      </c>
      <c r="I149" s="621">
        <v>0</v>
      </c>
      <c r="J149" s="621">
        <v>0</v>
      </c>
      <c r="K149" s="621">
        <v>0</v>
      </c>
    </row>
    <row r="150" spans="1:11" ht="18" customHeight="1" x14ac:dyDescent="0.4">
      <c r="A150" s="404" t="s">
        <v>185</v>
      </c>
      <c r="B150" s="117" t="s">
        <v>183</v>
      </c>
      <c r="F150" s="137" t="s">
        <v>73</v>
      </c>
      <c r="G150" s="137" t="s">
        <v>73</v>
      </c>
      <c r="H150" s="621">
        <v>967520</v>
      </c>
      <c r="I150" s="621">
        <v>0</v>
      </c>
      <c r="J150" s="621">
        <v>804326</v>
      </c>
      <c r="K150" s="621">
        <v>163194</v>
      </c>
    </row>
    <row r="151" spans="1:11" ht="18" customHeight="1" x14ac:dyDescent="0.4">
      <c r="B151" s="117"/>
      <c r="F151" s="142"/>
      <c r="G151" s="142"/>
      <c r="H151" s="338"/>
      <c r="I151" s="338"/>
      <c r="J151" s="338"/>
      <c r="K151" s="338"/>
    </row>
    <row r="152" spans="1:11" ht="18" customHeight="1" x14ac:dyDescent="0.4">
      <c r="A152" s="403" t="s">
        <v>165</v>
      </c>
      <c r="B152" s="117" t="s">
        <v>26</v>
      </c>
      <c r="F152" s="143">
        <v>18905.544157362812</v>
      </c>
      <c r="G152" s="143">
        <v>22327</v>
      </c>
      <c r="H152" s="348">
        <v>7787927.6827904051</v>
      </c>
      <c r="I152" s="348">
        <v>3852099.7587391757</v>
      </c>
      <c r="J152" s="348">
        <v>825666</v>
      </c>
      <c r="K152" s="348">
        <v>11260926.601529578</v>
      </c>
    </row>
    <row r="154" spans="1:11" ht="18" customHeight="1" x14ac:dyDescent="0.4">
      <c r="A154" s="403" t="s">
        <v>168</v>
      </c>
      <c r="B154" s="117" t="s">
        <v>28</v>
      </c>
      <c r="F154" s="631">
        <v>0.2801862347750767</v>
      </c>
    </row>
    <row r="155" spans="1:11" ht="18" customHeight="1" x14ac:dyDescent="0.4">
      <c r="A155" s="403" t="s">
        <v>169</v>
      </c>
      <c r="B155" s="117" t="s">
        <v>72</v>
      </c>
      <c r="F155" s="631">
        <v>-21.671438988829184</v>
      </c>
      <c r="G155" s="117"/>
    </row>
    <row r="156" spans="1:11" ht="18" customHeight="1" x14ac:dyDescent="0.4">
      <c r="G156" s="117"/>
    </row>
    <row r="157" spans="1:11" ht="38.25" customHeight="1" x14ac:dyDescent="0.35"/>
  </sheetData>
  <mergeCells count="35">
    <mergeCell ref="B58:D58"/>
    <mergeCell ref="B62:D62"/>
    <mergeCell ref="B53:D53"/>
    <mergeCell ref="B54:D54"/>
    <mergeCell ref="B55:D55"/>
    <mergeCell ref="B56:D56"/>
    <mergeCell ref="B57:D57"/>
    <mergeCell ref="B135:D135"/>
    <mergeCell ref="B90:C90"/>
    <mergeCell ref="B94:D94"/>
    <mergeCell ref="C7:G7"/>
    <mergeCell ref="C9:G9"/>
    <mergeCell ref="C10:G10"/>
    <mergeCell ref="C11:G11"/>
    <mergeCell ref="B13:H13"/>
    <mergeCell ref="B30:D30"/>
    <mergeCell ref="B31:D31"/>
    <mergeCell ref="B34:D34"/>
    <mergeCell ref="B45:D45"/>
    <mergeCell ref="B46:D46"/>
    <mergeCell ref="B47:D47"/>
    <mergeCell ref="B52:C52"/>
    <mergeCell ref="B106:D106"/>
    <mergeCell ref="D2:H2"/>
    <mergeCell ref="C5:G5"/>
    <mergeCell ref="C6:G6"/>
    <mergeCell ref="B41:C41"/>
    <mergeCell ref="B44:D44"/>
    <mergeCell ref="B133:D133"/>
    <mergeCell ref="B134:D134"/>
    <mergeCell ref="B95:D95"/>
    <mergeCell ref="B96:D96"/>
    <mergeCell ref="B103:C103"/>
    <mergeCell ref="B104:D104"/>
    <mergeCell ref="B105:D105"/>
  </mergeCells>
  <hyperlinks>
    <hyperlink ref="C11" r:id="rId1"/>
  </hyperlinks>
  <pageMargins left="0.75" right="0.75" top="1" bottom="1" header="0.5" footer="0.5"/>
  <pageSetup scale="59" fitToHeight="0" orientation="landscape" horizontalDpi="1200" verticalDpi="1200" r:id="rId2"/>
  <headerFooter alignWithMargins="0"/>
  <rowBreaks count="5" manualBreakCount="5">
    <brk id="37" max="16383" man="1"/>
    <brk id="65" max="16383" man="1"/>
    <brk id="83" max="16383" man="1"/>
    <brk id="109" max="16383" man="1"/>
    <brk id="12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156"/>
  <sheetViews>
    <sheetView showGridLines="0" zoomScale="80" zoomScaleNormal="80" zoomScaleSheetLayoutView="70" workbookViewId="0">
      <selection activeCell="I16" sqref="I16"/>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1017" t="s">
        <v>423</v>
      </c>
      <c r="D5" s="962"/>
      <c r="E5" s="962"/>
      <c r="F5" s="962"/>
      <c r="G5" s="963"/>
    </row>
    <row r="6" spans="1:11" ht="18" customHeight="1" x14ac:dyDescent="0.4">
      <c r="B6" s="183" t="s">
        <v>3</v>
      </c>
      <c r="C6" s="1064" t="s">
        <v>464</v>
      </c>
      <c r="D6" s="965"/>
      <c r="E6" s="965"/>
      <c r="F6" s="965"/>
      <c r="G6" s="966"/>
    </row>
    <row r="7" spans="1:11" ht="18" customHeight="1" x14ac:dyDescent="0.4">
      <c r="B7" s="183" t="s">
        <v>4</v>
      </c>
      <c r="C7" s="1014">
        <v>2491</v>
      </c>
      <c r="D7" s="1015"/>
      <c r="E7" s="1015"/>
      <c r="F7" s="1015"/>
      <c r="G7" s="1016"/>
    </row>
    <row r="9" spans="1:11" ht="18" customHeight="1" x14ac:dyDescent="0.4">
      <c r="B9" s="183" t="s">
        <v>1</v>
      </c>
      <c r="C9" s="1017" t="s">
        <v>424</v>
      </c>
      <c r="D9" s="962"/>
      <c r="E9" s="962"/>
      <c r="F9" s="962"/>
      <c r="G9" s="963"/>
    </row>
    <row r="10" spans="1:11" ht="18" customHeight="1" x14ac:dyDescent="0.4">
      <c r="B10" s="183" t="s">
        <v>2</v>
      </c>
      <c r="C10" s="1018" t="s">
        <v>465</v>
      </c>
      <c r="D10" s="971"/>
      <c r="E10" s="971"/>
      <c r="F10" s="971"/>
      <c r="G10" s="972"/>
    </row>
    <row r="11" spans="1:11" ht="18" customHeight="1" x14ac:dyDescent="0.4">
      <c r="B11" s="183" t="s">
        <v>32</v>
      </c>
      <c r="C11" s="1017" t="s">
        <v>507</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8844618.7821653336</v>
      </c>
      <c r="I18" s="144">
        <v>0</v>
      </c>
      <c r="J18" s="556">
        <v>7352771.8042939361</v>
      </c>
      <c r="K18" s="557">
        <f>(H18+I18)-J18</f>
        <v>1491846.9778713975</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3785</v>
      </c>
      <c r="G21" s="555"/>
      <c r="H21" s="556">
        <v>217440</v>
      </c>
      <c r="I21" s="144">
        <f t="shared" ref="I21:I34" si="0">H21*F$114</f>
        <v>159819.36805804892</v>
      </c>
      <c r="J21" s="556">
        <v>40000</v>
      </c>
      <c r="K21" s="557">
        <f t="shared" ref="K21:K34" si="1">(H21+I21)-J21</f>
        <v>337259.36805804889</v>
      </c>
    </row>
    <row r="22" spans="1:11" ht="18" customHeight="1" x14ac:dyDescent="0.4">
      <c r="A22" s="183" t="s">
        <v>76</v>
      </c>
      <c r="B22" s="189" t="s">
        <v>6</v>
      </c>
      <c r="F22" s="555"/>
      <c r="G22" s="555"/>
      <c r="H22" s="556">
        <v>75300</v>
      </c>
      <c r="I22" s="144">
        <f t="shared" si="0"/>
        <v>55345.835240853034</v>
      </c>
      <c r="J22" s="556"/>
      <c r="K22" s="557">
        <f t="shared" si="1"/>
        <v>130645.83524085303</v>
      </c>
    </row>
    <row r="23" spans="1:11" ht="18" customHeight="1" x14ac:dyDescent="0.4">
      <c r="A23" s="183" t="s">
        <v>77</v>
      </c>
      <c r="B23" s="189" t="s">
        <v>43</v>
      </c>
      <c r="F23" s="555"/>
      <c r="G23" s="555"/>
      <c r="H23" s="556"/>
      <c r="I23" s="144">
        <f t="shared" si="0"/>
        <v>0</v>
      </c>
      <c r="J23" s="556"/>
      <c r="K23" s="557">
        <f t="shared" si="1"/>
        <v>0</v>
      </c>
    </row>
    <row r="24" spans="1:11" ht="18" customHeight="1" x14ac:dyDescent="0.4">
      <c r="A24" s="183" t="s">
        <v>78</v>
      </c>
      <c r="B24" s="189" t="s">
        <v>44</v>
      </c>
      <c r="F24" s="555"/>
      <c r="G24" s="555"/>
      <c r="H24" s="556"/>
      <c r="I24" s="144">
        <f t="shared" si="0"/>
        <v>0</v>
      </c>
      <c r="J24" s="556"/>
      <c r="K24" s="557">
        <f t="shared" si="1"/>
        <v>0</v>
      </c>
    </row>
    <row r="25" spans="1:11" ht="18" customHeight="1" x14ac:dyDescent="0.4">
      <c r="A25" s="183" t="s">
        <v>79</v>
      </c>
      <c r="B25" s="189" t="s">
        <v>5</v>
      </c>
      <c r="F25" s="555"/>
      <c r="G25" s="555">
        <v>13</v>
      </c>
      <c r="H25" s="556">
        <v>6436</v>
      </c>
      <c r="I25" s="144">
        <f t="shared" si="0"/>
        <v>4730.4886535209844</v>
      </c>
      <c r="J25" s="556"/>
      <c r="K25" s="557">
        <f t="shared" si="1"/>
        <v>11166.488653520984</v>
      </c>
    </row>
    <row r="26" spans="1:11" ht="18" customHeight="1" x14ac:dyDescent="0.4">
      <c r="A26" s="183" t="s">
        <v>80</v>
      </c>
      <c r="B26" s="189" t="s">
        <v>45</v>
      </c>
      <c r="F26" s="555"/>
      <c r="G26" s="555"/>
      <c r="H26" s="556">
        <v>23563</v>
      </c>
      <c r="I26" s="144">
        <f t="shared" si="0"/>
        <v>17318.909904119788</v>
      </c>
      <c r="J26" s="556"/>
      <c r="K26" s="557">
        <f t="shared" si="1"/>
        <v>40881.909904119791</v>
      </c>
    </row>
    <row r="27" spans="1:11" ht="18" customHeight="1" x14ac:dyDescent="0.4">
      <c r="A27" s="183" t="s">
        <v>81</v>
      </c>
      <c r="B27" s="189" t="s">
        <v>498</v>
      </c>
      <c r="F27" s="555"/>
      <c r="G27" s="555"/>
      <c r="H27" s="556"/>
      <c r="I27" s="144">
        <f t="shared" si="0"/>
        <v>0</v>
      </c>
      <c r="J27" s="556"/>
      <c r="K27" s="557">
        <f t="shared" si="1"/>
        <v>0</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5">
        <v>8588</v>
      </c>
      <c r="G29" s="555"/>
      <c r="H29" s="556">
        <v>761566</v>
      </c>
      <c r="I29" s="144">
        <f t="shared" si="0"/>
        <v>559754.40054495994</v>
      </c>
      <c r="J29" s="556">
        <v>56250</v>
      </c>
      <c r="K29" s="557">
        <f t="shared" si="1"/>
        <v>1265070.4005449601</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12373</v>
      </c>
      <c r="G36" s="560">
        <f t="shared" si="2"/>
        <v>13</v>
      </c>
      <c r="H36" s="560">
        <f t="shared" si="2"/>
        <v>1084305</v>
      </c>
      <c r="I36" s="557">
        <f t="shared" si="2"/>
        <v>796969.00240150269</v>
      </c>
      <c r="J36" s="557">
        <f t="shared" si="2"/>
        <v>96250</v>
      </c>
      <c r="K36" s="557">
        <f t="shared" si="2"/>
        <v>1785024.0024015028</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176947</v>
      </c>
      <c r="G40" s="555"/>
      <c r="H40" s="556">
        <v>8901320</v>
      </c>
      <c r="I40" s="144">
        <v>0</v>
      </c>
      <c r="J40" s="556"/>
      <c r="K40" s="557">
        <f t="shared" ref="K40:K47" si="3">(H40+I40)-J40</f>
        <v>8901320</v>
      </c>
    </row>
    <row r="41" spans="1:11" ht="18" customHeight="1" x14ac:dyDescent="0.4">
      <c r="A41" s="183" t="s">
        <v>88</v>
      </c>
      <c r="B41" s="956" t="s">
        <v>50</v>
      </c>
      <c r="C41" s="957"/>
      <c r="F41" s="555"/>
      <c r="G41" s="555"/>
      <c r="H41" s="556"/>
      <c r="I41" s="144">
        <v>0</v>
      </c>
      <c r="J41" s="556"/>
      <c r="K41" s="557">
        <f t="shared" si="3"/>
        <v>0</v>
      </c>
    </row>
    <row r="42" spans="1:11" ht="18" customHeight="1" x14ac:dyDescent="0.4">
      <c r="A42" s="183" t="s">
        <v>89</v>
      </c>
      <c r="B42" s="116" t="s">
        <v>11</v>
      </c>
      <c r="F42" s="555"/>
      <c r="G42" s="555"/>
      <c r="H42" s="556"/>
      <c r="I42" s="144">
        <v>0</v>
      </c>
      <c r="J42" s="556"/>
      <c r="K42" s="557">
        <f t="shared" si="3"/>
        <v>0</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176947</v>
      </c>
      <c r="G49" s="563">
        <f t="shared" si="4"/>
        <v>0</v>
      </c>
      <c r="H49" s="557">
        <f t="shared" si="4"/>
        <v>8901320</v>
      </c>
      <c r="I49" s="557">
        <f t="shared" si="4"/>
        <v>0</v>
      </c>
      <c r="J49" s="557">
        <f t="shared" si="4"/>
        <v>0</v>
      </c>
      <c r="K49" s="557">
        <f t="shared" si="4"/>
        <v>8901320</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336</v>
      </c>
      <c r="C53" s="979"/>
      <c r="D53" s="975"/>
      <c r="F53" s="555"/>
      <c r="G53" s="555"/>
      <c r="H53" s="556">
        <v>0</v>
      </c>
      <c r="I53" s="144">
        <f t="shared" ref="I53:I56" si="5">H53*F$114</f>
        <v>0</v>
      </c>
      <c r="J53" s="556"/>
      <c r="K53" s="557">
        <f t="shared" ref="K53:K62" si="6">(H53+I53)-J53</f>
        <v>0</v>
      </c>
    </row>
    <row r="54" spans="1:11" ht="18" customHeight="1" x14ac:dyDescent="0.4">
      <c r="A54" s="183" t="s">
        <v>93</v>
      </c>
      <c r="B54" s="503" t="s">
        <v>372</v>
      </c>
      <c r="C54" s="504"/>
      <c r="D54" s="505"/>
      <c r="F54" s="555"/>
      <c r="G54" s="555"/>
      <c r="H54" s="556">
        <v>253449</v>
      </c>
      <c r="I54" s="144">
        <f t="shared" si="5"/>
        <v>186286.14337262895</v>
      </c>
      <c r="J54" s="556">
        <v>108206</v>
      </c>
      <c r="K54" s="557">
        <f t="shared" si="6"/>
        <v>331529.14337262895</v>
      </c>
    </row>
    <row r="55" spans="1:11" ht="18" customHeight="1" x14ac:dyDescent="0.4">
      <c r="A55" s="183" t="s">
        <v>94</v>
      </c>
      <c r="B55" s="980" t="s">
        <v>337</v>
      </c>
      <c r="C55" s="974"/>
      <c r="D55" s="975"/>
      <c r="F55" s="555"/>
      <c r="G55" s="555"/>
      <c r="H55" s="556">
        <v>1120</v>
      </c>
      <c r="I55" s="144">
        <f t="shared" si="5"/>
        <v>823.2049863181328</v>
      </c>
      <c r="J55" s="556"/>
      <c r="K55" s="557">
        <f t="shared" si="6"/>
        <v>1943.2049863181328</v>
      </c>
    </row>
    <row r="56" spans="1:11" ht="18" customHeight="1" x14ac:dyDescent="0.4">
      <c r="A56" s="183" t="s">
        <v>95</v>
      </c>
      <c r="B56" s="980" t="s">
        <v>338</v>
      </c>
      <c r="C56" s="974"/>
      <c r="D56" s="975"/>
      <c r="F56" s="555">
        <v>3045</v>
      </c>
      <c r="G56" s="555">
        <v>1927</v>
      </c>
      <c r="H56" s="556">
        <v>1299838</v>
      </c>
      <c r="I56" s="144">
        <f t="shared" si="5"/>
        <v>955386.71696945454</v>
      </c>
      <c r="J56" s="556">
        <v>503137</v>
      </c>
      <c r="K56" s="557">
        <f t="shared" si="6"/>
        <v>1752087.7169694547</v>
      </c>
    </row>
    <row r="57" spans="1:11" ht="18" customHeight="1" x14ac:dyDescent="0.4">
      <c r="A57" s="183" t="s">
        <v>96</v>
      </c>
      <c r="B57" s="980" t="s">
        <v>339</v>
      </c>
      <c r="C57" s="974"/>
      <c r="D57" s="975"/>
      <c r="F57" s="555"/>
      <c r="G57" s="555"/>
      <c r="H57" s="556">
        <v>2090448</v>
      </c>
      <c r="I57" s="144">
        <v>0</v>
      </c>
      <c r="J57" s="556"/>
      <c r="K57" s="557">
        <f t="shared" si="6"/>
        <v>2090448</v>
      </c>
    </row>
    <row r="58" spans="1:11" ht="18" customHeight="1" x14ac:dyDescent="0.4">
      <c r="A58" s="183" t="s">
        <v>97</v>
      </c>
      <c r="B58" s="506" t="s">
        <v>466</v>
      </c>
      <c r="C58" s="504"/>
      <c r="D58" s="505"/>
      <c r="F58" s="555"/>
      <c r="G58" s="555"/>
      <c r="H58" s="556">
        <v>11198421</v>
      </c>
      <c r="I58" s="144">
        <v>0</v>
      </c>
      <c r="J58" s="556">
        <v>5423278</v>
      </c>
      <c r="K58" s="557">
        <f t="shared" si="6"/>
        <v>5775143</v>
      </c>
    </row>
    <row r="59" spans="1:11" ht="18" customHeight="1" x14ac:dyDescent="0.4">
      <c r="A59" s="183" t="s">
        <v>98</v>
      </c>
      <c r="B59" s="973" t="s">
        <v>467</v>
      </c>
      <c r="C59" s="974"/>
      <c r="D59" s="975"/>
      <c r="F59" s="555"/>
      <c r="G59" s="555"/>
      <c r="H59" s="556">
        <v>10846824</v>
      </c>
      <c r="I59" s="144">
        <v>0</v>
      </c>
      <c r="J59" s="556">
        <v>6138224</v>
      </c>
      <c r="K59" s="557">
        <f t="shared" si="6"/>
        <v>4708600</v>
      </c>
    </row>
    <row r="60" spans="1:11" ht="18" customHeight="1" x14ac:dyDescent="0.4">
      <c r="A60" s="183" t="s">
        <v>99</v>
      </c>
      <c r="B60" s="506" t="s">
        <v>468</v>
      </c>
      <c r="C60" s="504"/>
      <c r="D60" s="505"/>
      <c r="F60" s="555"/>
      <c r="G60" s="555"/>
      <c r="H60" s="556">
        <v>1053171</v>
      </c>
      <c r="I60" s="144">
        <v>0</v>
      </c>
      <c r="J60" s="556">
        <v>726757</v>
      </c>
      <c r="K60" s="557">
        <f t="shared" si="6"/>
        <v>326414</v>
      </c>
    </row>
    <row r="61" spans="1:11" ht="18" customHeight="1" x14ac:dyDescent="0.4">
      <c r="A61" s="183" t="s">
        <v>100</v>
      </c>
      <c r="B61" s="506" t="s">
        <v>508</v>
      </c>
      <c r="C61" s="504"/>
      <c r="D61" s="505"/>
      <c r="F61" s="555"/>
      <c r="G61" s="555"/>
      <c r="H61" s="556">
        <v>1281367</v>
      </c>
      <c r="I61" s="144">
        <v>0</v>
      </c>
      <c r="J61" s="556">
        <v>578979</v>
      </c>
      <c r="K61" s="557">
        <f t="shared" si="6"/>
        <v>702388</v>
      </c>
    </row>
    <row r="62" spans="1:11" ht="18" customHeight="1" x14ac:dyDescent="0.4">
      <c r="A62" s="183" t="s">
        <v>101</v>
      </c>
      <c r="B62" s="980"/>
      <c r="C62" s="974"/>
      <c r="D62" s="975"/>
      <c r="F62" s="555"/>
      <c r="G62" s="555"/>
      <c r="H62" s="556"/>
      <c r="I62" s="144">
        <v>0</v>
      </c>
      <c r="J62" s="556"/>
      <c r="K62" s="557">
        <f t="shared" si="6"/>
        <v>0</v>
      </c>
    </row>
    <row r="63" spans="1:11" ht="18" customHeight="1" x14ac:dyDescent="0.4">
      <c r="A63" s="183"/>
      <c r="I63" s="140"/>
    </row>
    <row r="64" spans="1:11" ht="18" customHeight="1" x14ac:dyDescent="0.4">
      <c r="A64" s="183" t="s">
        <v>144</v>
      </c>
      <c r="B64" s="117" t="s">
        <v>145</v>
      </c>
      <c r="E64" s="117" t="s">
        <v>7</v>
      </c>
      <c r="F64" s="560">
        <f t="shared" ref="F64:K64" si="7">SUM(F53:F62)</f>
        <v>3045</v>
      </c>
      <c r="G64" s="560">
        <f t="shared" si="7"/>
        <v>1927</v>
      </c>
      <c r="H64" s="557">
        <f t="shared" si="7"/>
        <v>28024638</v>
      </c>
      <c r="I64" s="557">
        <f t="shared" si="7"/>
        <v>1142496.0653284015</v>
      </c>
      <c r="J64" s="557">
        <f t="shared" si="7"/>
        <v>13478581</v>
      </c>
      <c r="K64" s="557">
        <f t="shared" si="7"/>
        <v>15688553.065328401</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v>5464</v>
      </c>
      <c r="G68" s="564"/>
      <c r="H68" s="564">
        <v>251664</v>
      </c>
      <c r="I68" s="144">
        <f t="shared" ref="I68" si="8">H68*F$114</f>
        <v>184974.16042568444</v>
      </c>
      <c r="J68" s="564">
        <v>70519</v>
      </c>
      <c r="K68" s="557">
        <f>(H68+I68)-J68</f>
        <v>366119.16042568441</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9">SUM(F68:F72)</f>
        <v>5464</v>
      </c>
      <c r="G74" s="566">
        <f t="shared" si="9"/>
        <v>0</v>
      </c>
      <c r="H74" s="566">
        <f t="shared" si="9"/>
        <v>251664</v>
      </c>
      <c r="I74" s="145">
        <f t="shared" si="9"/>
        <v>184974.16042568444</v>
      </c>
      <c r="J74" s="566">
        <f t="shared" si="9"/>
        <v>70519</v>
      </c>
      <c r="K74" s="567">
        <f t="shared" si="9"/>
        <v>366119.16042568441</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540207</v>
      </c>
      <c r="I77" s="144">
        <v>0</v>
      </c>
      <c r="J77" s="556"/>
      <c r="K77" s="557">
        <f>(H77+I77)-J77</f>
        <v>540207</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c r="G79" s="555"/>
      <c r="H79" s="556"/>
      <c r="I79" s="144">
        <v>0</v>
      </c>
      <c r="J79" s="556"/>
      <c r="K79" s="557">
        <f>(H79+I79)-J79</f>
        <v>0</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10">SUM(F77:F80)</f>
        <v>0</v>
      </c>
      <c r="G82" s="566">
        <f t="shared" si="10"/>
        <v>0</v>
      </c>
      <c r="H82" s="567">
        <f t="shared" si="10"/>
        <v>540207</v>
      </c>
      <c r="I82" s="567">
        <f t="shared" si="10"/>
        <v>0</v>
      </c>
      <c r="J82" s="567">
        <f t="shared" si="10"/>
        <v>0</v>
      </c>
      <c r="K82" s="567">
        <f t="shared" si="10"/>
        <v>540207</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v>596201</v>
      </c>
      <c r="I86" s="144">
        <v>0</v>
      </c>
      <c r="J86" s="556">
        <v>34543</v>
      </c>
      <c r="K86" s="557">
        <f t="shared" ref="K86:K96" si="11">(H86+I86)-J86</f>
        <v>561658</v>
      </c>
    </row>
    <row r="87" spans="1:11" ht="18" customHeight="1" x14ac:dyDescent="0.4">
      <c r="A87" s="183" t="s">
        <v>114</v>
      </c>
      <c r="B87" s="116" t="s">
        <v>14</v>
      </c>
      <c r="F87" s="555"/>
      <c r="G87" s="555"/>
      <c r="H87" s="556"/>
      <c r="I87" s="144">
        <f t="shared" ref="I87:I96" si="12">H87*F$114</f>
        <v>0</v>
      </c>
      <c r="J87" s="556"/>
      <c r="K87" s="557">
        <f t="shared" si="11"/>
        <v>0</v>
      </c>
    </row>
    <row r="88" spans="1:11" ht="18" customHeight="1" x14ac:dyDescent="0.4">
      <c r="A88" s="183" t="s">
        <v>115</v>
      </c>
      <c r="B88" s="116" t="s">
        <v>116</v>
      </c>
      <c r="F88" s="555"/>
      <c r="G88" s="555"/>
      <c r="H88" s="556">
        <v>149077</v>
      </c>
      <c r="I88" s="144">
        <f t="shared" si="12"/>
        <v>109572.25870120381</v>
      </c>
      <c r="J88" s="556">
        <v>25000</v>
      </c>
      <c r="K88" s="557">
        <f t="shared" si="11"/>
        <v>233649.2587012038</v>
      </c>
    </row>
    <row r="89" spans="1:11" ht="18" customHeight="1" x14ac:dyDescent="0.4">
      <c r="A89" s="183" t="s">
        <v>117</v>
      </c>
      <c r="B89" s="116" t="s">
        <v>58</v>
      </c>
      <c r="F89" s="555"/>
      <c r="G89" s="555"/>
      <c r="H89" s="556"/>
      <c r="I89" s="144">
        <f t="shared" si="12"/>
        <v>0</v>
      </c>
      <c r="J89" s="556"/>
      <c r="K89" s="557">
        <f t="shared" si="11"/>
        <v>0</v>
      </c>
    </row>
    <row r="90" spans="1:11" ht="18" customHeight="1" x14ac:dyDescent="0.4">
      <c r="A90" s="183" t="s">
        <v>118</v>
      </c>
      <c r="B90" s="956" t="s">
        <v>59</v>
      </c>
      <c r="C90" s="957"/>
      <c r="F90" s="555"/>
      <c r="G90" s="555"/>
      <c r="H90" s="556"/>
      <c r="I90" s="144">
        <f t="shared" si="12"/>
        <v>0</v>
      </c>
      <c r="J90" s="556"/>
      <c r="K90" s="557">
        <f t="shared" si="11"/>
        <v>0</v>
      </c>
    </row>
    <row r="91" spans="1:11" ht="18" customHeight="1" x14ac:dyDescent="0.4">
      <c r="A91" s="183" t="s">
        <v>119</v>
      </c>
      <c r="B91" s="116" t="s">
        <v>60</v>
      </c>
      <c r="F91" s="555"/>
      <c r="G91" s="555"/>
      <c r="H91" s="556"/>
      <c r="I91" s="144">
        <f t="shared" si="12"/>
        <v>0</v>
      </c>
      <c r="J91" s="556"/>
      <c r="K91" s="557">
        <f t="shared" si="11"/>
        <v>0</v>
      </c>
    </row>
    <row r="92" spans="1:11" ht="18" customHeight="1" x14ac:dyDescent="0.4">
      <c r="A92" s="183" t="s">
        <v>120</v>
      </c>
      <c r="B92" s="116" t="s">
        <v>121</v>
      </c>
      <c r="F92" s="134"/>
      <c r="G92" s="134"/>
      <c r="H92" s="135"/>
      <c r="I92" s="144">
        <f t="shared" si="12"/>
        <v>0</v>
      </c>
      <c r="J92" s="135"/>
      <c r="K92" s="557">
        <f t="shared" si="11"/>
        <v>0</v>
      </c>
    </row>
    <row r="93" spans="1:11" ht="18" customHeight="1" x14ac:dyDescent="0.4">
      <c r="A93" s="183" t="s">
        <v>122</v>
      </c>
      <c r="B93" s="116" t="s">
        <v>123</v>
      </c>
      <c r="F93" s="555"/>
      <c r="G93" s="555"/>
      <c r="H93" s="556"/>
      <c r="I93" s="144">
        <f t="shared" si="12"/>
        <v>0</v>
      </c>
      <c r="J93" s="556"/>
      <c r="K93" s="557">
        <f t="shared" si="11"/>
        <v>0</v>
      </c>
    </row>
    <row r="94" spans="1:11" ht="18" customHeight="1" x14ac:dyDescent="0.4">
      <c r="A94" s="183" t="s">
        <v>124</v>
      </c>
      <c r="B94" s="980"/>
      <c r="C94" s="974"/>
      <c r="D94" s="975"/>
      <c r="F94" s="555"/>
      <c r="G94" s="555"/>
      <c r="H94" s="556"/>
      <c r="I94" s="144">
        <f t="shared" si="12"/>
        <v>0</v>
      </c>
      <c r="J94" s="556"/>
      <c r="K94" s="557">
        <f t="shared" si="11"/>
        <v>0</v>
      </c>
    </row>
    <row r="95" spans="1:11" ht="18" customHeight="1" x14ac:dyDescent="0.4">
      <c r="A95" s="183" t="s">
        <v>125</v>
      </c>
      <c r="B95" s="980"/>
      <c r="C95" s="974"/>
      <c r="D95" s="975"/>
      <c r="F95" s="555"/>
      <c r="G95" s="555"/>
      <c r="H95" s="556"/>
      <c r="I95" s="144">
        <f t="shared" si="12"/>
        <v>0</v>
      </c>
      <c r="J95" s="556"/>
      <c r="K95" s="557">
        <f t="shared" si="11"/>
        <v>0</v>
      </c>
    </row>
    <row r="96" spans="1:11" ht="18" customHeight="1" x14ac:dyDescent="0.4">
      <c r="A96" s="183" t="s">
        <v>126</v>
      </c>
      <c r="B96" s="980"/>
      <c r="C96" s="974"/>
      <c r="D96" s="975"/>
      <c r="F96" s="555"/>
      <c r="G96" s="555"/>
      <c r="H96" s="556"/>
      <c r="I96" s="144">
        <f t="shared" si="12"/>
        <v>0</v>
      </c>
      <c r="J96" s="556"/>
      <c r="K96" s="557">
        <f t="shared" si="11"/>
        <v>0</v>
      </c>
    </row>
    <row r="97" spans="1:11" ht="18" customHeight="1" x14ac:dyDescent="0.4">
      <c r="A97" s="183"/>
      <c r="B97" s="116"/>
    </row>
    <row r="98" spans="1:11" ht="18" customHeight="1" x14ac:dyDescent="0.4">
      <c r="A98" s="120" t="s">
        <v>150</v>
      </c>
      <c r="B98" s="117" t="s">
        <v>151</v>
      </c>
      <c r="E98" s="117" t="s">
        <v>7</v>
      </c>
      <c r="F98" s="560">
        <f t="shared" ref="F98:K98" si="13">SUM(F86:F96)</f>
        <v>0</v>
      </c>
      <c r="G98" s="560">
        <f t="shared" si="13"/>
        <v>0</v>
      </c>
      <c r="H98" s="560">
        <f t="shared" si="13"/>
        <v>745278</v>
      </c>
      <c r="I98" s="560">
        <f t="shared" si="13"/>
        <v>109572.25870120381</v>
      </c>
      <c r="J98" s="560">
        <f t="shared" si="13"/>
        <v>59543</v>
      </c>
      <c r="K98" s="560">
        <f t="shared" si="13"/>
        <v>795307.25870120386</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c r="G102" s="555"/>
      <c r="H102" s="556"/>
      <c r="I102" s="144">
        <f>H102*F$114</f>
        <v>0</v>
      </c>
      <c r="J102" s="556"/>
      <c r="K102" s="557">
        <f>(H102+I102)-J102</f>
        <v>0</v>
      </c>
    </row>
    <row r="103" spans="1:11" ht="18" customHeight="1" x14ac:dyDescent="0.4">
      <c r="A103" s="183" t="s">
        <v>132</v>
      </c>
      <c r="B103" s="956" t="s">
        <v>62</v>
      </c>
      <c r="C103" s="956"/>
      <c r="F103" s="555"/>
      <c r="G103" s="555"/>
      <c r="H103" s="556"/>
      <c r="I103" s="144">
        <f>H103*F$114</f>
        <v>0</v>
      </c>
      <c r="J103" s="556"/>
      <c r="K103" s="557">
        <f>(H103+I103)-J103</f>
        <v>0</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4">SUM(F102:F106)</f>
        <v>0</v>
      </c>
      <c r="G108" s="560">
        <f t="shared" si="14"/>
        <v>0</v>
      </c>
      <c r="H108" s="557">
        <f t="shared" si="14"/>
        <v>0</v>
      </c>
      <c r="I108" s="557">
        <f t="shared" si="14"/>
        <v>0</v>
      </c>
      <c r="J108" s="557">
        <f t="shared" si="14"/>
        <v>0</v>
      </c>
      <c r="K108" s="557">
        <f t="shared" si="14"/>
        <v>0</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23179252</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0.73500445206976139</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43570400</v>
      </c>
    </row>
    <row r="118" spans="1:6" ht="18" customHeight="1" x14ac:dyDescent="0.4">
      <c r="A118" s="183" t="s">
        <v>173</v>
      </c>
      <c r="B118" s="189" t="s">
        <v>18</v>
      </c>
      <c r="F118" s="556">
        <v>11138000</v>
      </c>
    </row>
    <row r="119" spans="1:6" ht="18" customHeight="1" x14ac:dyDescent="0.4">
      <c r="A119" s="183" t="s">
        <v>174</v>
      </c>
      <c r="B119" s="117" t="s">
        <v>19</v>
      </c>
      <c r="F119" s="567">
        <f>SUM(F117:F118)</f>
        <v>54708400</v>
      </c>
    </row>
    <row r="120" spans="1:6" ht="18" customHeight="1" x14ac:dyDescent="0.4">
      <c r="A120" s="183"/>
      <c r="B120" s="117"/>
    </row>
    <row r="121" spans="1:6" ht="18" customHeight="1" x14ac:dyDescent="0.4">
      <c r="A121" s="183" t="s">
        <v>167</v>
      </c>
      <c r="B121" s="117" t="s">
        <v>36</v>
      </c>
      <c r="F121" s="556">
        <v>448522000</v>
      </c>
    </row>
    <row r="122" spans="1:6" ht="18" customHeight="1" x14ac:dyDescent="0.4">
      <c r="A122" s="183"/>
    </row>
    <row r="123" spans="1:6" ht="18" customHeight="1" x14ac:dyDescent="0.4">
      <c r="A123" s="183" t="s">
        <v>175</v>
      </c>
      <c r="B123" s="117" t="s">
        <v>20</v>
      </c>
      <c r="F123" s="556">
        <v>-1680000</v>
      </c>
    </row>
    <row r="124" spans="1:6" ht="18" customHeight="1" x14ac:dyDescent="0.4">
      <c r="A124" s="183"/>
    </row>
    <row r="125" spans="1:6" ht="18" customHeight="1" x14ac:dyDescent="0.4">
      <c r="A125" s="183" t="s">
        <v>176</v>
      </c>
      <c r="B125" s="117" t="s">
        <v>21</v>
      </c>
      <c r="F125" s="556">
        <v>5812000</v>
      </c>
    </row>
    <row r="126" spans="1:6" ht="18" customHeight="1" x14ac:dyDescent="0.4">
      <c r="A126" s="183"/>
    </row>
    <row r="127" spans="1:6" ht="18" customHeight="1" x14ac:dyDescent="0.4">
      <c r="A127" s="183" t="s">
        <v>177</v>
      </c>
      <c r="B127" s="117" t="s">
        <v>22</v>
      </c>
      <c r="F127" s="556">
        <v>4132000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v>0</v>
      </c>
      <c r="I131" s="144">
        <v>0</v>
      </c>
      <c r="J131" s="556">
        <v>0</v>
      </c>
      <c r="K131" s="557">
        <f>(H131+I131)-J131</f>
        <v>0</v>
      </c>
    </row>
    <row r="132" spans="1:11" ht="18" customHeight="1" x14ac:dyDescent="0.4">
      <c r="A132" s="183" t="s">
        <v>159</v>
      </c>
      <c r="B132" s="189" t="s">
        <v>25</v>
      </c>
      <c r="F132" s="555"/>
      <c r="G132" s="555"/>
      <c r="H132" s="556">
        <v>0</v>
      </c>
      <c r="I132" s="144">
        <v>0</v>
      </c>
      <c r="J132" s="556">
        <v>0</v>
      </c>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5">SUM(F131:F135)</f>
        <v>0</v>
      </c>
      <c r="G137" s="560">
        <f t="shared" si="15"/>
        <v>0</v>
      </c>
      <c r="H137" s="557">
        <f t="shared" si="15"/>
        <v>0</v>
      </c>
      <c r="I137" s="557">
        <f t="shared" si="15"/>
        <v>0</v>
      </c>
      <c r="J137" s="557">
        <f t="shared" si="15"/>
        <v>0</v>
      </c>
      <c r="K137" s="557">
        <f t="shared" si="15"/>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6">F36</f>
        <v>12373</v>
      </c>
      <c r="G141" s="136">
        <f t="shared" si="16"/>
        <v>13</v>
      </c>
      <c r="H141" s="136">
        <f t="shared" si="16"/>
        <v>1084305</v>
      </c>
      <c r="I141" s="136">
        <f t="shared" si="16"/>
        <v>796969.00240150269</v>
      </c>
      <c r="J141" s="136">
        <f t="shared" si="16"/>
        <v>96250</v>
      </c>
      <c r="K141" s="136">
        <f t="shared" si="16"/>
        <v>1785024.0024015028</v>
      </c>
    </row>
    <row r="142" spans="1:11" ht="18" customHeight="1" x14ac:dyDescent="0.4">
      <c r="A142" s="183" t="s">
        <v>142</v>
      </c>
      <c r="B142" s="117" t="s">
        <v>65</v>
      </c>
      <c r="F142" s="136">
        <f t="shared" ref="F142:K142" si="17">F49</f>
        <v>176947</v>
      </c>
      <c r="G142" s="136">
        <f t="shared" si="17"/>
        <v>0</v>
      </c>
      <c r="H142" s="136">
        <f t="shared" si="17"/>
        <v>8901320</v>
      </c>
      <c r="I142" s="136">
        <f t="shared" si="17"/>
        <v>0</v>
      </c>
      <c r="J142" s="136">
        <f t="shared" si="17"/>
        <v>0</v>
      </c>
      <c r="K142" s="136">
        <f t="shared" si="17"/>
        <v>8901320</v>
      </c>
    </row>
    <row r="143" spans="1:11" ht="18" customHeight="1" x14ac:dyDescent="0.4">
      <c r="A143" s="183" t="s">
        <v>144</v>
      </c>
      <c r="B143" s="117" t="s">
        <v>66</v>
      </c>
      <c r="F143" s="136">
        <f t="shared" ref="F143:K143" si="18">F64</f>
        <v>3045</v>
      </c>
      <c r="G143" s="136">
        <f t="shared" si="18"/>
        <v>1927</v>
      </c>
      <c r="H143" s="136">
        <f t="shared" si="18"/>
        <v>28024638</v>
      </c>
      <c r="I143" s="136">
        <f t="shared" si="18"/>
        <v>1142496.0653284015</v>
      </c>
      <c r="J143" s="136">
        <f t="shared" si="18"/>
        <v>13478581</v>
      </c>
      <c r="K143" s="136">
        <f t="shared" si="18"/>
        <v>15688553.065328401</v>
      </c>
    </row>
    <row r="144" spans="1:11" ht="18" customHeight="1" x14ac:dyDescent="0.4">
      <c r="A144" s="183" t="s">
        <v>146</v>
      </c>
      <c r="B144" s="117" t="s">
        <v>67</v>
      </c>
      <c r="F144" s="136">
        <f t="shared" ref="F144:K144" si="19">F74</f>
        <v>5464</v>
      </c>
      <c r="G144" s="136">
        <f t="shared" si="19"/>
        <v>0</v>
      </c>
      <c r="H144" s="136">
        <f t="shared" si="19"/>
        <v>251664</v>
      </c>
      <c r="I144" s="136">
        <f t="shared" si="19"/>
        <v>184974.16042568444</v>
      </c>
      <c r="J144" s="136">
        <f t="shared" si="19"/>
        <v>70519</v>
      </c>
      <c r="K144" s="136">
        <f t="shared" si="19"/>
        <v>366119.16042568441</v>
      </c>
    </row>
    <row r="145" spans="1:11" ht="18" customHeight="1" x14ac:dyDescent="0.4">
      <c r="A145" s="183" t="s">
        <v>148</v>
      </c>
      <c r="B145" s="117" t="s">
        <v>68</v>
      </c>
      <c r="F145" s="136">
        <f t="shared" ref="F145:K145" si="20">F82</f>
        <v>0</v>
      </c>
      <c r="G145" s="136">
        <f t="shared" si="20"/>
        <v>0</v>
      </c>
      <c r="H145" s="136">
        <f t="shared" si="20"/>
        <v>540207</v>
      </c>
      <c r="I145" s="136">
        <f t="shared" si="20"/>
        <v>0</v>
      </c>
      <c r="J145" s="136">
        <f t="shared" si="20"/>
        <v>0</v>
      </c>
      <c r="K145" s="136">
        <f t="shared" si="20"/>
        <v>540207</v>
      </c>
    </row>
    <row r="146" spans="1:11" ht="18" customHeight="1" x14ac:dyDescent="0.4">
      <c r="A146" s="183" t="s">
        <v>150</v>
      </c>
      <c r="B146" s="117" t="s">
        <v>69</v>
      </c>
      <c r="F146" s="136">
        <f t="shared" ref="F146:K146" si="21">F98</f>
        <v>0</v>
      </c>
      <c r="G146" s="136">
        <f t="shared" si="21"/>
        <v>0</v>
      </c>
      <c r="H146" s="136">
        <f t="shared" si="21"/>
        <v>745278</v>
      </c>
      <c r="I146" s="136">
        <f t="shared" si="21"/>
        <v>109572.25870120381</v>
      </c>
      <c r="J146" s="136">
        <f t="shared" si="21"/>
        <v>59543</v>
      </c>
      <c r="K146" s="136">
        <f t="shared" si="21"/>
        <v>795307.25870120386</v>
      </c>
    </row>
    <row r="147" spans="1:11" ht="18" customHeight="1" x14ac:dyDescent="0.4">
      <c r="A147" s="183" t="s">
        <v>153</v>
      </c>
      <c r="B147" s="117" t="s">
        <v>61</v>
      </c>
      <c r="F147" s="560">
        <f t="shared" ref="F147:K147" si="22">F108</f>
        <v>0</v>
      </c>
      <c r="G147" s="560">
        <f t="shared" si="22"/>
        <v>0</v>
      </c>
      <c r="H147" s="560">
        <f t="shared" si="22"/>
        <v>0</v>
      </c>
      <c r="I147" s="560">
        <f t="shared" si="22"/>
        <v>0</v>
      </c>
      <c r="J147" s="560">
        <f t="shared" si="22"/>
        <v>0</v>
      </c>
      <c r="K147" s="560">
        <f t="shared" si="22"/>
        <v>0</v>
      </c>
    </row>
    <row r="148" spans="1:11" ht="18" customHeight="1" x14ac:dyDescent="0.4">
      <c r="A148" s="183" t="s">
        <v>155</v>
      </c>
      <c r="B148" s="117" t="s">
        <v>70</v>
      </c>
      <c r="F148" s="137" t="s">
        <v>73</v>
      </c>
      <c r="G148" s="137" t="s">
        <v>73</v>
      </c>
      <c r="H148" s="138" t="s">
        <v>73</v>
      </c>
      <c r="I148" s="138" t="s">
        <v>73</v>
      </c>
      <c r="J148" s="138" t="s">
        <v>73</v>
      </c>
      <c r="K148" s="133">
        <f>F111</f>
        <v>23179252</v>
      </c>
    </row>
    <row r="149" spans="1:11" ht="18" customHeight="1" x14ac:dyDescent="0.4">
      <c r="A149" s="183" t="s">
        <v>163</v>
      </c>
      <c r="B149" s="117" t="s">
        <v>71</v>
      </c>
      <c r="F149" s="560">
        <f t="shared" ref="F149:K149" si="23">F137</f>
        <v>0</v>
      </c>
      <c r="G149" s="560">
        <f t="shared" si="23"/>
        <v>0</v>
      </c>
      <c r="H149" s="560">
        <f t="shared" si="23"/>
        <v>0</v>
      </c>
      <c r="I149" s="560">
        <f t="shared" si="23"/>
        <v>0</v>
      </c>
      <c r="J149" s="560">
        <f t="shared" si="23"/>
        <v>0</v>
      </c>
      <c r="K149" s="560">
        <f t="shared" si="23"/>
        <v>0</v>
      </c>
    </row>
    <row r="150" spans="1:11" ht="18" customHeight="1" x14ac:dyDescent="0.4">
      <c r="A150" s="183" t="s">
        <v>185</v>
      </c>
      <c r="B150" s="117" t="s">
        <v>186</v>
      </c>
      <c r="F150" s="137" t="s">
        <v>73</v>
      </c>
      <c r="G150" s="137" t="s">
        <v>73</v>
      </c>
      <c r="H150" s="560">
        <f>H18</f>
        <v>8844618.7821653336</v>
      </c>
      <c r="I150" s="560">
        <f>I18</f>
        <v>0</v>
      </c>
      <c r="J150" s="560">
        <f>J18</f>
        <v>7352771.8042939361</v>
      </c>
      <c r="K150" s="560">
        <f>K18</f>
        <v>1491846.9778713975</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4">SUM(F141:F150)</f>
        <v>197829</v>
      </c>
      <c r="G152" s="143">
        <f t="shared" si="24"/>
        <v>1940</v>
      </c>
      <c r="H152" s="143">
        <f t="shared" si="24"/>
        <v>48392030.782165334</v>
      </c>
      <c r="I152" s="143">
        <f t="shared" si="24"/>
        <v>2234011.4868567926</v>
      </c>
      <c r="J152" s="143">
        <f t="shared" si="24"/>
        <v>21057664.804293938</v>
      </c>
      <c r="K152" s="143">
        <f t="shared" si="24"/>
        <v>52747629.464728191</v>
      </c>
    </row>
    <row r="154" spans="1:11" ht="18" customHeight="1" x14ac:dyDescent="0.4">
      <c r="A154" s="120" t="s">
        <v>168</v>
      </c>
      <c r="B154" s="117" t="s">
        <v>28</v>
      </c>
      <c r="F154" s="571">
        <f>K152/F121</f>
        <v>0.11760321559416972</v>
      </c>
    </row>
    <row r="155" spans="1:11" ht="18" customHeight="1" x14ac:dyDescent="0.4">
      <c r="A155" s="120" t="s">
        <v>169</v>
      </c>
      <c r="B155" s="117" t="s">
        <v>72</v>
      </c>
      <c r="F155" s="571">
        <f>K152/F127</f>
        <v>12.765641206371779</v>
      </c>
      <c r="G155" s="117"/>
    </row>
    <row r="156" spans="1:11" ht="18" customHeight="1" x14ac:dyDescent="0.4">
      <c r="G156" s="117"/>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156"/>
  <sheetViews>
    <sheetView showGridLines="0" zoomScale="80" zoomScaleNormal="80" zoomScaleSheetLayoutView="80" workbookViewId="0">
      <selection activeCell="B3" sqref="B3"/>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581</v>
      </c>
      <c r="D5" s="962"/>
      <c r="E5" s="962"/>
      <c r="F5" s="962"/>
      <c r="G5" s="963"/>
    </row>
    <row r="6" spans="1:11" ht="18" customHeight="1" x14ac:dyDescent="0.4">
      <c r="B6" s="183" t="s">
        <v>3</v>
      </c>
      <c r="C6" s="964">
        <v>12</v>
      </c>
      <c r="D6" s="965"/>
      <c r="E6" s="965"/>
      <c r="F6" s="965"/>
      <c r="G6" s="966"/>
    </row>
    <row r="7" spans="1:11" ht="18" customHeight="1" x14ac:dyDescent="0.4">
      <c r="B7" s="183" t="s">
        <v>4</v>
      </c>
      <c r="C7" s="1014">
        <v>5109</v>
      </c>
      <c r="D7" s="1015"/>
      <c r="E7" s="1015"/>
      <c r="F7" s="1015"/>
      <c r="G7" s="1016"/>
    </row>
    <row r="9" spans="1:11" ht="18" customHeight="1" x14ac:dyDescent="0.4">
      <c r="B9" s="183" t="s">
        <v>1</v>
      </c>
      <c r="C9" s="961" t="s">
        <v>312</v>
      </c>
      <c r="D9" s="962"/>
      <c r="E9" s="962"/>
      <c r="F9" s="962"/>
      <c r="G9" s="963"/>
    </row>
    <row r="10" spans="1:11" ht="18" customHeight="1" x14ac:dyDescent="0.4">
      <c r="B10" s="183" t="s">
        <v>2</v>
      </c>
      <c r="C10" s="970" t="s">
        <v>313</v>
      </c>
      <c r="D10" s="971"/>
      <c r="E10" s="971"/>
      <c r="F10" s="971"/>
      <c r="G10" s="972"/>
    </row>
    <row r="11" spans="1:11" ht="18" customHeight="1" x14ac:dyDescent="0.4">
      <c r="B11" s="183" t="s">
        <v>32</v>
      </c>
      <c r="C11" s="954" t="s">
        <v>314</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14982352</v>
      </c>
      <c r="I18" s="144">
        <v>0</v>
      </c>
      <c r="J18" s="556">
        <v>12455236</v>
      </c>
      <c r="K18" s="557">
        <f>(H18+I18)-J18</f>
        <v>2527116</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2548</v>
      </c>
      <c r="G21" s="555">
        <v>5109</v>
      </c>
      <c r="H21" s="556">
        <v>121606</v>
      </c>
      <c r="I21" s="144">
        <f t="shared" ref="I21:I34" si="0">H21*F$114</f>
        <v>81707.071400000001</v>
      </c>
      <c r="J21" s="556">
        <v>61224</v>
      </c>
      <c r="K21" s="557">
        <f t="shared" ref="K21:K34" si="1">(H21+I21)-J21</f>
        <v>142089.07140000002</v>
      </c>
    </row>
    <row r="22" spans="1:11" ht="18" customHeight="1" x14ac:dyDescent="0.4">
      <c r="A22" s="183" t="s">
        <v>76</v>
      </c>
      <c r="B22" s="189" t="s">
        <v>6</v>
      </c>
      <c r="F22" s="555"/>
      <c r="G22" s="555"/>
      <c r="H22" s="556"/>
      <c r="I22" s="144">
        <f t="shared" si="0"/>
        <v>0</v>
      </c>
      <c r="J22" s="556"/>
      <c r="K22" s="557">
        <f t="shared" si="1"/>
        <v>0</v>
      </c>
    </row>
    <row r="23" spans="1:11" ht="18" customHeight="1" x14ac:dyDescent="0.4">
      <c r="A23" s="183" t="s">
        <v>77</v>
      </c>
      <c r="B23" s="189" t="s">
        <v>43</v>
      </c>
      <c r="F23" s="555">
        <v>124</v>
      </c>
      <c r="G23" s="555">
        <v>569</v>
      </c>
      <c r="H23" s="556">
        <v>5580</v>
      </c>
      <c r="I23" s="144">
        <f t="shared" si="0"/>
        <v>3749.2020000000002</v>
      </c>
      <c r="J23" s="556"/>
      <c r="K23" s="557">
        <f t="shared" si="1"/>
        <v>9329.2020000000011</v>
      </c>
    </row>
    <row r="24" spans="1:11" ht="18" customHeight="1" x14ac:dyDescent="0.4">
      <c r="A24" s="183" t="s">
        <v>78</v>
      </c>
      <c r="B24" s="189" t="s">
        <v>44</v>
      </c>
      <c r="F24" s="555"/>
      <c r="G24" s="555"/>
      <c r="H24" s="556"/>
      <c r="I24" s="144">
        <f t="shared" si="0"/>
        <v>0</v>
      </c>
      <c r="J24" s="556"/>
      <c r="K24" s="557">
        <f t="shared" si="1"/>
        <v>0</v>
      </c>
    </row>
    <row r="25" spans="1:11" ht="18" customHeight="1" x14ac:dyDescent="0.4">
      <c r="A25" s="183" t="s">
        <v>79</v>
      </c>
      <c r="B25" s="189" t="s">
        <v>5</v>
      </c>
      <c r="F25" s="555">
        <v>2974</v>
      </c>
      <c r="G25" s="555">
        <v>3556</v>
      </c>
      <c r="H25" s="556">
        <v>121845</v>
      </c>
      <c r="I25" s="144">
        <f t="shared" si="0"/>
        <v>81867.655500000008</v>
      </c>
      <c r="J25" s="556">
        <v>86674</v>
      </c>
      <c r="K25" s="557">
        <f t="shared" si="1"/>
        <v>117038.65549999999</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c r="G27" s="555"/>
      <c r="H27" s="556"/>
      <c r="I27" s="144">
        <f t="shared" si="0"/>
        <v>0</v>
      </c>
      <c r="J27" s="556"/>
      <c r="K27" s="557">
        <f t="shared" si="1"/>
        <v>0</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5">
        <v>44481</v>
      </c>
      <c r="G29" s="555">
        <v>1013</v>
      </c>
      <c r="H29" s="556">
        <v>2569375</v>
      </c>
      <c r="I29" s="144">
        <f t="shared" si="0"/>
        <v>1726363.0625000002</v>
      </c>
      <c r="J29" s="556">
        <v>1366880</v>
      </c>
      <c r="K29" s="557">
        <f t="shared" si="1"/>
        <v>2928858.0625</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50127</v>
      </c>
      <c r="G36" s="560">
        <f t="shared" si="2"/>
        <v>10247</v>
      </c>
      <c r="H36" s="632">
        <f t="shared" si="2"/>
        <v>2818406</v>
      </c>
      <c r="I36" s="557">
        <f t="shared" si="2"/>
        <v>1893686.9914000002</v>
      </c>
      <c r="J36" s="557">
        <f t="shared" si="2"/>
        <v>1514778</v>
      </c>
      <c r="K36" s="557">
        <f t="shared" si="2"/>
        <v>3197314.9914000002</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338477</v>
      </c>
      <c r="G40" s="555"/>
      <c r="H40" s="556">
        <v>14958465</v>
      </c>
      <c r="I40" s="144">
        <f t="shared" ref="I40:I42" si="3">H40*F$114</f>
        <v>10050592.6335</v>
      </c>
      <c r="J40" s="556"/>
      <c r="K40" s="557">
        <f t="shared" ref="K40:K47" si="4">(H40+I40)-J40</f>
        <v>25009057.633500002</v>
      </c>
    </row>
    <row r="41" spans="1:11" ht="18" customHeight="1" x14ac:dyDescent="0.4">
      <c r="A41" s="183" t="s">
        <v>88</v>
      </c>
      <c r="B41" s="956" t="s">
        <v>50</v>
      </c>
      <c r="C41" s="957"/>
      <c r="F41" s="555">
        <v>9300</v>
      </c>
      <c r="G41" s="555"/>
      <c r="H41" s="556">
        <v>483600</v>
      </c>
      <c r="I41" s="144">
        <f t="shared" si="3"/>
        <v>324930.84000000003</v>
      </c>
      <c r="J41" s="556"/>
      <c r="K41" s="557">
        <f t="shared" si="4"/>
        <v>808530.84000000008</v>
      </c>
    </row>
    <row r="42" spans="1:11" ht="18" customHeight="1" x14ac:dyDescent="0.4">
      <c r="A42" s="183" t="s">
        <v>89</v>
      </c>
      <c r="B42" s="116" t="s">
        <v>11</v>
      </c>
      <c r="F42" s="555">
        <v>20844</v>
      </c>
      <c r="G42" s="555">
        <v>736</v>
      </c>
      <c r="H42" s="556">
        <v>892415</v>
      </c>
      <c r="I42" s="144">
        <f t="shared" si="3"/>
        <v>599613.6385</v>
      </c>
      <c r="J42" s="556">
        <v>102000</v>
      </c>
      <c r="K42" s="557">
        <f t="shared" si="4"/>
        <v>1390028.6384999999</v>
      </c>
    </row>
    <row r="43" spans="1:11" ht="18" customHeight="1" x14ac:dyDescent="0.4">
      <c r="A43" s="183" t="s">
        <v>90</v>
      </c>
      <c r="B43" s="141" t="s">
        <v>10</v>
      </c>
      <c r="C43" s="123"/>
      <c r="D43" s="123"/>
      <c r="F43" s="555"/>
      <c r="G43" s="555"/>
      <c r="H43" s="556"/>
      <c r="I43" s="144">
        <v>0</v>
      </c>
      <c r="J43" s="556"/>
      <c r="K43" s="557">
        <f t="shared" si="4"/>
        <v>0</v>
      </c>
    </row>
    <row r="44" spans="1:11" ht="18" customHeight="1" x14ac:dyDescent="0.4">
      <c r="A44" s="183" t="s">
        <v>91</v>
      </c>
      <c r="B44" s="951"/>
      <c r="C44" s="952"/>
      <c r="D44" s="953"/>
      <c r="F44" s="561"/>
      <c r="G44" s="561"/>
      <c r="H44" s="561"/>
      <c r="I44" s="146">
        <v>0</v>
      </c>
      <c r="J44" s="561"/>
      <c r="K44" s="562">
        <f t="shared" si="4"/>
        <v>0</v>
      </c>
    </row>
    <row r="45" spans="1:11" ht="18" customHeight="1" x14ac:dyDescent="0.4">
      <c r="A45" s="183" t="s">
        <v>139</v>
      </c>
      <c r="B45" s="951"/>
      <c r="C45" s="952"/>
      <c r="D45" s="953"/>
      <c r="F45" s="555"/>
      <c r="G45" s="555"/>
      <c r="H45" s="556"/>
      <c r="I45" s="144">
        <v>0</v>
      </c>
      <c r="J45" s="556"/>
      <c r="K45" s="557">
        <f t="shared" si="4"/>
        <v>0</v>
      </c>
    </row>
    <row r="46" spans="1:11" ht="18" customHeight="1" x14ac:dyDescent="0.4">
      <c r="A46" s="183" t="s">
        <v>140</v>
      </c>
      <c r="B46" s="951"/>
      <c r="C46" s="952"/>
      <c r="D46" s="953"/>
      <c r="F46" s="555"/>
      <c r="G46" s="555"/>
      <c r="H46" s="556"/>
      <c r="I46" s="144">
        <v>0</v>
      </c>
      <c r="J46" s="556"/>
      <c r="K46" s="557">
        <f t="shared" si="4"/>
        <v>0</v>
      </c>
    </row>
    <row r="47" spans="1:11" ht="18" customHeight="1" x14ac:dyDescent="0.4">
      <c r="A47" s="183" t="s">
        <v>141</v>
      </c>
      <c r="B47" s="951"/>
      <c r="C47" s="952"/>
      <c r="D47" s="953"/>
      <c r="F47" s="555"/>
      <c r="G47" s="555"/>
      <c r="H47" s="556"/>
      <c r="I47" s="144">
        <v>0</v>
      </c>
      <c r="J47" s="556"/>
      <c r="K47" s="557">
        <f t="shared" si="4"/>
        <v>0</v>
      </c>
    </row>
    <row r="49" spans="1:11" ht="18" customHeight="1" x14ac:dyDescent="0.4">
      <c r="A49" s="120" t="s">
        <v>142</v>
      </c>
      <c r="B49" s="117" t="s">
        <v>143</v>
      </c>
      <c r="E49" s="117" t="s">
        <v>7</v>
      </c>
      <c r="F49" s="633">
        <f t="shared" ref="F49:K49" si="5">SUM(F40:F47)</f>
        <v>368621</v>
      </c>
      <c r="G49" s="633">
        <f t="shared" si="5"/>
        <v>736</v>
      </c>
      <c r="H49" s="557">
        <f t="shared" si="5"/>
        <v>16334480</v>
      </c>
      <c r="I49" s="557">
        <f t="shared" si="5"/>
        <v>10975137.112</v>
      </c>
      <c r="J49" s="557">
        <f t="shared" si="5"/>
        <v>102000</v>
      </c>
      <c r="K49" s="557">
        <f t="shared" si="5"/>
        <v>27207617.112000003</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481</v>
      </c>
      <c r="C53" s="979"/>
      <c r="D53" s="975"/>
      <c r="F53" s="555"/>
      <c r="G53" s="555"/>
      <c r="H53" s="556">
        <v>6934381</v>
      </c>
      <c r="I53" s="144">
        <f t="shared" ref="I53:I58" si="6">H53*F$114</f>
        <v>4659210.5939000007</v>
      </c>
      <c r="J53" s="556"/>
      <c r="K53" s="557">
        <f t="shared" ref="K53:K62" si="7">(H53+I53)-J53</f>
        <v>11593591.593900001</v>
      </c>
    </row>
    <row r="54" spans="1:11" ht="18" customHeight="1" x14ac:dyDescent="0.4">
      <c r="A54" s="183" t="s">
        <v>93</v>
      </c>
      <c r="B54" s="503" t="s">
        <v>509</v>
      </c>
      <c r="C54" s="504"/>
      <c r="D54" s="505"/>
      <c r="F54" s="555"/>
      <c r="G54" s="555"/>
      <c r="H54" s="556">
        <v>113000</v>
      </c>
      <c r="I54" s="144">
        <f t="shared" si="6"/>
        <v>75924.700000000012</v>
      </c>
      <c r="J54" s="556"/>
      <c r="K54" s="557">
        <f t="shared" si="7"/>
        <v>188924.7</v>
      </c>
    </row>
    <row r="55" spans="1:11" ht="18" customHeight="1" x14ac:dyDescent="0.4">
      <c r="A55" s="183" t="s">
        <v>94</v>
      </c>
      <c r="B55" s="980" t="s">
        <v>328</v>
      </c>
      <c r="C55" s="974"/>
      <c r="D55" s="975"/>
      <c r="F55" s="555"/>
      <c r="G55" s="555"/>
      <c r="H55" s="556">
        <v>174284</v>
      </c>
      <c r="I55" s="144">
        <f t="shared" si="6"/>
        <v>117101.41960000001</v>
      </c>
      <c r="J55" s="556"/>
      <c r="K55" s="557">
        <f t="shared" si="7"/>
        <v>291385.41960000002</v>
      </c>
    </row>
    <row r="56" spans="1:11" ht="18" customHeight="1" x14ac:dyDescent="0.4">
      <c r="A56" s="183" t="s">
        <v>95</v>
      </c>
      <c r="B56" s="980" t="s">
        <v>510</v>
      </c>
      <c r="C56" s="974"/>
      <c r="D56" s="975"/>
      <c r="F56" s="555"/>
      <c r="G56" s="555"/>
      <c r="H56" s="556">
        <v>27712</v>
      </c>
      <c r="I56" s="144">
        <f t="shared" si="6"/>
        <v>18619.692800000001</v>
      </c>
      <c r="J56" s="556"/>
      <c r="K56" s="557">
        <f t="shared" si="7"/>
        <v>46331.692800000004</v>
      </c>
    </row>
    <row r="57" spans="1:11" ht="18" customHeight="1" x14ac:dyDescent="0.4">
      <c r="A57" s="183" t="s">
        <v>96</v>
      </c>
      <c r="B57" s="980" t="s">
        <v>582</v>
      </c>
      <c r="C57" s="974"/>
      <c r="D57" s="975"/>
      <c r="F57" s="555"/>
      <c r="G57" s="555"/>
      <c r="H57" s="556">
        <v>1026613</v>
      </c>
      <c r="I57" s="144">
        <f t="shared" si="6"/>
        <v>689781.27470000007</v>
      </c>
      <c r="J57" s="556"/>
      <c r="K57" s="557">
        <f t="shared" si="7"/>
        <v>1716394.2747</v>
      </c>
    </row>
    <row r="58" spans="1:11" ht="18" customHeight="1" x14ac:dyDescent="0.4">
      <c r="A58" s="183" t="s">
        <v>97</v>
      </c>
      <c r="B58" s="503" t="s">
        <v>583</v>
      </c>
      <c r="C58" s="504"/>
      <c r="D58" s="505"/>
      <c r="F58" s="555"/>
      <c r="G58" s="555"/>
      <c r="H58" s="556">
        <v>6411083</v>
      </c>
      <c r="I58" s="144">
        <f t="shared" si="6"/>
        <v>4307606.6677000001</v>
      </c>
      <c r="J58" s="556">
        <v>2550364</v>
      </c>
      <c r="K58" s="557">
        <f t="shared" si="7"/>
        <v>8168325.6677000001</v>
      </c>
    </row>
    <row r="59" spans="1:11" ht="18" customHeight="1" x14ac:dyDescent="0.4">
      <c r="A59" s="183" t="s">
        <v>98</v>
      </c>
      <c r="B59" s="980"/>
      <c r="C59" s="974"/>
      <c r="D59" s="975"/>
      <c r="F59" s="555"/>
      <c r="G59" s="555"/>
      <c r="H59" s="556"/>
      <c r="I59" s="144">
        <v>0</v>
      </c>
      <c r="J59" s="556"/>
      <c r="K59" s="557">
        <f t="shared" si="7"/>
        <v>0</v>
      </c>
    </row>
    <row r="60" spans="1:11" ht="18" customHeight="1" x14ac:dyDescent="0.4">
      <c r="A60" s="183" t="s">
        <v>99</v>
      </c>
      <c r="B60" s="503"/>
      <c r="C60" s="504"/>
      <c r="D60" s="505"/>
      <c r="F60" s="555"/>
      <c r="G60" s="555"/>
      <c r="H60" s="556"/>
      <c r="I60" s="144">
        <v>0</v>
      </c>
      <c r="J60" s="556"/>
      <c r="K60" s="557">
        <f t="shared" si="7"/>
        <v>0</v>
      </c>
    </row>
    <row r="61" spans="1:11" ht="18" customHeight="1" x14ac:dyDescent="0.4">
      <c r="A61" s="183" t="s">
        <v>100</v>
      </c>
      <c r="B61" s="503"/>
      <c r="C61" s="504"/>
      <c r="D61" s="505"/>
      <c r="F61" s="555"/>
      <c r="G61" s="555"/>
      <c r="H61" s="556"/>
      <c r="I61" s="144">
        <v>0</v>
      </c>
      <c r="J61" s="556"/>
      <c r="K61" s="557">
        <f t="shared" si="7"/>
        <v>0</v>
      </c>
    </row>
    <row r="62" spans="1:11" ht="18" customHeight="1" x14ac:dyDescent="0.4">
      <c r="A62" s="183" t="s">
        <v>101</v>
      </c>
      <c r="B62" s="980"/>
      <c r="C62" s="974"/>
      <c r="D62" s="975"/>
      <c r="F62" s="555"/>
      <c r="G62" s="555"/>
      <c r="H62" s="556"/>
      <c r="I62" s="144">
        <v>0</v>
      </c>
      <c r="J62" s="556"/>
      <c r="K62" s="557">
        <f t="shared" si="7"/>
        <v>0</v>
      </c>
    </row>
    <row r="63" spans="1:11" ht="18" customHeight="1" x14ac:dyDescent="0.4">
      <c r="A63" s="183"/>
      <c r="I63" s="140"/>
    </row>
    <row r="64" spans="1:11" ht="18" customHeight="1" x14ac:dyDescent="0.4">
      <c r="A64" s="183" t="s">
        <v>144</v>
      </c>
      <c r="B64" s="117" t="s">
        <v>145</v>
      </c>
      <c r="E64" s="117" t="s">
        <v>7</v>
      </c>
      <c r="F64" s="560">
        <f t="shared" ref="F64:K64" si="8">SUM(F53:F62)</f>
        <v>0</v>
      </c>
      <c r="G64" s="560">
        <f t="shared" si="8"/>
        <v>0</v>
      </c>
      <c r="H64" s="557">
        <f t="shared" si="8"/>
        <v>14687073</v>
      </c>
      <c r="I64" s="557">
        <f t="shared" si="8"/>
        <v>9868244.3487000018</v>
      </c>
      <c r="J64" s="557">
        <f t="shared" si="8"/>
        <v>2550364</v>
      </c>
      <c r="K64" s="557">
        <f t="shared" si="8"/>
        <v>22004953.348700002</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600">
        <v>1056899</v>
      </c>
      <c r="I68" s="303">
        <f t="shared" ref="I68:I70" si="9">H68*F$114</f>
        <v>710130.43810000003</v>
      </c>
      <c r="J68" s="600">
        <v>406378</v>
      </c>
      <c r="K68" s="632">
        <f>(H68+I68)-J68</f>
        <v>1360651.4380999999</v>
      </c>
    </row>
    <row r="69" spans="1:11" ht="18" customHeight="1" x14ac:dyDescent="0.4">
      <c r="A69" s="183" t="s">
        <v>104</v>
      </c>
      <c r="B69" s="116" t="s">
        <v>53</v>
      </c>
      <c r="F69" s="564">
        <v>12333</v>
      </c>
      <c r="G69" s="564"/>
      <c r="H69" s="600">
        <v>414257</v>
      </c>
      <c r="I69" s="303">
        <f t="shared" si="9"/>
        <v>278339.27830000001</v>
      </c>
      <c r="J69" s="600"/>
      <c r="K69" s="632">
        <f>(H69+I69)-J69</f>
        <v>692596.27830000001</v>
      </c>
    </row>
    <row r="70" spans="1:11" ht="18" customHeight="1" x14ac:dyDescent="0.4">
      <c r="A70" s="183" t="s">
        <v>178</v>
      </c>
      <c r="B70" s="503" t="s">
        <v>296</v>
      </c>
      <c r="C70" s="504"/>
      <c r="D70" s="505"/>
      <c r="E70" s="117"/>
      <c r="F70" s="131"/>
      <c r="G70" s="131"/>
      <c r="H70" s="304">
        <v>195299</v>
      </c>
      <c r="I70" s="303">
        <f t="shared" si="9"/>
        <v>131221.39810000002</v>
      </c>
      <c r="J70" s="304"/>
      <c r="K70" s="632">
        <f>(H70+I70)-J70</f>
        <v>326520.39809999999</v>
      </c>
    </row>
    <row r="71" spans="1:11" ht="18" customHeight="1" x14ac:dyDescent="0.4">
      <c r="A71" s="183" t="s">
        <v>179</v>
      </c>
      <c r="B71" s="503"/>
      <c r="C71" s="504"/>
      <c r="D71" s="505"/>
      <c r="E71" s="117"/>
      <c r="F71" s="131"/>
      <c r="G71" s="131"/>
      <c r="H71" s="304"/>
      <c r="I71" s="303">
        <v>0</v>
      </c>
      <c r="J71" s="304"/>
      <c r="K71" s="632">
        <f>(H71+I71)-J71</f>
        <v>0</v>
      </c>
    </row>
    <row r="72" spans="1:11" ht="18" customHeight="1" x14ac:dyDescent="0.4">
      <c r="A72" s="183" t="s">
        <v>180</v>
      </c>
      <c r="B72" s="510"/>
      <c r="C72" s="508"/>
      <c r="D72" s="130"/>
      <c r="E72" s="117"/>
      <c r="F72" s="555"/>
      <c r="G72" s="555"/>
      <c r="H72" s="600"/>
      <c r="I72" s="303">
        <v>0</v>
      </c>
      <c r="J72" s="600"/>
      <c r="K72" s="632">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634">
        <f t="shared" ref="F74:K74" si="10">SUM(F68:F72)</f>
        <v>12333</v>
      </c>
      <c r="G74" s="566">
        <f t="shared" si="10"/>
        <v>0</v>
      </c>
      <c r="H74" s="635">
        <f t="shared" si="10"/>
        <v>1666455</v>
      </c>
      <c r="I74" s="305">
        <f t="shared" si="10"/>
        <v>1119691.1145000001</v>
      </c>
      <c r="J74" s="635">
        <f t="shared" si="10"/>
        <v>406378</v>
      </c>
      <c r="K74" s="635">
        <f t="shared" si="10"/>
        <v>2379768.1144999997</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472533</v>
      </c>
      <c r="I77" s="144">
        <v>0</v>
      </c>
      <c r="J77" s="556"/>
      <c r="K77" s="557">
        <f>(H77+I77)-J77</f>
        <v>472533</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44</v>
      </c>
      <c r="G79" s="555">
        <v>735</v>
      </c>
      <c r="H79" s="556">
        <v>321305</v>
      </c>
      <c r="I79" s="144">
        <v>0</v>
      </c>
      <c r="J79" s="556"/>
      <c r="K79" s="557">
        <f>(H79+I79)-J79</f>
        <v>321305</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11">SUM(F77:F80)</f>
        <v>44</v>
      </c>
      <c r="G82" s="566">
        <f t="shared" si="11"/>
        <v>735</v>
      </c>
      <c r="H82" s="567">
        <f t="shared" si="11"/>
        <v>793838</v>
      </c>
      <c r="I82" s="567">
        <f t="shared" si="11"/>
        <v>0</v>
      </c>
      <c r="J82" s="567">
        <f t="shared" si="11"/>
        <v>0</v>
      </c>
      <c r="K82" s="567">
        <f t="shared" si="11"/>
        <v>793838</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1365</v>
      </c>
      <c r="G86" s="555"/>
      <c r="H86" s="556">
        <v>60871</v>
      </c>
      <c r="I86" s="144">
        <f t="shared" ref="I86:I96" si="12">H86*F$114</f>
        <v>40899.224900000001</v>
      </c>
      <c r="J86" s="556">
        <v>60786</v>
      </c>
      <c r="K86" s="557">
        <f t="shared" ref="K86:K96" si="13">(H86+I86)-J86</f>
        <v>40984.224900000001</v>
      </c>
    </row>
    <row r="87" spans="1:11" ht="18" customHeight="1" x14ac:dyDescent="0.4">
      <c r="A87" s="183" t="s">
        <v>114</v>
      </c>
      <c r="B87" s="116" t="s">
        <v>14</v>
      </c>
      <c r="F87" s="555"/>
      <c r="G87" s="555"/>
      <c r="H87" s="556"/>
      <c r="I87" s="144">
        <f t="shared" si="12"/>
        <v>0</v>
      </c>
      <c r="J87" s="556"/>
      <c r="K87" s="557">
        <f t="shared" si="13"/>
        <v>0</v>
      </c>
    </row>
    <row r="88" spans="1:11" ht="18" customHeight="1" x14ac:dyDescent="0.4">
      <c r="A88" s="183" t="s">
        <v>115</v>
      </c>
      <c r="B88" s="116" t="s">
        <v>116</v>
      </c>
      <c r="F88" s="555">
        <v>925</v>
      </c>
      <c r="G88" s="555"/>
      <c r="H88" s="556">
        <v>115196</v>
      </c>
      <c r="I88" s="144">
        <f t="shared" si="12"/>
        <v>77400.1924</v>
      </c>
      <c r="J88" s="556">
        <v>115002</v>
      </c>
      <c r="K88" s="557">
        <f t="shared" si="13"/>
        <v>77594.1924</v>
      </c>
    </row>
    <row r="89" spans="1:11" ht="18" customHeight="1" x14ac:dyDescent="0.4">
      <c r="A89" s="183" t="s">
        <v>117</v>
      </c>
      <c r="B89" s="116" t="s">
        <v>58</v>
      </c>
      <c r="F89" s="555"/>
      <c r="G89" s="555"/>
      <c r="H89" s="556"/>
      <c r="I89" s="144">
        <f t="shared" si="12"/>
        <v>0</v>
      </c>
      <c r="J89" s="556"/>
      <c r="K89" s="557">
        <f t="shared" si="13"/>
        <v>0</v>
      </c>
    </row>
    <row r="90" spans="1:11" ht="18" customHeight="1" x14ac:dyDescent="0.4">
      <c r="A90" s="183" t="s">
        <v>118</v>
      </c>
      <c r="B90" s="956" t="s">
        <v>59</v>
      </c>
      <c r="C90" s="957"/>
      <c r="F90" s="555"/>
      <c r="G90" s="555"/>
      <c r="H90" s="556"/>
      <c r="I90" s="144">
        <f t="shared" si="12"/>
        <v>0</v>
      </c>
      <c r="J90" s="556"/>
      <c r="K90" s="557">
        <f t="shared" si="13"/>
        <v>0</v>
      </c>
    </row>
    <row r="91" spans="1:11" ht="18" customHeight="1" x14ac:dyDescent="0.4">
      <c r="A91" s="183" t="s">
        <v>119</v>
      </c>
      <c r="B91" s="116" t="s">
        <v>60</v>
      </c>
      <c r="F91" s="555">
        <v>2935</v>
      </c>
      <c r="G91" s="555"/>
      <c r="H91" s="556">
        <v>129375</v>
      </c>
      <c r="I91" s="144">
        <f t="shared" si="12"/>
        <v>86927.0625</v>
      </c>
      <c r="J91" s="556">
        <v>129152</v>
      </c>
      <c r="K91" s="557">
        <f t="shared" si="13"/>
        <v>87150.0625</v>
      </c>
    </row>
    <row r="92" spans="1:11" ht="18" customHeight="1" x14ac:dyDescent="0.4">
      <c r="A92" s="183" t="s">
        <v>120</v>
      </c>
      <c r="B92" s="116" t="s">
        <v>121</v>
      </c>
      <c r="F92" s="134"/>
      <c r="G92" s="134"/>
      <c r="H92" s="135"/>
      <c r="I92" s="144">
        <f t="shared" si="12"/>
        <v>0</v>
      </c>
      <c r="J92" s="135"/>
      <c r="K92" s="557">
        <f t="shared" si="13"/>
        <v>0</v>
      </c>
    </row>
    <row r="93" spans="1:11" ht="18" customHeight="1" x14ac:dyDescent="0.4">
      <c r="A93" s="183" t="s">
        <v>122</v>
      </c>
      <c r="B93" s="116" t="s">
        <v>123</v>
      </c>
      <c r="F93" s="555">
        <v>14965</v>
      </c>
      <c r="G93" s="555">
        <v>2505</v>
      </c>
      <c r="H93" s="556">
        <v>331686</v>
      </c>
      <c r="I93" s="144">
        <f t="shared" si="12"/>
        <v>222859.82340000002</v>
      </c>
      <c r="J93" s="556">
        <v>311922</v>
      </c>
      <c r="K93" s="557">
        <f t="shared" si="13"/>
        <v>242623.82339999999</v>
      </c>
    </row>
    <row r="94" spans="1:11" ht="18" customHeight="1" x14ac:dyDescent="0.4">
      <c r="A94" s="183" t="s">
        <v>124</v>
      </c>
      <c r="B94" s="980"/>
      <c r="C94" s="974"/>
      <c r="D94" s="975"/>
      <c r="F94" s="555"/>
      <c r="G94" s="555"/>
      <c r="H94" s="556"/>
      <c r="I94" s="144">
        <f t="shared" si="12"/>
        <v>0</v>
      </c>
      <c r="J94" s="556"/>
      <c r="K94" s="557">
        <f t="shared" si="13"/>
        <v>0</v>
      </c>
    </row>
    <row r="95" spans="1:11" ht="18" customHeight="1" x14ac:dyDescent="0.4">
      <c r="A95" s="183" t="s">
        <v>125</v>
      </c>
      <c r="B95" s="980"/>
      <c r="C95" s="974"/>
      <c r="D95" s="975"/>
      <c r="F95" s="555"/>
      <c r="G95" s="555"/>
      <c r="H95" s="556"/>
      <c r="I95" s="144">
        <f t="shared" si="12"/>
        <v>0</v>
      </c>
      <c r="J95" s="556"/>
      <c r="K95" s="557">
        <f t="shared" si="13"/>
        <v>0</v>
      </c>
    </row>
    <row r="96" spans="1:11" ht="18" customHeight="1" x14ac:dyDescent="0.4">
      <c r="A96" s="183" t="s">
        <v>126</v>
      </c>
      <c r="B96" s="980"/>
      <c r="C96" s="974"/>
      <c r="D96" s="975"/>
      <c r="F96" s="555"/>
      <c r="G96" s="555"/>
      <c r="H96" s="556"/>
      <c r="I96" s="144">
        <f t="shared" si="12"/>
        <v>0</v>
      </c>
      <c r="J96" s="556"/>
      <c r="K96" s="557">
        <f t="shared" si="13"/>
        <v>0</v>
      </c>
    </row>
    <row r="97" spans="1:11" ht="18" customHeight="1" x14ac:dyDescent="0.4">
      <c r="A97" s="183"/>
      <c r="B97" s="116"/>
    </row>
    <row r="98" spans="1:11" ht="18" customHeight="1" x14ac:dyDescent="0.4">
      <c r="A98" s="120" t="s">
        <v>150</v>
      </c>
      <c r="B98" s="117" t="s">
        <v>151</v>
      </c>
      <c r="E98" s="117" t="s">
        <v>7</v>
      </c>
      <c r="F98" s="560">
        <f t="shared" ref="F98:K98" si="14">SUM(F86:F96)</f>
        <v>20190</v>
      </c>
      <c r="G98" s="560">
        <f t="shared" si="14"/>
        <v>2505</v>
      </c>
      <c r="H98" s="560">
        <f t="shared" si="14"/>
        <v>637128</v>
      </c>
      <c r="I98" s="560">
        <f t="shared" si="14"/>
        <v>428086.30320000002</v>
      </c>
      <c r="J98" s="560">
        <f t="shared" si="14"/>
        <v>616862</v>
      </c>
      <c r="K98" s="560">
        <f t="shared" si="14"/>
        <v>448352.30319999997</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3325</v>
      </c>
      <c r="G102" s="555"/>
      <c r="H102" s="556">
        <v>307688</v>
      </c>
      <c r="I102" s="144">
        <f>H102*F$114</f>
        <v>206735.56720000002</v>
      </c>
      <c r="J102" s="556"/>
      <c r="K102" s="557">
        <f>(H102+I102)-J102</f>
        <v>514423.56720000005</v>
      </c>
    </row>
    <row r="103" spans="1:11" ht="18" customHeight="1" x14ac:dyDescent="0.4">
      <c r="A103" s="183" t="s">
        <v>132</v>
      </c>
      <c r="B103" s="956" t="s">
        <v>62</v>
      </c>
      <c r="C103" s="956"/>
      <c r="F103" s="555"/>
      <c r="G103" s="555"/>
      <c r="H103" s="556"/>
      <c r="I103" s="144">
        <f>H103*F$114</f>
        <v>0</v>
      </c>
      <c r="J103" s="556"/>
      <c r="K103" s="557">
        <f>(H103+I103)-J103</f>
        <v>0</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5">SUM(F102:F106)</f>
        <v>3325</v>
      </c>
      <c r="G108" s="560">
        <f t="shared" si="15"/>
        <v>0</v>
      </c>
      <c r="H108" s="557">
        <f t="shared" si="15"/>
        <v>307688</v>
      </c>
      <c r="I108" s="557">
        <f t="shared" si="15"/>
        <v>206735.56720000002</v>
      </c>
      <c r="J108" s="557">
        <f t="shared" si="15"/>
        <v>0</v>
      </c>
      <c r="K108" s="557">
        <f t="shared" si="15"/>
        <v>514423.56720000005</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5247000</v>
      </c>
      <c r="G111" s="255"/>
      <c r="H111" s="185"/>
      <c r="I111" s="185"/>
      <c r="J111" s="185"/>
    </row>
    <row r="112" spans="1:11" ht="18" customHeight="1" x14ac:dyDescent="0.4">
      <c r="B112" s="117"/>
      <c r="E112" s="117"/>
      <c r="F112" s="184"/>
      <c r="H112" s="185"/>
      <c r="J112" s="185"/>
    </row>
    <row r="113" spans="1:6" ht="18" customHeight="1" x14ac:dyDescent="0.4">
      <c r="A113" s="120"/>
      <c r="B113" s="117" t="s">
        <v>15</v>
      </c>
    </row>
    <row r="114" spans="1:6" ht="18" customHeight="1" x14ac:dyDescent="0.4">
      <c r="A114" s="183" t="s">
        <v>171</v>
      </c>
      <c r="B114" s="116" t="s">
        <v>35</v>
      </c>
      <c r="F114" s="570">
        <v>0.67190000000000005</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766257000</v>
      </c>
    </row>
    <row r="118" spans="1:6" ht="18" customHeight="1" x14ac:dyDescent="0.4">
      <c r="A118" s="183" t="s">
        <v>173</v>
      </c>
      <c r="B118" s="189" t="s">
        <v>18</v>
      </c>
      <c r="F118" s="556">
        <f>3588000+34006000</f>
        <v>37594000</v>
      </c>
    </row>
    <row r="119" spans="1:6" ht="18" customHeight="1" x14ac:dyDescent="0.4">
      <c r="A119" s="183" t="s">
        <v>174</v>
      </c>
      <c r="B119" s="117" t="s">
        <v>19</v>
      </c>
      <c r="F119" s="567">
        <f>SUM(F117:F118)</f>
        <v>803851000</v>
      </c>
    </row>
    <row r="120" spans="1:6" ht="18" customHeight="1" x14ac:dyDescent="0.4">
      <c r="A120" s="183"/>
      <c r="B120" s="117"/>
    </row>
    <row r="121" spans="1:6" ht="18" customHeight="1" x14ac:dyDescent="0.4">
      <c r="A121" s="183" t="s">
        <v>167</v>
      </c>
      <c r="B121" s="117" t="s">
        <v>36</v>
      </c>
      <c r="F121" s="556">
        <v>784881000</v>
      </c>
    </row>
    <row r="122" spans="1:6" ht="18" customHeight="1" x14ac:dyDescent="0.4">
      <c r="A122" s="183"/>
    </row>
    <row r="123" spans="1:6" ht="18" customHeight="1" x14ac:dyDescent="0.4">
      <c r="A123" s="183" t="s">
        <v>175</v>
      </c>
      <c r="B123" s="117" t="s">
        <v>20</v>
      </c>
      <c r="F123" s="556">
        <f>+F119-F121</f>
        <v>18970000</v>
      </c>
    </row>
    <row r="124" spans="1:6" ht="18" customHeight="1" x14ac:dyDescent="0.4">
      <c r="A124" s="183"/>
    </row>
    <row r="125" spans="1:6" ht="18" customHeight="1" x14ac:dyDescent="0.4">
      <c r="A125" s="183" t="s">
        <v>176</v>
      </c>
      <c r="B125" s="117" t="s">
        <v>21</v>
      </c>
      <c r="F125" s="556">
        <v>22186000</v>
      </c>
    </row>
    <row r="126" spans="1:6" ht="18" customHeight="1" x14ac:dyDescent="0.4">
      <c r="A126" s="183"/>
    </row>
    <row r="127" spans="1:6" ht="18" customHeight="1" x14ac:dyDescent="0.4">
      <c r="A127" s="183" t="s">
        <v>177</v>
      </c>
      <c r="B127" s="117" t="s">
        <v>22</v>
      </c>
      <c r="F127" s="556">
        <f>+F123+F125</f>
        <v>41156000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6">SUM(F131:F135)</f>
        <v>0</v>
      </c>
      <c r="G137" s="560">
        <f t="shared" si="16"/>
        <v>0</v>
      </c>
      <c r="H137" s="557">
        <f t="shared" si="16"/>
        <v>0</v>
      </c>
      <c r="I137" s="557">
        <f t="shared" si="16"/>
        <v>0</v>
      </c>
      <c r="J137" s="557">
        <f t="shared" si="16"/>
        <v>0</v>
      </c>
      <c r="K137" s="557">
        <f t="shared" si="16"/>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7">F36</f>
        <v>50127</v>
      </c>
      <c r="G141" s="136">
        <f t="shared" si="17"/>
        <v>10247</v>
      </c>
      <c r="H141" s="136">
        <f t="shared" si="17"/>
        <v>2818406</v>
      </c>
      <c r="I141" s="136">
        <f t="shared" si="17"/>
        <v>1893686.9914000002</v>
      </c>
      <c r="J141" s="136">
        <f t="shared" si="17"/>
        <v>1514778</v>
      </c>
      <c r="K141" s="136">
        <f t="shared" si="17"/>
        <v>3197314.9914000002</v>
      </c>
    </row>
    <row r="142" spans="1:11" ht="18" customHeight="1" x14ac:dyDescent="0.4">
      <c r="A142" s="183" t="s">
        <v>142</v>
      </c>
      <c r="B142" s="117" t="s">
        <v>65</v>
      </c>
      <c r="F142" s="136">
        <f t="shared" ref="F142:K142" si="18">F49</f>
        <v>368621</v>
      </c>
      <c r="G142" s="136">
        <f t="shared" si="18"/>
        <v>736</v>
      </c>
      <c r="H142" s="136">
        <f t="shared" si="18"/>
        <v>16334480</v>
      </c>
      <c r="I142" s="136">
        <f t="shared" si="18"/>
        <v>10975137.112</v>
      </c>
      <c r="J142" s="136">
        <f t="shared" si="18"/>
        <v>102000</v>
      </c>
      <c r="K142" s="136">
        <f t="shared" si="18"/>
        <v>27207617.112000003</v>
      </c>
    </row>
    <row r="143" spans="1:11" ht="18" customHeight="1" x14ac:dyDescent="0.4">
      <c r="A143" s="183" t="s">
        <v>144</v>
      </c>
      <c r="B143" s="117" t="s">
        <v>66</v>
      </c>
      <c r="F143" s="136">
        <f t="shared" ref="F143:K143" si="19">F64</f>
        <v>0</v>
      </c>
      <c r="G143" s="136">
        <f t="shared" si="19"/>
        <v>0</v>
      </c>
      <c r="H143" s="136">
        <f t="shared" si="19"/>
        <v>14687073</v>
      </c>
      <c r="I143" s="136">
        <f t="shared" si="19"/>
        <v>9868244.3487000018</v>
      </c>
      <c r="J143" s="136">
        <f t="shared" si="19"/>
        <v>2550364</v>
      </c>
      <c r="K143" s="136">
        <f t="shared" si="19"/>
        <v>22004953.348700002</v>
      </c>
    </row>
    <row r="144" spans="1:11" ht="18" customHeight="1" x14ac:dyDescent="0.4">
      <c r="A144" s="183" t="s">
        <v>146</v>
      </c>
      <c r="B144" s="117" t="s">
        <v>67</v>
      </c>
      <c r="F144" s="136">
        <f t="shared" ref="F144:K144" si="20">F74</f>
        <v>12333</v>
      </c>
      <c r="G144" s="136">
        <f t="shared" si="20"/>
        <v>0</v>
      </c>
      <c r="H144" s="136">
        <f t="shared" si="20"/>
        <v>1666455</v>
      </c>
      <c r="I144" s="136">
        <f t="shared" si="20"/>
        <v>1119691.1145000001</v>
      </c>
      <c r="J144" s="136">
        <f t="shared" si="20"/>
        <v>406378</v>
      </c>
      <c r="K144" s="136">
        <f t="shared" si="20"/>
        <v>2379768.1144999997</v>
      </c>
    </row>
    <row r="145" spans="1:11" ht="18" customHeight="1" x14ac:dyDescent="0.4">
      <c r="A145" s="183" t="s">
        <v>148</v>
      </c>
      <c r="B145" s="117" t="s">
        <v>68</v>
      </c>
      <c r="F145" s="136">
        <f t="shared" ref="F145:K145" si="21">F82</f>
        <v>44</v>
      </c>
      <c r="G145" s="136">
        <f t="shared" si="21"/>
        <v>735</v>
      </c>
      <c r="H145" s="136">
        <f t="shared" si="21"/>
        <v>793838</v>
      </c>
      <c r="I145" s="136">
        <f t="shared" si="21"/>
        <v>0</v>
      </c>
      <c r="J145" s="136">
        <f t="shared" si="21"/>
        <v>0</v>
      </c>
      <c r="K145" s="136">
        <f t="shared" si="21"/>
        <v>793838</v>
      </c>
    </row>
    <row r="146" spans="1:11" ht="18" customHeight="1" x14ac:dyDescent="0.4">
      <c r="A146" s="183" t="s">
        <v>150</v>
      </c>
      <c r="B146" s="117" t="s">
        <v>69</v>
      </c>
      <c r="F146" s="136">
        <f t="shared" ref="F146:K146" si="22">F98</f>
        <v>20190</v>
      </c>
      <c r="G146" s="136">
        <f t="shared" si="22"/>
        <v>2505</v>
      </c>
      <c r="H146" s="136">
        <f t="shared" si="22"/>
        <v>637128</v>
      </c>
      <c r="I146" s="136">
        <f t="shared" si="22"/>
        <v>428086.30320000002</v>
      </c>
      <c r="J146" s="136">
        <f t="shared" si="22"/>
        <v>616862</v>
      </c>
      <c r="K146" s="136">
        <f t="shared" si="22"/>
        <v>448352.30319999997</v>
      </c>
    </row>
    <row r="147" spans="1:11" ht="18" customHeight="1" x14ac:dyDescent="0.4">
      <c r="A147" s="183" t="s">
        <v>153</v>
      </c>
      <c r="B147" s="117" t="s">
        <v>61</v>
      </c>
      <c r="F147" s="560">
        <f t="shared" ref="F147:K147" si="23">F108</f>
        <v>3325</v>
      </c>
      <c r="G147" s="560">
        <f t="shared" si="23"/>
        <v>0</v>
      </c>
      <c r="H147" s="560">
        <f t="shared" si="23"/>
        <v>307688</v>
      </c>
      <c r="I147" s="560">
        <f t="shared" si="23"/>
        <v>206735.56720000002</v>
      </c>
      <c r="J147" s="560">
        <f t="shared" si="23"/>
        <v>0</v>
      </c>
      <c r="K147" s="560">
        <f t="shared" si="23"/>
        <v>514423.56720000005</v>
      </c>
    </row>
    <row r="148" spans="1:11" ht="18" customHeight="1" x14ac:dyDescent="0.4">
      <c r="A148" s="183" t="s">
        <v>155</v>
      </c>
      <c r="B148" s="117" t="s">
        <v>70</v>
      </c>
      <c r="F148" s="137" t="s">
        <v>73</v>
      </c>
      <c r="G148" s="137" t="s">
        <v>73</v>
      </c>
      <c r="H148" s="138" t="s">
        <v>73</v>
      </c>
      <c r="I148" s="138" t="s">
        <v>73</v>
      </c>
      <c r="J148" s="138" t="s">
        <v>73</v>
      </c>
      <c r="K148" s="133">
        <f>F111</f>
        <v>5247000</v>
      </c>
    </row>
    <row r="149" spans="1:11" ht="18" customHeight="1" x14ac:dyDescent="0.4">
      <c r="A149" s="183" t="s">
        <v>163</v>
      </c>
      <c r="B149" s="117" t="s">
        <v>71</v>
      </c>
      <c r="F149" s="560">
        <f t="shared" ref="F149:K149" si="24">F137</f>
        <v>0</v>
      </c>
      <c r="G149" s="560">
        <f t="shared" si="24"/>
        <v>0</v>
      </c>
      <c r="H149" s="560">
        <f t="shared" si="24"/>
        <v>0</v>
      </c>
      <c r="I149" s="560">
        <f t="shared" si="24"/>
        <v>0</v>
      </c>
      <c r="J149" s="560">
        <f t="shared" si="24"/>
        <v>0</v>
      </c>
      <c r="K149" s="560">
        <f t="shared" si="24"/>
        <v>0</v>
      </c>
    </row>
    <row r="150" spans="1:11" ht="18" customHeight="1" x14ac:dyDescent="0.4">
      <c r="A150" s="183" t="s">
        <v>185</v>
      </c>
      <c r="B150" s="117" t="s">
        <v>186</v>
      </c>
      <c r="F150" s="137" t="s">
        <v>73</v>
      </c>
      <c r="G150" s="137" t="s">
        <v>73</v>
      </c>
      <c r="H150" s="560">
        <f>H18</f>
        <v>14982352</v>
      </c>
      <c r="I150" s="560">
        <f>I18</f>
        <v>0</v>
      </c>
      <c r="J150" s="560">
        <f>J18</f>
        <v>12455236</v>
      </c>
      <c r="K150" s="560">
        <f>K18</f>
        <v>2527116</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5">SUM(F141:F150)</f>
        <v>454640</v>
      </c>
      <c r="G152" s="143">
        <f t="shared" si="25"/>
        <v>14223</v>
      </c>
      <c r="H152" s="143">
        <f t="shared" si="25"/>
        <v>52227420</v>
      </c>
      <c r="I152" s="143">
        <f t="shared" si="25"/>
        <v>24491581.437000003</v>
      </c>
      <c r="J152" s="143">
        <f t="shared" si="25"/>
        <v>17645618</v>
      </c>
      <c r="K152" s="143">
        <f t="shared" si="25"/>
        <v>64320383.437000006</v>
      </c>
    </row>
    <row r="154" spans="1:11" ht="18" customHeight="1" x14ac:dyDescent="0.4">
      <c r="A154" s="120" t="s">
        <v>168</v>
      </c>
      <c r="B154" s="117" t="s">
        <v>28</v>
      </c>
      <c r="F154" s="571">
        <f>K152/F121</f>
        <v>8.1949217062204344E-2</v>
      </c>
    </row>
    <row r="155" spans="1:11" ht="18" customHeight="1" x14ac:dyDescent="0.4">
      <c r="A155" s="120" t="s">
        <v>169</v>
      </c>
      <c r="B155" s="117" t="s">
        <v>72</v>
      </c>
      <c r="F155" s="571">
        <f>K152/F127</f>
        <v>1.5628434113373508</v>
      </c>
      <c r="G155" s="117"/>
    </row>
    <row r="156" spans="1:11" ht="18" customHeight="1" x14ac:dyDescent="0.4">
      <c r="G156" s="117"/>
    </row>
  </sheetData>
  <mergeCells count="34">
    <mergeCell ref="D2:H2"/>
    <mergeCell ref="B103:C103"/>
    <mergeCell ref="B96:D96"/>
    <mergeCell ref="B95:D95"/>
    <mergeCell ref="B57:D57"/>
    <mergeCell ref="B94:D94"/>
    <mergeCell ref="B52:C52"/>
    <mergeCell ref="B90:C90"/>
    <mergeCell ref="B53:D53"/>
    <mergeCell ref="B55:D55"/>
    <mergeCell ref="B56:D56"/>
    <mergeCell ref="B59:D59"/>
    <mergeCell ref="B62:D62"/>
    <mergeCell ref="B45:D45"/>
    <mergeCell ref="B46:D46"/>
    <mergeCell ref="B47:D47"/>
    <mergeCell ref="B134:D134"/>
    <mergeCell ref="B135:D135"/>
    <mergeCell ref="B133:D133"/>
    <mergeCell ref="B104:D104"/>
    <mergeCell ref="B105:D105"/>
    <mergeCell ref="B106:D106"/>
    <mergeCell ref="B34:D34"/>
    <mergeCell ref="C11:G11"/>
    <mergeCell ref="B41:C41"/>
    <mergeCell ref="B44:D44"/>
    <mergeCell ref="B13:H13"/>
    <mergeCell ref="B30:D30"/>
    <mergeCell ref="B31:D31"/>
    <mergeCell ref="C5:G5"/>
    <mergeCell ref="C6:G6"/>
    <mergeCell ref="C7:G7"/>
    <mergeCell ref="C9:G9"/>
    <mergeCell ref="C10:G10"/>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156"/>
  <sheetViews>
    <sheetView showGridLines="0" zoomScale="85" zoomScaleNormal="85" zoomScaleSheetLayoutView="70" workbookViewId="0">
      <selection activeCell="B5" sqref="B5"/>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2" width="14.1328125" style="258" bestFit="1" customWidth="1"/>
    <col min="13"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665</v>
      </c>
      <c r="D5" s="962"/>
      <c r="E5" s="962"/>
      <c r="F5" s="962"/>
      <c r="G5" s="963"/>
    </row>
    <row r="6" spans="1:11" ht="18" customHeight="1" x14ac:dyDescent="0.4">
      <c r="B6" s="183" t="s">
        <v>3</v>
      </c>
      <c r="C6" s="964">
        <v>210013</v>
      </c>
      <c r="D6" s="965"/>
      <c r="E6" s="965"/>
      <c r="F6" s="965"/>
      <c r="G6" s="966"/>
    </row>
    <row r="7" spans="1:11" ht="18" customHeight="1" x14ac:dyDescent="0.4">
      <c r="B7" s="183" t="s">
        <v>4</v>
      </c>
      <c r="C7" s="1014">
        <v>566</v>
      </c>
      <c r="D7" s="1015"/>
      <c r="E7" s="1015"/>
      <c r="F7" s="1015"/>
      <c r="G7" s="1016"/>
      <c r="H7" s="636"/>
    </row>
    <row r="9" spans="1:11" ht="18" customHeight="1" x14ac:dyDescent="0.4">
      <c r="B9" s="183" t="s">
        <v>1</v>
      </c>
      <c r="C9" s="961" t="s">
        <v>740</v>
      </c>
      <c r="D9" s="962"/>
      <c r="E9" s="962"/>
      <c r="F9" s="962"/>
      <c r="G9" s="963"/>
    </row>
    <row r="10" spans="1:11" ht="18" customHeight="1" x14ac:dyDescent="0.4">
      <c r="B10" s="183" t="s">
        <v>2</v>
      </c>
      <c r="C10" s="970" t="s">
        <v>741</v>
      </c>
      <c r="D10" s="971"/>
      <c r="E10" s="971"/>
      <c r="F10" s="971"/>
      <c r="G10" s="972"/>
    </row>
    <row r="11" spans="1:11" ht="18" customHeight="1" x14ac:dyDescent="0.4">
      <c r="B11" s="183" t="s">
        <v>32</v>
      </c>
      <c r="C11" s="954" t="s">
        <v>742</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2" ht="18" customHeight="1" x14ac:dyDescent="0.4">
      <c r="A17" s="120" t="s">
        <v>184</v>
      </c>
      <c r="B17" s="117" t="s">
        <v>182</v>
      </c>
      <c r="H17" s="280"/>
      <c r="I17" s="280"/>
      <c r="J17" s="280"/>
    </row>
    <row r="18" spans="1:12" ht="18" customHeight="1" x14ac:dyDescent="0.4">
      <c r="A18" s="183" t="s">
        <v>185</v>
      </c>
      <c r="B18" s="116" t="s">
        <v>183</v>
      </c>
      <c r="F18" s="555" t="s">
        <v>73</v>
      </c>
      <c r="G18" s="555" t="s">
        <v>73</v>
      </c>
      <c r="H18" s="556">
        <v>2251469</v>
      </c>
      <c r="I18" s="144">
        <v>0</v>
      </c>
      <c r="J18" s="556">
        <v>1871707</v>
      </c>
      <c r="K18" s="557">
        <f>(H18+I18)-J18</f>
        <v>379762</v>
      </c>
      <c r="L18" s="280"/>
    </row>
    <row r="19" spans="1:12" ht="45" customHeight="1" x14ac:dyDescent="0.4">
      <c r="A19" s="118" t="s">
        <v>8</v>
      </c>
      <c r="B19" s="119"/>
      <c r="C19" s="119"/>
      <c r="D19" s="119"/>
      <c r="E19" s="119"/>
      <c r="F19" s="122" t="s">
        <v>9</v>
      </c>
      <c r="G19" s="122" t="s">
        <v>37</v>
      </c>
      <c r="H19" s="122" t="s">
        <v>29</v>
      </c>
      <c r="I19" s="122" t="s">
        <v>30</v>
      </c>
      <c r="J19" s="122" t="s">
        <v>33</v>
      </c>
      <c r="K19" s="122" t="s">
        <v>34</v>
      </c>
    </row>
    <row r="20" spans="1:12" ht="18" customHeight="1" x14ac:dyDescent="0.4">
      <c r="A20" s="120" t="s">
        <v>74</v>
      </c>
      <c r="B20" s="117" t="s">
        <v>41</v>
      </c>
      <c r="F20" s="280"/>
      <c r="G20" s="280"/>
      <c r="H20" s="280"/>
      <c r="I20" s="280"/>
      <c r="J20" s="280"/>
      <c r="K20" s="280"/>
    </row>
    <row r="21" spans="1:12" ht="18" customHeight="1" x14ac:dyDescent="0.4">
      <c r="A21" s="183" t="s">
        <v>75</v>
      </c>
      <c r="B21" s="116" t="s">
        <v>42</v>
      </c>
      <c r="F21" s="555">
        <v>6145</v>
      </c>
      <c r="G21" s="555">
        <v>28641</v>
      </c>
      <c r="H21" s="556">
        <v>319680</v>
      </c>
      <c r="I21" s="144">
        <f t="shared" ref="I21:I34" si="0">H21*F$114</f>
        <v>319136.54399999999</v>
      </c>
      <c r="J21" s="556">
        <v>0</v>
      </c>
      <c r="K21" s="557">
        <f>(H21+I21)-J21</f>
        <v>638816.54399999999</v>
      </c>
      <c r="L21" s="280"/>
    </row>
    <row r="22" spans="1:12" ht="18" customHeight="1" x14ac:dyDescent="0.4">
      <c r="A22" s="183" t="s">
        <v>76</v>
      </c>
      <c r="B22" s="189" t="s">
        <v>6</v>
      </c>
      <c r="F22" s="555"/>
      <c r="G22" s="555"/>
      <c r="H22" s="556"/>
      <c r="I22" s="144">
        <f t="shared" si="0"/>
        <v>0</v>
      </c>
      <c r="J22" s="556"/>
      <c r="K22" s="557">
        <f t="shared" ref="K22:K34" si="1">(H22+I22)-J22</f>
        <v>0</v>
      </c>
      <c r="L22" s="280"/>
    </row>
    <row r="23" spans="1:12" ht="18" customHeight="1" x14ac:dyDescent="0.4">
      <c r="A23" s="183" t="s">
        <v>77</v>
      </c>
      <c r="B23" s="189" t="s">
        <v>43</v>
      </c>
      <c r="F23" s="555"/>
      <c r="G23" s="555"/>
      <c r="H23" s="556"/>
      <c r="I23" s="144">
        <f t="shared" si="0"/>
        <v>0</v>
      </c>
      <c r="J23" s="556"/>
      <c r="K23" s="557">
        <f t="shared" si="1"/>
        <v>0</v>
      </c>
      <c r="L23" s="280"/>
    </row>
    <row r="24" spans="1:12" ht="18" customHeight="1" x14ac:dyDescent="0.4">
      <c r="A24" s="183" t="s">
        <v>78</v>
      </c>
      <c r="B24" s="189" t="s">
        <v>44</v>
      </c>
      <c r="F24" s="555">
        <v>199190</v>
      </c>
      <c r="G24" s="555">
        <v>485837</v>
      </c>
      <c r="H24" s="556">
        <v>8345946</v>
      </c>
      <c r="I24" s="144">
        <f>H24*F$114</f>
        <v>8331757.8917999994</v>
      </c>
      <c r="J24" s="556">
        <v>7520957</v>
      </c>
      <c r="K24" s="557">
        <f>(H24+I24)-J24</f>
        <v>9156746.8917999994</v>
      </c>
      <c r="L24" s="280"/>
    </row>
    <row r="25" spans="1:12" ht="18" customHeight="1" x14ac:dyDescent="0.4">
      <c r="A25" s="183" t="s">
        <v>79</v>
      </c>
      <c r="B25" s="189" t="s">
        <v>5</v>
      </c>
      <c r="F25" s="555"/>
      <c r="G25" s="555"/>
      <c r="H25" s="556"/>
      <c r="I25" s="144">
        <f t="shared" si="0"/>
        <v>0</v>
      </c>
      <c r="J25" s="556"/>
      <c r="K25" s="557">
        <f t="shared" si="1"/>
        <v>0</v>
      </c>
    </row>
    <row r="26" spans="1:12" ht="18" customHeight="1" x14ac:dyDescent="0.4">
      <c r="A26" s="183" t="s">
        <v>80</v>
      </c>
      <c r="B26" s="189" t="s">
        <v>45</v>
      </c>
      <c r="F26" s="555"/>
      <c r="G26" s="555"/>
      <c r="H26" s="556"/>
      <c r="I26" s="144">
        <f t="shared" si="0"/>
        <v>0</v>
      </c>
      <c r="J26" s="556"/>
      <c r="K26" s="557">
        <f t="shared" si="1"/>
        <v>0</v>
      </c>
    </row>
    <row r="27" spans="1:12" ht="18" customHeight="1" x14ac:dyDescent="0.4">
      <c r="A27" s="183" t="s">
        <v>81</v>
      </c>
      <c r="B27" s="189" t="s">
        <v>498</v>
      </c>
      <c r="F27" s="555"/>
      <c r="G27" s="555"/>
      <c r="H27" s="556"/>
      <c r="I27" s="144">
        <f t="shared" si="0"/>
        <v>0</v>
      </c>
      <c r="J27" s="556"/>
      <c r="K27" s="557">
        <f t="shared" si="1"/>
        <v>0</v>
      </c>
    </row>
    <row r="28" spans="1:12" ht="18" customHeight="1" x14ac:dyDescent="0.4">
      <c r="A28" s="183" t="s">
        <v>82</v>
      </c>
      <c r="B28" s="189" t="s">
        <v>47</v>
      </c>
      <c r="F28" s="555"/>
      <c r="G28" s="555"/>
      <c r="H28" s="556"/>
      <c r="I28" s="144">
        <f t="shared" si="0"/>
        <v>0</v>
      </c>
      <c r="J28" s="556"/>
      <c r="K28" s="557">
        <f t="shared" si="1"/>
        <v>0</v>
      </c>
    </row>
    <row r="29" spans="1:12" ht="18" customHeight="1" x14ac:dyDescent="0.4">
      <c r="A29" s="183" t="s">
        <v>83</v>
      </c>
      <c r="B29" s="189" t="s">
        <v>48</v>
      </c>
      <c r="F29" s="555"/>
      <c r="G29" s="555"/>
      <c r="H29" s="556"/>
      <c r="I29" s="144">
        <f t="shared" si="0"/>
        <v>0</v>
      </c>
      <c r="J29" s="556"/>
      <c r="K29" s="557">
        <f t="shared" si="1"/>
        <v>0</v>
      </c>
    </row>
    <row r="30" spans="1:12" ht="18" customHeight="1" x14ac:dyDescent="0.4">
      <c r="A30" s="183" t="s">
        <v>84</v>
      </c>
      <c r="B30" s="951"/>
      <c r="C30" s="952"/>
      <c r="D30" s="953"/>
      <c r="F30" s="555"/>
      <c r="G30" s="555"/>
      <c r="H30" s="556"/>
      <c r="I30" s="144">
        <f t="shared" si="0"/>
        <v>0</v>
      </c>
      <c r="J30" s="556"/>
      <c r="K30" s="557">
        <f t="shared" si="1"/>
        <v>0</v>
      </c>
    </row>
    <row r="31" spans="1:12" ht="18" customHeight="1" x14ac:dyDescent="0.4">
      <c r="A31" s="183" t="s">
        <v>133</v>
      </c>
      <c r="B31" s="951"/>
      <c r="C31" s="952"/>
      <c r="D31" s="953"/>
      <c r="F31" s="555"/>
      <c r="G31" s="555"/>
      <c r="H31" s="556"/>
      <c r="I31" s="144">
        <f t="shared" si="0"/>
        <v>0</v>
      </c>
      <c r="J31" s="556"/>
      <c r="K31" s="557">
        <f t="shared" si="1"/>
        <v>0</v>
      </c>
    </row>
    <row r="32" spans="1:12" ht="18" customHeight="1" x14ac:dyDescent="0.4">
      <c r="A32" s="183" t="s">
        <v>134</v>
      </c>
      <c r="B32" s="500"/>
      <c r="C32" s="501"/>
      <c r="D32" s="502"/>
      <c r="F32" s="555"/>
      <c r="G32" s="558" t="s">
        <v>85</v>
      </c>
      <c r="H32" s="556"/>
      <c r="I32" s="144">
        <f t="shared" si="0"/>
        <v>0</v>
      </c>
      <c r="J32" s="556"/>
      <c r="K32" s="557">
        <f t="shared" si="1"/>
        <v>0</v>
      </c>
    </row>
    <row r="33" spans="1:12" ht="18" customHeight="1" x14ac:dyDescent="0.4">
      <c r="A33" s="183" t="s">
        <v>135</v>
      </c>
      <c r="B33" s="500"/>
      <c r="C33" s="501"/>
      <c r="D33" s="502"/>
      <c r="F33" s="555"/>
      <c r="G33" s="558" t="s">
        <v>85</v>
      </c>
      <c r="H33" s="556"/>
      <c r="I33" s="144">
        <f t="shared" si="0"/>
        <v>0</v>
      </c>
      <c r="J33" s="556"/>
      <c r="K33" s="557">
        <f t="shared" si="1"/>
        <v>0</v>
      </c>
    </row>
    <row r="34" spans="1:12" ht="18" customHeight="1" x14ac:dyDescent="0.4">
      <c r="A34" s="183" t="s">
        <v>136</v>
      </c>
      <c r="B34" s="951"/>
      <c r="C34" s="952"/>
      <c r="D34" s="953"/>
      <c r="F34" s="555"/>
      <c r="G34" s="558" t="s">
        <v>85</v>
      </c>
      <c r="H34" s="556"/>
      <c r="I34" s="144">
        <f t="shared" si="0"/>
        <v>0</v>
      </c>
      <c r="J34" s="556"/>
      <c r="K34" s="557">
        <f t="shared" si="1"/>
        <v>0</v>
      </c>
    </row>
    <row r="35" spans="1:12" ht="18" customHeight="1" x14ac:dyDescent="0.35">
      <c r="K35" s="559"/>
    </row>
    <row r="36" spans="1:12" ht="18" customHeight="1" x14ac:dyDescent="0.4">
      <c r="A36" s="120" t="s">
        <v>137</v>
      </c>
      <c r="B36" s="117" t="s">
        <v>138</v>
      </c>
      <c r="E36" s="117" t="s">
        <v>7</v>
      </c>
      <c r="F36" s="560">
        <f t="shared" ref="F36:J36" si="2">SUM(F21:F34)</f>
        <v>205335</v>
      </c>
      <c r="G36" s="560">
        <f t="shared" si="2"/>
        <v>514478</v>
      </c>
      <c r="H36" s="560">
        <f>SUM(H21:H34)</f>
        <v>8665626</v>
      </c>
      <c r="I36" s="557">
        <f>SUM(I21:I34)</f>
        <v>8650894.4357999992</v>
      </c>
      <c r="J36" s="557">
        <f t="shared" si="2"/>
        <v>7520957</v>
      </c>
      <c r="K36" s="557">
        <f>SUM(K21:K34)</f>
        <v>9795563.4357999992</v>
      </c>
      <c r="L36" s="280"/>
    </row>
    <row r="37" spans="1:12" ht="18" customHeight="1" thickBot="1" x14ac:dyDescent="0.45">
      <c r="B37" s="117"/>
      <c r="F37" s="127"/>
      <c r="G37" s="127"/>
      <c r="H37" s="128"/>
      <c r="I37" s="128"/>
      <c r="J37" s="128"/>
      <c r="K37" s="139"/>
    </row>
    <row r="38" spans="1:12" ht="42.75" customHeight="1" x14ac:dyDescent="0.4">
      <c r="F38" s="122" t="s">
        <v>9</v>
      </c>
      <c r="G38" s="122" t="s">
        <v>37</v>
      </c>
      <c r="H38" s="122" t="s">
        <v>29</v>
      </c>
      <c r="I38" s="122" t="s">
        <v>30</v>
      </c>
      <c r="J38" s="122" t="s">
        <v>33</v>
      </c>
      <c r="K38" s="122" t="s">
        <v>34</v>
      </c>
    </row>
    <row r="39" spans="1:12" ht="18.75" customHeight="1" x14ac:dyDescent="0.4">
      <c r="A39" s="120" t="s">
        <v>86</v>
      </c>
      <c r="B39" s="117" t="s">
        <v>49</v>
      </c>
      <c r="F39" s="637"/>
      <c r="G39" s="637"/>
      <c r="H39" s="637"/>
      <c r="I39" s="280"/>
      <c r="J39" s="637"/>
      <c r="K39" s="280"/>
    </row>
    <row r="40" spans="1:12" ht="18" customHeight="1" x14ac:dyDescent="0.4">
      <c r="A40" s="183" t="s">
        <v>87</v>
      </c>
      <c r="B40" s="189" t="s">
        <v>31</v>
      </c>
      <c r="F40" s="555"/>
      <c r="G40" s="555"/>
      <c r="H40" s="556"/>
      <c r="I40" s="144">
        <v>0</v>
      </c>
      <c r="J40" s="556"/>
      <c r="K40" s="557">
        <f t="shared" ref="K40:K47" si="3">(H40+I40)-J40</f>
        <v>0</v>
      </c>
    </row>
    <row r="41" spans="1:12" ht="18" customHeight="1" x14ac:dyDescent="0.4">
      <c r="A41" s="183" t="s">
        <v>88</v>
      </c>
      <c r="B41" s="956" t="s">
        <v>50</v>
      </c>
      <c r="C41" s="957"/>
      <c r="F41" s="555"/>
      <c r="G41" s="555"/>
      <c r="H41" s="556"/>
      <c r="I41" s="144">
        <v>0</v>
      </c>
      <c r="J41" s="556"/>
      <c r="K41" s="557">
        <f t="shared" si="3"/>
        <v>0</v>
      </c>
    </row>
    <row r="42" spans="1:12" ht="18" customHeight="1" x14ac:dyDescent="0.4">
      <c r="A42" s="183" t="s">
        <v>89</v>
      </c>
      <c r="B42" s="116" t="s">
        <v>11</v>
      </c>
      <c r="F42" s="555"/>
      <c r="G42" s="555"/>
      <c r="H42" s="556"/>
      <c r="I42" s="144">
        <v>0</v>
      </c>
      <c r="J42" s="556"/>
      <c r="K42" s="557">
        <f t="shared" si="3"/>
        <v>0</v>
      </c>
    </row>
    <row r="43" spans="1:12" ht="18" customHeight="1" x14ac:dyDescent="0.4">
      <c r="A43" s="183" t="s">
        <v>90</v>
      </c>
      <c r="B43" s="141" t="s">
        <v>10</v>
      </c>
      <c r="C43" s="123"/>
      <c r="D43" s="123"/>
      <c r="F43" s="555"/>
      <c r="G43" s="555"/>
      <c r="H43" s="556"/>
      <c r="I43" s="144">
        <v>0</v>
      </c>
      <c r="J43" s="556"/>
      <c r="K43" s="557">
        <f t="shared" si="3"/>
        <v>0</v>
      </c>
    </row>
    <row r="44" spans="1:12" ht="18" customHeight="1" x14ac:dyDescent="0.4">
      <c r="A44" s="183" t="s">
        <v>91</v>
      </c>
      <c r="B44" s="951"/>
      <c r="C44" s="952"/>
      <c r="D44" s="953"/>
      <c r="F44" s="561"/>
      <c r="G44" s="561"/>
      <c r="H44" s="561"/>
      <c r="I44" s="146">
        <v>0</v>
      </c>
      <c r="J44" s="561"/>
      <c r="K44" s="562">
        <f t="shared" si="3"/>
        <v>0</v>
      </c>
    </row>
    <row r="45" spans="1:12" ht="18" customHeight="1" x14ac:dyDescent="0.4">
      <c r="A45" s="183" t="s">
        <v>139</v>
      </c>
      <c r="B45" s="951"/>
      <c r="C45" s="952"/>
      <c r="D45" s="953"/>
      <c r="F45" s="555"/>
      <c r="G45" s="555"/>
      <c r="H45" s="556"/>
      <c r="I45" s="144">
        <v>0</v>
      </c>
      <c r="J45" s="556"/>
      <c r="K45" s="557">
        <f t="shared" si="3"/>
        <v>0</v>
      </c>
    </row>
    <row r="46" spans="1:12" ht="18" customHeight="1" x14ac:dyDescent="0.4">
      <c r="A46" s="183" t="s">
        <v>140</v>
      </c>
      <c r="B46" s="951"/>
      <c r="C46" s="952"/>
      <c r="D46" s="953"/>
      <c r="F46" s="555"/>
      <c r="G46" s="555"/>
      <c r="H46" s="556"/>
      <c r="I46" s="144">
        <v>0</v>
      </c>
      <c r="J46" s="556"/>
      <c r="K46" s="557">
        <f t="shared" si="3"/>
        <v>0</v>
      </c>
    </row>
    <row r="47" spans="1:12" ht="18" customHeight="1" x14ac:dyDescent="0.4">
      <c r="A47" s="183" t="s">
        <v>141</v>
      </c>
      <c r="B47" s="951"/>
      <c r="C47" s="952"/>
      <c r="D47" s="953"/>
      <c r="F47" s="555"/>
      <c r="G47" s="555"/>
      <c r="H47" s="556"/>
      <c r="I47" s="144">
        <v>0</v>
      </c>
      <c r="J47" s="556"/>
      <c r="K47" s="557">
        <f t="shared" si="3"/>
        <v>0</v>
      </c>
    </row>
    <row r="49" spans="1:12" ht="18" customHeight="1" x14ac:dyDescent="0.4">
      <c r="A49" s="120" t="s">
        <v>142</v>
      </c>
      <c r="B49" s="117" t="s">
        <v>143</v>
      </c>
      <c r="E49" s="117" t="s">
        <v>7</v>
      </c>
      <c r="F49" s="563">
        <f t="shared" ref="F49:K49" si="4">SUM(F40:F47)</f>
        <v>0</v>
      </c>
      <c r="G49" s="563">
        <f t="shared" si="4"/>
        <v>0</v>
      </c>
      <c r="H49" s="557">
        <f t="shared" si="4"/>
        <v>0</v>
      </c>
      <c r="I49" s="557">
        <f t="shared" si="4"/>
        <v>0</v>
      </c>
      <c r="J49" s="557">
        <f t="shared" si="4"/>
        <v>0</v>
      </c>
      <c r="K49" s="557">
        <f t="shared" si="4"/>
        <v>0</v>
      </c>
      <c r="L49" s="280"/>
    </row>
    <row r="50" spans="1:12" ht="18" customHeight="1" thickBot="1" x14ac:dyDescent="0.4">
      <c r="G50" s="129"/>
      <c r="H50" s="129"/>
      <c r="I50" s="129"/>
      <c r="J50" s="129"/>
      <c r="K50" s="129"/>
    </row>
    <row r="51" spans="1:12" ht="42.75" customHeight="1" x14ac:dyDescent="0.4">
      <c r="F51" s="122" t="s">
        <v>9</v>
      </c>
      <c r="G51" s="122" t="s">
        <v>37</v>
      </c>
      <c r="H51" s="122" t="s">
        <v>29</v>
      </c>
      <c r="I51" s="122" t="s">
        <v>30</v>
      </c>
      <c r="J51" s="122" t="s">
        <v>33</v>
      </c>
      <c r="K51" s="122" t="s">
        <v>34</v>
      </c>
    </row>
    <row r="52" spans="1:12" ht="18" customHeight="1" x14ac:dyDescent="0.4">
      <c r="A52" s="120" t="s">
        <v>92</v>
      </c>
      <c r="B52" s="976" t="s">
        <v>38</v>
      </c>
      <c r="C52" s="977"/>
      <c r="F52" s="280"/>
      <c r="G52" s="280"/>
      <c r="H52" s="280"/>
      <c r="I52" s="636"/>
      <c r="J52" s="280"/>
      <c r="K52" s="636"/>
    </row>
    <row r="53" spans="1:12" ht="18" customHeight="1" x14ac:dyDescent="0.4">
      <c r="A53" s="183" t="s">
        <v>51</v>
      </c>
      <c r="B53" s="1019" t="s">
        <v>249</v>
      </c>
      <c r="C53" s="979"/>
      <c r="D53" s="975"/>
      <c r="F53" s="555">
        <v>13104</v>
      </c>
      <c r="G53" s="555">
        <v>53921</v>
      </c>
      <c r="H53" s="556">
        <v>321256</v>
      </c>
      <c r="I53" s="144">
        <f>H53*F$114</f>
        <v>320709.86479999998</v>
      </c>
      <c r="J53" s="556">
        <v>0</v>
      </c>
      <c r="K53" s="557">
        <f>(H53+I53)-J53</f>
        <v>641965.86479999998</v>
      </c>
      <c r="L53" s="280"/>
    </row>
    <row r="54" spans="1:12" ht="18" customHeight="1" x14ac:dyDescent="0.4">
      <c r="A54" s="183" t="s">
        <v>93</v>
      </c>
      <c r="B54" s="503"/>
      <c r="C54" s="504"/>
      <c r="D54" s="505"/>
      <c r="F54" s="555"/>
      <c r="G54" s="555"/>
      <c r="H54" s="556"/>
      <c r="I54" s="144">
        <v>0</v>
      </c>
      <c r="J54" s="556"/>
      <c r="K54" s="557">
        <f t="shared" ref="K54:K62" si="5">(H54+I54)-J54</f>
        <v>0</v>
      </c>
    </row>
    <row r="55" spans="1:12" ht="18" customHeight="1" x14ac:dyDescent="0.4">
      <c r="A55" s="183" t="s">
        <v>94</v>
      </c>
      <c r="B55" s="980"/>
      <c r="C55" s="974"/>
      <c r="D55" s="975"/>
      <c r="F55" s="555"/>
      <c r="G55" s="555"/>
      <c r="H55" s="556"/>
      <c r="I55" s="144">
        <v>0</v>
      </c>
      <c r="J55" s="556"/>
      <c r="K55" s="557">
        <f t="shared" si="5"/>
        <v>0</v>
      </c>
    </row>
    <row r="56" spans="1:12" ht="18" customHeight="1" x14ac:dyDescent="0.4">
      <c r="A56" s="183" t="s">
        <v>95</v>
      </c>
      <c r="B56" s="980"/>
      <c r="C56" s="974"/>
      <c r="D56" s="975"/>
      <c r="F56" s="555"/>
      <c r="G56" s="555"/>
      <c r="H56" s="556"/>
      <c r="I56" s="144">
        <v>0</v>
      </c>
      <c r="J56" s="556"/>
      <c r="K56" s="557">
        <f t="shared" si="5"/>
        <v>0</v>
      </c>
    </row>
    <row r="57" spans="1:12" ht="18" customHeight="1" x14ac:dyDescent="0.4">
      <c r="A57" s="183" t="s">
        <v>96</v>
      </c>
      <c r="B57" s="980"/>
      <c r="C57" s="974"/>
      <c r="D57" s="975"/>
      <c r="F57" s="555"/>
      <c r="G57" s="555"/>
      <c r="H57" s="556"/>
      <c r="I57" s="144">
        <v>0</v>
      </c>
      <c r="J57" s="556"/>
      <c r="K57" s="557">
        <f t="shared" si="5"/>
        <v>0</v>
      </c>
    </row>
    <row r="58" spans="1:12" ht="18" customHeight="1" x14ac:dyDescent="0.4">
      <c r="A58" s="183" t="s">
        <v>97</v>
      </c>
      <c r="B58" s="503"/>
      <c r="C58" s="504"/>
      <c r="D58" s="505"/>
      <c r="F58" s="555"/>
      <c r="G58" s="555"/>
      <c r="H58" s="556"/>
      <c r="I58" s="144">
        <v>0</v>
      </c>
      <c r="J58" s="556"/>
      <c r="K58" s="557">
        <f t="shared" si="5"/>
        <v>0</v>
      </c>
    </row>
    <row r="59" spans="1:12" ht="18" customHeight="1" x14ac:dyDescent="0.4">
      <c r="A59" s="183" t="s">
        <v>98</v>
      </c>
      <c r="B59" s="980"/>
      <c r="C59" s="974"/>
      <c r="D59" s="975"/>
      <c r="F59" s="555"/>
      <c r="G59" s="555"/>
      <c r="H59" s="556"/>
      <c r="I59" s="144">
        <v>0</v>
      </c>
      <c r="J59" s="556"/>
      <c r="K59" s="557">
        <f t="shared" si="5"/>
        <v>0</v>
      </c>
    </row>
    <row r="60" spans="1:12" ht="18" customHeight="1" x14ac:dyDescent="0.4">
      <c r="A60" s="183" t="s">
        <v>99</v>
      </c>
      <c r="B60" s="503"/>
      <c r="C60" s="504"/>
      <c r="D60" s="505"/>
      <c r="F60" s="555"/>
      <c r="G60" s="555"/>
      <c r="H60" s="556"/>
      <c r="I60" s="144">
        <v>0</v>
      </c>
      <c r="J60" s="556"/>
      <c r="K60" s="557">
        <f t="shared" si="5"/>
        <v>0</v>
      </c>
    </row>
    <row r="61" spans="1:12" ht="18" customHeight="1" x14ac:dyDescent="0.4">
      <c r="A61" s="183" t="s">
        <v>100</v>
      </c>
      <c r="B61" s="503"/>
      <c r="C61" s="504"/>
      <c r="D61" s="505"/>
      <c r="F61" s="555"/>
      <c r="G61" s="555"/>
      <c r="H61" s="556"/>
      <c r="I61" s="144">
        <v>0</v>
      </c>
      <c r="J61" s="556"/>
      <c r="K61" s="557">
        <f t="shared" si="5"/>
        <v>0</v>
      </c>
    </row>
    <row r="62" spans="1:12" ht="18" customHeight="1" x14ac:dyDescent="0.4">
      <c r="A62" s="183" t="s">
        <v>101</v>
      </c>
      <c r="B62" s="980"/>
      <c r="C62" s="974"/>
      <c r="D62" s="975"/>
      <c r="F62" s="555"/>
      <c r="G62" s="555"/>
      <c r="H62" s="556"/>
      <c r="I62" s="144">
        <v>0</v>
      </c>
      <c r="J62" s="556"/>
      <c r="K62" s="557">
        <f t="shared" si="5"/>
        <v>0</v>
      </c>
    </row>
    <row r="63" spans="1:12" ht="18" customHeight="1" x14ac:dyDescent="0.4">
      <c r="A63" s="183"/>
      <c r="I63" s="140"/>
    </row>
    <row r="64" spans="1:12" ht="18" customHeight="1" x14ac:dyDescent="0.4">
      <c r="A64" s="183" t="s">
        <v>144</v>
      </c>
      <c r="B64" s="117" t="s">
        <v>145</v>
      </c>
      <c r="E64" s="117" t="s">
        <v>7</v>
      </c>
      <c r="F64" s="560">
        <f t="shared" ref="F64:J64" si="6">SUM(F53:F62)</f>
        <v>13104</v>
      </c>
      <c r="G64" s="560">
        <f t="shared" si="6"/>
        <v>53921</v>
      </c>
      <c r="H64" s="557">
        <f t="shared" si="6"/>
        <v>321256</v>
      </c>
      <c r="I64" s="557">
        <f>SUM(I53:I62)</f>
        <v>320709.86479999998</v>
      </c>
      <c r="J64" s="557">
        <f t="shared" si="6"/>
        <v>0</v>
      </c>
      <c r="K64" s="557">
        <f>SUM(K53:K62)</f>
        <v>641965.86479999998</v>
      </c>
      <c r="L64" s="280"/>
    </row>
    <row r="65" spans="1:12" ht="18" customHeight="1" x14ac:dyDescent="0.35">
      <c r="F65" s="142"/>
      <c r="G65" s="142"/>
      <c r="H65" s="142"/>
      <c r="I65" s="142"/>
      <c r="J65" s="142"/>
      <c r="K65" s="142"/>
    </row>
    <row r="66" spans="1:12" ht="42.75" customHeight="1" x14ac:dyDescent="0.4">
      <c r="F66" s="147" t="s">
        <v>9</v>
      </c>
      <c r="G66" s="147" t="s">
        <v>37</v>
      </c>
      <c r="H66" s="147" t="s">
        <v>29</v>
      </c>
      <c r="I66" s="147" t="s">
        <v>30</v>
      </c>
      <c r="J66" s="147" t="s">
        <v>33</v>
      </c>
      <c r="K66" s="147" t="s">
        <v>34</v>
      </c>
    </row>
    <row r="67" spans="1:12" ht="18" customHeight="1" x14ac:dyDescent="0.4">
      <c r="A67" s="120" t="s">
        <v>102</v>
      </c>
      <c r="B67" s="117" t="s">
        <v>12</v>
      </c>
      <c r="F67" s="638"/>
      <c r="G67" s="638"/>
      <c r="H67" s="638"/>
      <c r="I67" s="280"/>
      <c r="J67" s="638"/>
      <c r="K67" s="280"/>
    </row>
    <row r="68" spans="1:12" ht="18" customHeight="1" x14ac:dyDescent="0.4">
      <c r="A68" s="183" t="s">
        <v>103</v>
      </c>
      <c r="B68" s="189" t="s">
        <v>52</v>
      </c>
      <c r="F68" s="564">
        <v>108</v>
      </c>
      <c r="G68" s="564">
        <v>18</v>
      </c>
      <c r="H68" s="564">
        <v>6930</v>
      </c>
      <c r="I68" s="144">
        <f>H68*F$114</f>
        <v>6918.2190000000001</v>
      </c>
      <c r="J68" s="564">
        <v>6207</v>
      </c>
      <c r="K68" s="557">
        <f>(H68+I68)-J68</f>
        <v>7641.219000000001</v>
      </c>
      <c r="L68" s="280"/>
    </row>
    <row r="69" spans="1:12" ht="18" customHeight="1" x14ac:dyDescent="0.4">
      <c r="A69" s="183" t="s">
        <v>104</v>
      </c>
      <c r="B69" s="116" t="s">
        <v>53</v>
      </c>
      <c r="F69" s="564"/>
      <c r="G69" s="564"/>
      <c r="H69" s="564"/>
      <c r="I69" s="144">
        <v>0</v>
      </c>
      <c r="J69" s="564"/>
      <c r="K69" s="557">
        <f>(H69+I69)-J69</f>
        <v>0</v>
      </c>
    </row>
    <row r="70" spans="1:12" ht="18" customHeight="1" x14ac:dyDescent="0.4">
      <c r="A70" s="183" t="s">
        <v>178</v>
      </c>
      <c r="B70" s="503"/>
      <c r="C70" s="504"/>
      <c r="D70" s="505"/>
      <c r="E70" s="117"/>
      <c r="F70" s="131"/>
      <c r="G70" s="131"/>
      <c r="H70" s="132"/>
      <c r="I70" s="144">
        <v>0</v>
      </c>
      <c r="J70" s="132"/>
      <c r="K70" s="557">
        <f>(H70+I70)-J70</f>
        <v>0</v>
      </c>
    </row>
    <row r="71" spans="1:12" ht="18" customHeight="1" x14ac:dyDescent="0.4">
      <c r="A71" s="183" t="s">
        <v>179</v>
      </c>
      <c r="B71" s="503"/>
      <c r="C71" s="504"/>
      <c r="D71" s="505"/>
      <c r="E71" s="117"/>
      <c r="F71" s="131"/>
      <c r="G71" s="131"/>
      <c r="H71" s="132"/>
      <c r="I71" s="144">
        <v>0</v>
      </c>
      <c r="J71" s="132"/>
      <c r="K71" s="557">
        <f>(H71+I71)-J71</f>
        <v>0</v>
      </c>
    </row>
    <row r="72" spans="1:12" ht="18" customHeight="1" x14ac:dyDescent="0.4">
      <c r="A72" s="183" t="s">
        <v>180</v>
      </c>
      <c r="B72" s="510"/>
      <c r="C72" s="508"/>
      <c r="D72" s="130"/>
      <c r="E72" s="117"/>
      <c r="F72" s="555"/>
      <c r="G72" s="555"/>
      <c r="H72" s="556"/>
      <c r="I72" s="144">
        <v>0</v>
      </c>
      <c r="J72" s="556"/>
      <c r="K72" s="557">
        <f>(H72+I72)-J72</f>
        <v>0</v>
      </c>
    </row>
    <row r="73" spans="1:12" ht="18" customHeight="1" x14ac:dyDescent="0.4">
      <c r="A73" s="183"/>
      <c r="B73" s="116"/>
      <c r="E73" s="117"/>
      <c r="F73" s="151"/>
      <c r="G73" s="151"/>
      <c r="H73" s="152"/>
      <c r="I73" s="149"/>
      <c r="J73" s="152"/>
      <c r="K73" s="150"/>
    </row>
    <row r="74" spans="1:12" ht="18" customHeight="1" x14ac:dyDescent="0.4">
      <c r="A74" s="120" t="s">
        <v>146</v>
      </c>
      <c r="B74" s="117" t="s">
        <v>147</v>
      </c>
      <c r="E74" s="117" t="s">
        <v>7</v>
      </c>
      <c r="F74" s="566">
        <f t="shared" ref="F74:J74" si="7">SUM(F68:F72)</f>
        <v>108</v>
      </c>
      <c r="G74" s="566">
        <f t="shared" si="7"/>
        <v>18</v>
      </c>
      <c r="H74" s="566">
        <f t="shared" si="7"/>
        <v>6930</v>
      </c>
      <c r="I74" s="145">
        <f>SUM(I68:I72)</f>
        <v>6918.2190000000001</v>
      </c>
      <c r="J74" s="566">
        <f t="shared" si="7"/>
        <v>6207</v>
      </c>
      <c r="K74" s="567">
        <f>SUM(K68:K72)</f>
        <v>7641.219000000001</v>
      </c>
      <c r="L74" s="280"/>
    </row>
    <row r="75" spans="1:12" ht="42.75" customHeight="1" x14ac:dyDescent="0.4">
      <c r="F75" s="122" t="s">
        <v>9</v>
      </c>
      <c r="G75" s="122" t="s">
        <v>37</v>
      </c>
      <c r="H75" s="122" t="s">
        <v>29</v>
      </c>
      <c r="I75" s="122" t="s">
        <v>30</v>
      </c>
      <c r="J75" s="122" t="s">
        <v>33</v>
      </c>
      <c r="K75" s="122" t="s">
        <v>34</v>
      </c>
    </row>
    <row r="76" spans="1:12" ht="18" customHeight="1" x14ac:dyDescent="0.4">
      <c r="A76" s="120" t="s">
        <v>105</v>
      </c>
      <c r="B76" s="117" t="s">
        <v>106</v>
      </c>
      <c r="F76" s="637"/>
      <c r="G76" s="637"/>
      <c r="H76" s="637"/>
      <c r="I76" s="280"/>
      <c r="J76" s="637"/>
      <c r="K76" s="280"/>
    </row>
    <row r="77" spans="1:12" ht="18" customHeight="1" x14ac:dyDescent="0.4">
      <c r="A77" s="183" t="s">
        <v>107</v>
      </c>
      <c r="B77" s="116" t="s">
        <v>54</v>
      </c>
      <c r="F77" s="555"/>
      <c r="G77" s="555"/>
      <c r="H77" s="556"/>
      <c r="I77" s="144">
        <v>0</v>
      </c>
      <c r="J77" s="556"/>
      <c r="K77" s="557">
        <f>(H77+I77)-J77</f>
        <v>0</v>
      </c>
    </row>
    <row r="78" spans="1:12" ht="18" customHeight="1" x14ac:dyDescent="0.4">
      <c r="A78" s="183" t="s">
        <v>108</v>
      </c>
      <c r="B78" s="116" t="s">
        <v>55</v>
      </c>
      <c r="F78" s="555"/>
      <c r="G78" s="555"/>
      <c r="H78" s="556"/>
      <c r="I78" s="144">
        <v>0</v>
      </c>
      <c r="J78" s="556"/>
      <c r="K78" s="557">
        <f>(H78+I78)-J78</f>
        <v>0</v>
      </c>
    </row>
    <row r="79" spans="1:12" ht="18" customHeight="1" x14ac:dyDescent="0.4">
      <c r="A79" s="183" t="s">
        <v>109</v>
      </c>
      <c r="B79" s="116" t="s">
        <v>13</v>
      </c>
      <c r="F79" s="555"/>
      <c r="G79" s="555"/>
      <c r="H79" s="556"/>
      <c r="I79" s="144">
        <v>0</v>
      </c>
      <c r="J79" s="556"/>
      <c r="K79" s="557">
        <f>(H79+I79)-J79</f>
        <v>0</v>
      </c>
    </row>
    <row r="80" spans="1:12" ht="18" customHeight="1" x14ac:dyDescent="0.4">
      <c r="A80" s="183" t="s">
        <v>110</v>
      </c>
      <c r="B80" s="116" t="s">
        <v>56</v>
      </c>
      <c r="F80" s="555"/>
      <c r="G80" s="555"/>
      <c r="H80" s="556"/>
      <c r="I80" s="144">
        <v>0</v>
      </c>
      <c r="J80" s="556"/>
      <c r="K80" s="557">
        <f>(H80+I80)-J80</f>
        <v>0</v>
      </c>
    </row>
    <row r="81" spans="1:12" ht="18" customHeight="1" x14ac:dyDescent="0.4">
      <c r="A81" s="183"/>
      <c r="K81" s="568"/>
    </row>
    <row r="82" spans="1:12" ht="18" customHeight="1" x14ac:dyDescent="0.4">
      <c r="A82" s="183" t="s">
        <v>148</v>
      </c>
      <c r="B82" s="117" t="s">
        <v>149</v>
      </c>
      <c r="E82" s="117" t="s">
        <v>7</v>
      </c>
      <c r="F82" s="566">
        <f t="shared" ref="F82:K82" si="8">SUM(F77:F80)</f>
        <v>0</v>
      </c>
      <c r="G82" s="566">
        <f t="shared" si="8"/>
        <v>0</v>
      </c>
      <c r="H82" s="567">
        <f t="shared" si="8"/>
        <v>0</v>
      </c>
      <c r="I82" s="567">
        <f t="shared" si="8"/>
        <v>0</v>
      </c>
      <c r="J82" s="567">
        <f t="shared" si="8"/>
        <v>0</v>
      </c>
      <c r="K82" s="567">
        <f t="shared" si="8"/>
        <v>0</v>
      </c>
      <c r="L82" s="280"/>
    </row>
    <row r="83" spans="1:12" ht="18" customHeight="1" thickBot="1" x14ac:dyDescent="0.45">
      <c r="A83" s="183"/>
      <c r="F83" s="129"/>
      <c r="G83" s="129"/>
      <c r="H83" s="129"/>
      <c r="I83" s="129"/>
      <c r="J83" s="129"/>
      <c r="K83" s="129"/>
    </row>
    <row r="84" spans="1:12" ht="42.75" customHeight="1" x14ac:dyDescent="0.4">
      <c r="F84" s="122" t="s">
        <v>9</v>
      </c>
      <c r="G84" s="122" t="s">
        <v>37</v>
      </c>
      <c r="H84" s="122" t="s">
        <v>29</v>
      </c>
      <c r="I84" s="122" t="s">
        <v>30</v>
      </c>
      <c r="J84" s="122" t="s">
        <v>33</v>
      </c>
      <c r="K84" s="122" t="s">
        <v>34</v>
      </c>
    </row>
    <row r="85" spans="1:12" ht="18" customHeight="1" x14ac:dyDescent="0.4">
      <c r="A85" s="120" t="s">
        <v>111</v>
      </c>
      <c r="B85" s="117" t="s">
        <v>57</v>
      </c>
      <c r="F85" s="280"/>
      <c r="G85" s="280"/>
      <c r="H85" s="280"/>
      <c r="I85" s="280"/>
      <c r="J85" s="280"/>
      <c r="K85" s="280"/>
    </row>
    <row r="86" spans="1:12" ht="18" customHeight="1" x14ac:dyDescent="0.4">
      <c r="A86" s="183" t="s">
        <v>112</v>
      </c>
      <c r="B86" s="116" t="s">
        <v>113</v>
      </c>
      <c r="F86" s="555">
        <v>17722</v>
      </c>
      <c r="G86" s="555">
        <v>1329</v>
      </c>
      <c r="H86" s="556">
        <v>4531132</v>
      </c>
      <c r="I86" s="144">
        <f t="shared" ref="I86:I96" si="9">H86*F$114</f>
        <v>4523429.0756000001</v>
      </c>
      <c r="J86" s="556">
        <v>2760136</v>
      </c>
      <c r="K86" s="557">
        <f t="shared" ref="K86:K96" si="10">(H86+I86)-J86</f>
        <v>6294425.0756000001</v>
      </c>
      <c r="L86" s="280"/>
    </row>
    <row r="87" spans="1:12" ht="18" customHeight="1" x14ac:dyDescent="0.4">
      <c r="A87" s="183" t="s">
        <v>114</v>
      </c>
      <c r="B87" s="116" t="s">
        <v>14</v>
      </c>
      <c r="F87" s="555"/>
      <c r="G87" s="555"/>
      <c r="H87" s="556"/>
      <c r="I87" s="144">
        <f t="shared" si="9"/>
        <v>0</v>
      </c>
      <c r="J87" s="556"/>
      <c r="K87" s="557">
        <f t="shared" si="10"/>
        <v>0</v>
      </c>
    </row>
    <row r="88" spans="1:12" ht="18" customHeight="1" x14ac:dyDescent="0.4">
      <c r="A88" s="183" t="s">
        <v>115</v>
      </c>
      <c r="B88" s="116" t="s">
        <v>116</v>
      </c>
      <c r="F88" s="555"/>
      <c r="G88" s="555"/>
      <c r="H88" s="556"/>
      <c r="I88" s="144">
        <f t="shared" si="9"/>
        <v>0</v>
      </c>
      <c r="J88" s="556"/>
      <c r="K88" s="557">
        <f t="shared" si="10"/>
        <v>0</v>
      </c>
    </row>
    <row r="89" spans="1:12" ht="18" customHeight="1" x14ac:dyDescent="0.4">
      <c r="A89" s="183" t="s">
        <v>117</v>
      </c>
      <c r="B89" s="116" t="s">
        <v>58</v>
      </c>
      <c r="F89" s="555"/>
      <c r="G89" s="555"/>
      <c r="H89" s="556"/>
      <c r="I89" s="144">
        <f t="shared" si="9"/>
        <v>0</v>
      </c>
      <c r="J89" s="556"/>
      <c r="K89" s="557">
        <f t="shared" si="10"/>
        <v>0</v>
      </c>
    </row>
    <row r="90" spans="1:12" ht="18" customHeight="1" x14ac:dyDescent="0.4">
      <c r="A90" s="183" t="s">
        <v>118</v>
      </c>
      <c r="B90" s="956" t="s">
        <v>59</v>
      </c>
      <c r="C90" s="957"/>
      <c r="F90" s="555"/>
      <c r="G90" s="555"/>
      <c r="H90" s="556"/>
      <c r="I90" s="144">
        <f t="shared" si="9"/>
        <v>0</v>
      </c>
      <c r="J90" s="556"/>
      <c r="K90" s="557">
        <f t="shared" si="10"/>
        <v>0</v>
      </c>
    </row>
    <row r="91" spans="1:12" ht="18" customHeight="1" x14ac:dyDescent="0.4">
      <c r="A91" s="183" t="s">
        <v>119</v>
      </c>
      <c r="B91" s="116" t="s">
        <v>60</v>
      </c>
      <c r="F91" s="555"/>
      <c r="G91" s="555"/>
      <c r="H91" s="556"/>
      <c r="I91" s="144">
        <f t="shared" si="9"/>
        <v>0</v>
      </c>
      <c r="J91" s="556"/>
      <c r="K91" s="557">
        <f t="shared" si="10"/>
        <v>0</v>
      </c>
    </row>
    <row r="92" spans="1:12" ht="18" customHeight="1" x14ac:dyDescent="0.4">
      <c r="A92" s="183" t="s">
        <v>120</v>
      </c>
      <c r="B92" s="116" t="s">
        <v>121</v>
      </c>
      <c r="F92" s="134"/>
      <c r="G92" s="134"/>
      <c r="H92" s="135"/>
      <c r="I92" s="144">
        <f t="shared" si="9"/>
        <v>0</v>
      </c>
      <c r="J92" s="135"/>
      <c r="K92" s="557">
        <f t="shared" si="10"/>
        <v>0</v>
      </c>
    </row>
    <row r="93" spans="1:12" ht="18" customHeight="1" x14ac:dyDescent="0.4">
      <c r="A93" s="183" t="s">
        <v>122</v>
      </c>
      <c r="B93" s="116" t="s">
        <v>123</v>
      </c>
      <c r="F93" s="555"/>
      <c r="G93" s="555"/>
      <c r="H93" s="556"/>
      <c r="I93" s="144">
        <f t="shared" si="9"/>
        <v>0</v>
      </c>
      <c r="J93" s="556"/>
      <c r="K93" s="557">
        <f t="shared" si="10"/>
        <v>0</v>
      </c>
    </row>
    <row r="94" spans="1:12" ht="18" customHeight="1" x14ac:dyDescent="0.4">
      <c r="A94" s="183" t="s">
        <v>124</v>
      </c>
      <c r="B94" s="980"/>
      <c r="C94" s="974"/>
      <c r="D94" s="975"/>
      <c r="F94" s="555"/>
      <c r="G94" s="555"/>
      <c r="H94" s="556"/>
      <c r="I94" s="144">
        <f t="shared" si="9"/>
        <v>0</v>
      </c>
      <c r="J94" s="556"/>
      <c r="K94" s="557">
        <f t="shared" si="10"/>
        <v>0</v>
      </c>
    </row>
    <row r="95" spans="1:12" ht="18" customHeight="1" x14ac:dyDescent="0.4">
      <c r="A95" s="183" t="s">
        <v>125</v>
      </c>
      <c r="B95" s="980"/>
      <c r="C95" s="974"/>
      <c r="D95" s="975"/>
      <c r="F95" s="555"/>
      <c r="G95" s="555"/>
      <c r="H95" s="556"/>
      <c r="I95" s="144">
        <f t="shared" si="9"/>
        <v>0</v>
      </c>
      <c r="J95" s="556"/>
      <c r="K95" s="557">
        <f t="shared" si="10"/>
        <v>0</v>
      </c>
    </row>
    <row r="96" spans="1:12" ht="18" customHeight="1" x14ac:dyDescent="0.4">
      <c r="A96" s="183" t="s">
        <v>126</v>
      </c>
      <c r="B96" s="980"/>
      <c r="C96" s="974"/>
      <c r="D96" s="975"/>
      <c r="F96" s="555"/>
      <c r="G96" s="555"/>
      <c r="H96" s="556"/>
      <c r="I96" s="144">
        <f t="shared" si="9"/>
        <v>0</v>
      </c>
      <c r="J96" s="556"/>
      <c r="K96" s="557">
        <f t="shared" si="10"/>
        <v>0</v>
      </c>
    </row>
    <row r="97" spans="1:12" ht="18" customHeight="1" x14ac:dyDescent="0.4">
      <c r="A97" s="183"/>
      <c r="B97" s="116"/>
    </row>
    <row r="98" spans="1:12" ht="18" customHeight="1" x14ac:dyDescent="0.4">
      <c r="A98" s="120" t="s">
        <v>150</v>
      </c>
      <c r="B98" s="117" t="s">
        <v>151</v>
      </c>
      <c r="E98" s="117" t="s">
        <v>7</v>
      </c>
      <c r="F98" s="560">
        <f t="shared" ref="F98:K98" si="11">SUM(F86:F96)</f>
        <v>17722</v>
      </c>
      <c r="G98" s="560">
        <f t="shared" si="11"/>
        <v>1329</v>
      </c>
      <c r="H98" s="560">
        <f t="shared" si="11"/>
        <v>4531132</v>
      </c>
      <c r="I98" s="560">
        <f t="shared" si="11"/>
        <v>4523429.0756000001</v>
      </c>
      <c r="J98" s="560">
        <f t="shared" si="11"/>
        <v>2760136</v>
      </c>
      <c r="K98" s="560">
        <f t="shared" si="11"/>
        <v>6294425.0756000001</v>
      </c>
      <c r="L98" s="280"/>
    </row>
    <row r="99" spans="1:12" ht="18" customHeight="1" thickBot="1" x14ac:dyDescent="0.45">
      <c r="B99" s="117"/>
      <c r="F99" s="129"/>
      <c r="G99" s="129"/>
      <c r="H99" s="129"/>
      <c r="I99" s="129"/>
      <c r="J99" s="129"/>
      <c r="K99" s="129"/>
    </row>
    <row r="100" spans="1:12" ht="42.75" customHeight="1" x14ac:dyDescent="0.4">
      <c r="F100" s="122" t="s">
        <v>9</v>
      </c>
      <c r="G100" s="122" t="s">
        <v>37</v>
      </c>
      <c r="H100" s="122" t="s">
        <v>29</v>
      </c>
      <c r="I100" s="122" t="s">
        <v>30</v>
      </c>
      <c r="J100" s="122" t="s">
        <v>33</v>
      </c>
      <c r="K100" s="122" t="s">
        <v>34</v>
      </c>
    </row>
    <row r="101" spans="1:12" ht="18" customHeight="1" x14ac:dyDescent="0.4">
      <c r="A101" s="120" t="s">
        <v>130</v>
      </c>
      <c r="B101" s="117" t="s">
        <v>63</v>
      </c>
      <c r="F101" s="280"/>
      <c r="G101" s="280"/>
      <c r="H101" s="280"/>
      <c r="I101" s="280"/>
      <c r="J101" s="280"/>
      <c r="K101" s="280"/>
    </row>
    <row r="102" spans="1:12" ht="18" customHeight="1" x14ac:dyDescent="0.4">
      <c r="A102" s="183" t="s">
        <v>131</v>
      </c>
      <c r="B102" s="116" t="s">
        <v>152</v>
      </c>
      <c r="F102" s="555">
        <v>17073</v>
      </c>
      <c r="G102" s="555">
        <v>24960</v>
      </c>
      <c r="H102" s="556">
        <v>1215714</v>
      </c>
      <c r="I102" s="144">
        <f>H102*F$114</f>
        <v>1213647.2862</v>
      </c>
      <c r="J102" s="556">
        <v>28326</v>
      </c>
      <c r="K102" s="557">
        <f>(H102+I102)-J102</f>
        <v>2401035.2862</v>
      </c>
      <c r="L102" s="280"/>
    </row>
    <row r="103" spans="1:12" ht="18" customHeight="1" x14ac:dyDescent="0.4">
      <c r="A103" s="183" t="s">
        <v>132</v>
      </c>
      <c r="B103" s="956" t="s">
        <v>62</v>
      </c>
      <c r="C103" s="956"/>
      <c r="F103" s="555"/>
      <c r="G103" s="555"/>
      <c r="H103" s="556"/>
      <c r="I103" s="144">
        <f>H103*F$114</f>
        <v>0</v>
      </c>
      <c r="J103" s="556"/>
      <c r="K103" s="557">
        <f>(H103+I103)-J103</f>
        <v>0</v>
      </c>
    </row>
    <row r="104" spans="1:12" ht="18" customHeight="1" x14ac:dyDescent="0.4">
      <c r="A104" s="183" t="s">
        <v>128</v>
      </c>
      <c r="B104" s="980"/>
      <c r="C104" s="974"/>
      <c r="D104" s="975"/>
      <c r="F104" s="555"/>
      <c r="G104" s="555"/>
      <c r="H104" s="556"/>
      <c r="I104" s="144">
        <f>H104*F$114</f>
        <v>0</v>
      </c>
      <c r="J104" s="556"/>
      <c r="K104" s="557">
        <f>(H104+I104)-J104</f>
        <v>0</v>
      </c>
    </row>
    <row r="105" spans="1:12" ht="18" customHeight="1" x14ac:dyDescent="0.4">
      <c r="A105" s="183" t="s">
        <v>127</v>
      </c>
      <c r="B105" s="980"/>
      <c r="C105" s="974"/>
      <c r="D105" s="975"/>
      <c r="F105" s="555"/>
      <c r="G105" s="555"/>
      <c r="H105" s="556"/>
      <c r="I105" s="144">
        <f>H105*F$114</f>
        <v>0</v>
      </c>
      <c r="J105" s="556"/>
      <c r="K105" s="557">
        <f>(H105+I105)-J105</f>
        <v>0</v>
      </c>
    </row>
    <row r="106" spans="1:12" ht="18" customHeight="1" x14ac:dyDescent="0.4">
      <c r="A106" s="183" t="s">
        <v>129</v>
      </c>
      <c r="B106" s="980"/>
      <c r="C106" s="974"/>
      <c r="D106" s="975"/>
      <c r="F106" s="555"/>
      <c r="G106" s="555"/>
      <c r="H106" s="556"/>
      <c r="I106" s="144">
        <f>H106*F$114</f>
        <v>0</v>
      </c>
      <c r="J106" s="556"/>
      <c r="K106" s="557">
        <f>(H106+I106)-J106</f>
        <v>0</v>
      </c>
    </row>
    <row r="107" spans="1:12" ht="18" customHeight="1" x14ac:dyDescent="0.4">
      <c r="B107" s="117"/>
    </row>
    <row r="108" spans="1:12" s="123" customFormat="1" ht="18" customHeight="1" x14ac:dyDescent="0.4">
      <c r="A108" s="120" t="s">
        <v>153</v>
      </c>
      <c r="B108" s="153" t="s">
        <v>154</v>
      </c>
      <c r="C108" s="189"/>
      <c r="D108" s="189"/>
      <c r="E108" s="117" t="s">
        <v>7</v>
      </c>
      <c r="F108" s="560">
        <f t="shared" ref="F108:K108" si="12">SUM(F102:F106)</f>
        <v>17073</v>
      </c>
      <c r="G108" s="560">
        <f t="shared" si="12"/>
        <v>24960</v>
      </c>
      <c r="H108" s="557">
        <f t="shared" si="12"/>
        <v>1215714</v>
      </c>
      <c r="I108" s="557">
        <f t="shared" si="12"/>
        <v>1213647.2862</v>
      </c>
      <c r="J108" s="557">
        <f t="shared" si="12"/>
        <v>28326</v>
      </c>
      <c r="K108" s="557">
        <f t="shared" si="12"/>
        <v>2401035.2862</v>
      </c>
      <c r="L108" s="280"/>
    </row>
    <row r="109" spans="1:12" s="123" customFormat="1" ht="18" customHeight="1" thickBot="1" x14ac:dyDescent="0.45">
      <c r="A109" s="124"/>
      <c r="B109" s="125"/>
      <c r="C109" s="126"/>
      <c r="D109" s="126"/>
      <c r="E109" s="126"/>
      <c r="F109" s="129"/>
      <c r="G109" s="129"/>
      <c r="H109" s="129"/>
      <c r="I109" s="129"/>
      <c r="J109" s="129"/>
      <c r="K109" s="129"/>
      <c r="L109" s="291"/>
    </row>
    <row r="110" spans="1:12" s="123" customFormat="1" ht="18" customHeight="1" x14ac:dyDescent="0.4">
      <c r="A110" s="120" t="s">
        <v>156</v>
      </c>
      <c r="B110" s="117" t="s">
        <v>39</v>
      </c>
      <c r="C110" s="189"/>
      <c r="D110" s="189"/>
      <c r="E110" s="189"/>
      <c r="F110" s="189"/>
      <c r="G110" s="189"/>
      <c r="H110" s="189"/>
      <c r="I110" s="189"/>
      <c r="J110" s="189"/>
      <c r="K110" s="189"/>
      <c r="L110" s="291"/>
    </row>
    <row r="111" spans="1:12" ht="18" customHeight="1" x14ac:dyDescent="0.4">
      <c r="A111" s="120" t="s">
        <v>155</v>
      </c>
      <c r="B111" s="117" t="s">
        <v>164</v>
      </c>
      <c r="E111" s="117" t="s">
        <v>7</v>
      </c>
      <c r="F111" s="556">
        <v>491056</v>
      </c>
      <c r="G111" s="280"/>
    </row>
    <row r="112" spans="1:12" ht="18" customHeight="1" x14ac:dyDescent="0.4">
      <c r="B112" s="117"/>
      <c r="E112" s="117"/>
      <c r="F112" s="184"/>
      <c r="G112" s="280"/>
    </row>
    <row r="113" spans="1:7" ht="18" customHeight="1" x14ac:dyDescent="0.4">
      <c r="A113" s="120"/>
      <c r="B113" s="117" t="s">
        <v>15</v>
      </c>
      <c r="G113" s="280"/>
    </row>
    <row r="114" spans="1:7" ht="18" customHeight="1" x14ac:dyDescent="0.4">
      <c r="A114" s="183" t="s">
        <v>171</v>
      </c>
      <c r="B114" s="116" t="s">
        <v>35</v>
      </c>
      <c r="F114" s="570">
        <v>0.99829999999999997</v>
      </c>
      <c r="G114" s="280"/>
    </row>
    <row r="115" spans="1:7" ht="18" customHeight="1" x14ac:dyDescent="0.4">
      <c r="A115" s="183"/>
      <c r="B115" s="117"/>
      <c r="G115" s="280"/>
    </row>
    <row r="116" spans="1:7" ht="18" customHeight="1" x14ac:dyDescent="0.4">
      <c r="A116" s="183" t="s">
        <v>170</v>
      </c>
      <c r="B116" s="117" t="s">
        <v>16</v>
      </c>
      <c r="G116" s="280"/>
    </row>
    <row r="117" spans="1:7" ht="18" customHeight="1" x14ac:dyDescent="0.4">
      <c r="A117" s="183" t="s">
        <v>172</v>
      </c>
      <c r="B117" s="116" t="s">
        <v>17</v>
      </c>
      <c r="F117" s="556">
        <v>105356698</v>
      </c>
      <c r="G117" s="280"/>
    </row>
    <row r="118" spans="1:7" ht="18" customHeight="1" x14ac:dyDescent="0.4">
      <c r="A118" s="183" t="s">
        <v>173</v>
      </c>
      <c r="B118" s="189" t="s">
        <v>18</v>
      </c>
      <c r="F118" s="556">
        <v>2932743</v>
      </c>
      <c r="G118" s="280"/>
    </row>
    <row r="119" spans="1:7" ht="18" customHeight="1" x14ac:dyDescent="0.4">
      <c r="A119" s="183" t="s">
        <v>174</v>
      </c>
      <c r="B119" s="117" t="s">
        <v>19</v>
      </c>
      <c r="F119" s="567">
        <f>SUM(F117:F118)</f>
        <v>108289441</v>
      </c>
      <c r="G119" s="280"/>
    </row>
    <row r="120" spans="1:7" ht="18" customHeight="1" x14ac:dyDescent="0.4">
      <c r="A120" s="183"/>
      <c r="B120" s="117"/>
      <c r="G120" s="280"/>
    </row>
    <row r="121" spans="1:7" ht="18" customHeight="1" x14ac:dyDescent="0.4">
      <c r="A121" s="183" t="s">
        <v>167</v>
      </c>
      <c r="B121" s="117" t="s">
        <v>36</v>
      </c>
      <c r="F121" s="556">
        <v>114971612</v>
      </c>
      <c r="G121" s="280"/>
    </row>
    <row r="122" spans="1:7" ht="18" customHeight="1" x14ac:dyDescent="0.4">
      <c r="A122" s="183"/>
      <c r="G122" s="280"/>
    </row>
    <row r="123" spans="1:7" ht="18" customHeight="1" x14ac:dyDescent="0.4">
      <c r="A123" s="183" t="s">
        <v>175</v>
      </c>
      <c r="B123" s="117" t="s">
        <v>20</v>
      </c>
      <c r="F123" s="556">
        <v>-6682170</v>
      </c>
      <c r="G123" s="280"/>
    </row>
    <row r="124" spans="1:7" ht="18" customHeight="1" x14ac:dyDescent="0.4">
      <c r="A124" s="183"/>
      <c r="G124" s="280"/>
    </row>
    <row r="125" spans="1:7" ht="18" customHeight="1" x14ac:dyDescent="0.4">
      <c r="A125" s="183" t="s">
        <v>176</v>
      </c>
      <c r="B125" s="117" t="s">
        <v>21</v>
      </c>
      <c r="F125" s="556">
        <v>-463734</v>
      </c>
      <c r="G125" s="280"/>
    </row>
    <row r="126" spans="1:7" ht="18" customHeight="1" x14ac:dyDescent="0.4">
      <c r="A126" s="183"/>
      <c r="G126" s="280"/>
    </row>
    <row r="127" spans="1:7" ht="18" customHeight="1" x14ac:dyDescent="0.4">
      <c r="A127" s="183" t="s">
        <v>177</v>
      </c>
      <c r="B127" s="117" t="s">
        <v>22</v>
      </c>
      <c r="F127" s="556">
        <v>-7145904</v>
      </c>
      <c r="G127" s="280"/>
    </row>
    <row r="128" spans="1:7" ht="18" customHeight="1" x14ac:dyDescent="0.4">
      <c r="A128" s="183"/>
    </row>
    <row r="129" spans="1:12" ht="42.75" customHeight="1" x14ac:dyDescent="0.4">
      <c r="F129" s="122" t="s">
        <v>9</v>
      </c>
      <c r="G129" s="122" t="s">
        <v>37</v>
      </c>
      <c r="H129" s="122" t="s">
        <v>29</v>
      </c>
      <c r="I129" s="122" t="s">
        <v>30</v>
      </c>
      <c r="J129" s="122" t="s">
        <v>33</v>
      </c>
      <c r="K129" s="122" t="s">
        <v>34</v>
      </c>
    </row>
    <row r="130" spans="1:12" ht="18" customHeight="1" x14ac:dyDescent="0.4">
      <c r="A130" s="120" t="s">
        <v>157</v>
      </c>
      <c r="B130" s="117" t="s">
        <v>23</v>
      </c>
      <c r="F130" s="280"/>
      <c r="G130" s="280"/>
      <c r="H130" s="280"/>
      <c r="I130" s="280"/>
      <c r="J130" s="280"/>
      <c r="K130" s="280"/>
    </row>
    <row r="131" spans="1:12" ht="18" customHeight="1" x14ac:dyDescent="0.4">
      <c r="A131" s="183" t="s">
        <v>158</v>
      </c>
      <c r="B131" s="189" t="s">
        <v>24</v>
      </c>
      <c r="F131" s="555">
        <v>5885</v>
      </c>
      <c r="G131" s="555">
        <v>2827</v>
      </c>
      <c r="H131" s="556">
        <v>164768</v>
      </c>
      <c r="I131" s="144">
        <f>H131*F$114</f>
        <v>164487.89439999999</v>
      </c>
      <c r="J131" s="556">
        <v>22812</v>
      </c>
      <c r="K131" s="557">
        <f>(H131+I131)-J131</f>
        <v>306443.89439999999</v>
      </c>
      <c r="L131" s="280"/>
    </row>
    <row r="132" spans="1:12" ht="18" customHeight="1" x14ac:dyDescent="0.4">
      <c r="A132" s="183" t="s">
        <v>159</v>
      </c>
      <c r="B132" s="189" t="s">
        <v>25</v>
      </c>
      <c r="F132" s="555">
        <v>77385</v>
      </c>
      <c r="G132" s="555">
        <v>30837</v>
      </c>
      <c r="H132" s="556">
        <v>3377735</v>
      </c>
      <c r="I132" s="144">
        <f>H132*F$114</f>
        <v>3371992.8504999997</v>
      </c>
      <c r="J132" s="556">
        <v>2385816</v>
      </c>
      <c r="K132" s="557">
        <f>(H132+I132)-J132</f>
        <v>4363911.8504999997</v>
      </c>
      <c r="L132" s="280"/>
    </row>
    <row r="133" spans="1:12" ht="18" customHeight="1" x14ac:dyDescent="0.4">
      <c r="A133" s="183" t="s">
        <v>160</v>
      </c>
      <c r="B133" s="951"/>
      <c r="C133" s="952"/>
      <c r="D133" s="953"/>
      <c r="F133" s="555"/>
      <c r="G133" s="555"/>
      <c r="H133" s="556"/>
      <c r="I133" s="144">
        <v>0</v>
      </c>
      <c r="J133" s="556"/>
      <c r="K133" s="557">
        <f>(H133+I133)-J133</f>
        <v>0</v>
      </c>
    </row>
    <row r="134" spans="1:12" ht="18" customHeight="1" x14ac:dyDescent="0.4">
      <c r="A134" s="183" t="s">
        <v>161</v>
      </c>
      <c r="B134" s="951"/>
      <c r="C134" s="952"/>
      <c r="D134" s="953"/>
      <c r="F134" s="555"/>
      <c r="G134" s="555"/>
      <c r="H134" s="556"/>
      <c r="I134" s="144">
        <v>0</v>
      </c>
      <c r="J134" s="556"/>
      <c r="K134" s="557">
        <f>(H134+I134)-J134</f>
        <v>0</v>
      </c>
    </row>
    <row r="135" spans="1:12" ht="18" customHeight="1" x14ac:dyDescent="0.4">
      <c r="A135" s="183" t="s">
        <v>162</v>
      </c>
      <c r="B135" s="951"/>
      <c r="C135" s="952"/>
      <c r="D135" s="953"/>
      <c r="F135" s="555"/>
      <c r="G135" s="555"/>
      <c r="H135" s="556"/>
      <c r="I135" s="144">
        <v>0</v>
      </c>
      <c r="J135" s="556"/>
      <c r="K135" s="557">
        <f>(H135+I135)-J135</f>
        <v>0</v>
      </c>
    </row>
    <row r="136" spans="1:12" ht="18" customHeight="1" x14ac:dyDescent="0.4">
      <c r="A136" s="120"/>
    </row>
    <row r="137" spans="1:12" ht="18" customHeight="1" x14ac:dyDescent="0.4">
      <c r="A137" s="120" t="s">
        <v>163</v>
      </c>
      <c r="B137" s="117" t="s">
        <v>27</v>
      </c>
      <c r="F137" s="560">
        <f t="shared" ref="F137:J137" si="13">SUM(F131:F135)</f>
        <v>83270</v>
      </c>
      <c r="G137" s="560">
        <f t="shared" si="13"/>
        <v>33664</v>
      </c>
      <c r="H137" s="557">
        <f t="shared" si="13"/>
        <v>3542503</v>
      </c>
      <c r="I137" s="557">
        <f>SUM(I131:I135)</f>
        <v>3536480.7448999998</v>
      </c>
      <c r="J137" s="557">
        <f t="shared" si="13"/>
        <v>2408628</v>
      </c>
      <c r="K137" s="557">
        <f>SUM(K131:K135)</f>
        <v>4670355.7448999994</v>
      </c>
      <c r="L137" s="280"/>
    </row>
    <row r="138" spans="1:12" ht="18" customHeight="1" x14ac:dyDescent="0.35">
      <c r="A138" s="189"/>
    </row>
    <row r="139" spans="1:12" ht="42.75" customHeight="1" x14ac:dyDescent="0.4">
      <c r="F139" s="122" t="s">
        <v>9</v>
      </c>
      <c r="G139" s="122" t="s">
        <v>37</v>
      </c>
      <c r="H139" s="122" t="s">
        <v>29</v>
      </c>
      <c r="I139" s="122" t="s">
        <v>30</v>
      </c>
      <c r="J139" s="122" t="s">
        <v>33</v>
      </c>
      <c r="K139" s="122" t="s">
        <v>34</v>
      </c>
    </row>
    <row r="140" spans="1:12" ht="18" customHeight="1" x14ac:dyDescent="0.4">
      <c r="A140" s="120" t="s">
        <v>166</v>
      </c>
      <c r="B140" s="117" t="s">
        <v>26</v>
      </c>
      <c r="F140" s="565"/>
      <c r="G140" s="565"/>
      <c r="H140" s="565"/>
      <c r="I140" s="280"/>
      <c r="J140" s="637"/>
      <c r="K140" s="280"/>
    </row>
    <row r="141" spans="1:12" ht="18" customHeight="1" x14ac:dyDescent="0.4">
      <c r="A141" s="183" t="s">
        <v>137</v>
      </c>
      <c r="B141" s="117" t="s">
        <v>64</v>
      </c>
      <c r="F141" s="136">
        <f t="shared" ref="F141:K141" si="14">F36</f>
        <v>205335</v>
      </c>
      <c r="G141" s="136">
        <f t="shared" si="14"/>
        <v>514478</v>
      </c>
      <c r="H141" s="136">
        <f t="shared" si="14"/>
        <v>8665626</v>
      </c>
      <c r="I141" s="136">
        <f>I36</f>
        <v>8650894.4357999992</v>
      </c>
      <c r="J141" s="136">
        <f t="shared" si="14"/>
        <v>7520957</v>
      </c>
      <c r="K141" s="136">
        <f t="shared" si="14"/>
        <v>9795563.4357999992</v>
      </c>
      <c r="L141" s="280"/>
    </row>
    <row r="142" spans="1:12" ht="18" customHeight="1" x14ac:dyDescent="0.4">
      <c r="A142" s="183" t="s">
        <v>142</v>
      </c>
      <c r="B142" s="117" t="s">
        <v>65</v>
      </c>
      <c r="F142" s="136">
        <f t="shared" ref="F142:K142" si="15">F49</f>
        <v>0</v>
      </c>
      <c r="G142" s="136">
        <f t="shared" si="15"/>
        <v>0</v>
      </c>
      <c r="H142" s="136">
        <f t="shared" si="15"/>
        <v>0</v>
      </c>
      <c r="I142" s="136">
        <f t="shared" si="15"/>
        <v>0</v>
      </c>
      <c r="J142" s="136">
        <f t="shared" si="15"/>
        <v>0</v>
      </c>
      <c r="K142" s="136">
        <f t="shared" si="15"/>
        <v>0</v>
      </c>
      <c r="L142" s="280"/>
    </row>
    <row r="143" spans="1:12" ht="18" customHeight="1" x14ac:dyDescent="0.4">
      <c r="A143" s="183" t="s">
        <v>144</v>
      </c>
      <c r="B143" s="117" t="s">
        <v>66</v>
      </c>
      <c r="F143" s="136">
        <f t="shared" ref="F143:J143" si="16">F64</f>
        <v>13104</v>
      </c>
      <c r="G143" s="136">
        <f t="shared" si="16"/>
        <v>53921</v>
      </c>
      <c r="H143" s="136">
        <f t="shared" si="16"/>
        <v>321256</v>
      </c>
      <c r="I143" s="136">
        <f>I64</f>
        <v>320709.86479999998</v>
      </c>
      <c r="J143" s="136">
        <f t="shared" si="16"/>
        <v>0</v>
      </c>
      <c r="K143" s="136">
        <f>K64</f>
        <v>641965.86479999998</v>
      </c>
      <c r="L143" s="280"/>
    </row>
    <row r="144" spans="1:12" ht="18" customHeight="1" x14ac:dyDescent="0.4">
      <c r="A144" s="183" t="s">
        <v>146</v>
      </c>
      <c r="B144" s="117" t="s">
        <v>67</v>
      </c>
      <c r="F144" s="136">
        <f t="shared" ref="F144:J144" si="17">F74</f>
        <v>108</v>
      </c>
      <c r="G144" s="136">
        <f t="shared" si="17"/>
        <v>18</v>
      </c>
      <c r="H144" s="136">
        <f t="shared" si="17"/>
        <v>6930</v>
      </c>
      <c r="I144" s="136">
        <f>I74</f>
        <v>6918.2190000000001</v>
      </c>
      <c r="J144" s="136">
        <f t="shared" si="17"/>
        <v>6207</v>
      </c>
      <c r="K144" s="136">
        <f>K74</f>
        <v>7641.219000000001</v>
      </c>
      <c r="L144" s="280"/>
    </row>
    <row r="145" spans="1:12" ht="18" customHeight="1" x14ac:dyDescent="0.4">
      <c r="A145" s="183" t="s">
        <v>148</v>
      </c>
      <c r="B145" s="117" t="s">
        <v>68</v>
      </c>
      <c r="F145" s="136">
        <f t="shared" ref="F145:K145" si="18">F82</f>
        <v>0</v>
      </c>
      <c r="G145" s="136">
        <f t="shared" si="18"/>
        <v>0</v>
      </c>
      <c r="H145" s="136">
        <f t="shared" si="18"/>
        <v>0</v>
      </c>
      <c r="I145" s="136">
        <f t="shared" si="18"/>
        <v>0</v>
      </c>
      <c r="J145" s="136">
        <f t="shared" si="18"/>
        <v>0</v>
      </c>
      <c r="K145" s="136">
        <f t="shared" si="18"/>
        <v>0</v>
      </c>
      <c r="L145" s="280"/>
    </row>
    <row r="146" spans="1:12" ht="18" customHeight="1" x14ac:dyDescent="0.4">
      <c r="A146" s="183" t="s">
        <v>150</v>
      </c>
      <c r="B146" s="117" t="s">
        <v>69</v>
      </c>
      <c r="F146" s="136">
        <f t="shared" ref="F146:K146" si="19">F98</f>
        <v>17722</v>
      </c>
      <c r="G146" s="136">
        <f t="shared" si="19"/>
        <v>1329</v>
      </c>
      <c r="H146" s="136">
        <f t="shared" si="19"/>
        <v>4531132</v>
      </c>
      <c r="I146" s="136">
        <f t="shared" si="19"/>
        <v>4523429.0756000001</v>
      </c>
      <c r="J146" s="136">
        <f t="shared" si="19"/>
        <v>2760136</v>
      </c>
      <c r="K146" s="136">
        <f t="shared" si="19"/>
        <v>6294425.0756000001</v>
      </c>
      <c r="L146" s="280"/>
    </row>
    <row r="147" spans="1:12" ht="18" customHeight="1" x14ac:dyDescent="0.4">
      <c r="A147" s="183" t="s">
        <v>153</v>
      </c>
      <c r="B147" s="117" t="s">
        <v>61</v>
      </c>
      <c r="F147" s="560">
        <f t="shared" ref="F147:K147" si="20">F108</f>
        <v>17073</v>
      </c>
      <c r="G147" s="560">
        <f t="shared" si="20"/>
        <v>24960</v>
      </c>
      <c r="H147" s="560">
        <f t="shared" si="20"/>
        <v>1215714</v>
      </c>
      <c r="I147" s="560">
        <f t="shared" si="20"/>
        <v>1213647.2862</v>
      </c>
      <c r="J147" s="560">
        <f t="shared" si="20"/>
        <v>28326</v>
      </c>
      <c r="K147" s="560">
        <f t="shared" si="20"/>
        <v>2401035.2862</v>
      </c>
      <c r="L147" s="280"/>
    </row>
    <row r="148" spans="1:12" ht="18" customHeight="1" x14ac:dyDescent="0.4">
      <c r="A148" s="183" t="s">
        <v>155</v>
      </c>
      <c r="B148" s="117" t="s">
        <v>70</v>
      </c>
      <c r="F148" s="137" t="s">
        <v>73</v>
      </c>
      <c r="G148" s="137" t="s">
        <v>73</v>
      </c>
      <c r="H148" s="138" t="s">
        <v>73</v>
      </c>
      <c r="I148" s="138" t="s">
        <v>73</v>
      </c>
      <c r="J148" s="138" t="s">
        <v>73</v>
      </c>
      <c r="K148" s="133">
        <f>F111</f>
        <v>491056</v>
      </c>
    </row>
    <row r="149" spans="1:12" ht="18" customHeight="1" x14ac:dyDescent="0.4">
      <c r="A149" s="183" t="s">
        <v>163</v>
      </c>
      <c r="B149" s="117" t="s">
        <v>71</v>
      </c>
      <c r="F149" s="560">
        <f t="shared" ref="F149:K149" si="21">F137</f>
        <v>83270</v>
      </c>
      <c r="G149" s="560">
        <f t="shared" si="21"/>
        <v>33664</v>
      </c>
      <c r="H149" s="560">
        <f t="shared" si="21"/>
        <v>3542503</v>
      </c>
      <c r="I149" s="560">
        <f>I137</f>
        <v>3536480.7448999998</v>
      </c>
      <c r="J149" s="560">
        <f t="shared" si="21"/>
        <v>2408628</v>
      </c>
      <c r="K149" s="560">
        <f t="shared" si="21"/>
        <v>4670355.7448999994</v>
      </c>
      <c r="L149" s="280"/>
    </row>
    <row r="150" spans="1:12" ht="18" customHeight="1" x14ac:dyDescent="0.4">
      <c r="A150" s="183" t="s">
        <v>185</v>
      </c>
      <c r="B150" s="117" t="s">
        <v>186</v>
      </c>
      <c r="F150" s="137" t="s">
        <v>73</v>
      </c>
      <c r="G150" s="137" t="s">
        <v>73</v>
      </c>
      <c r="H150" s="560">
        <f>H18</f>
        <v>2251469</v>
      </c>
      <c r="I150" s="560">
        <f>I18</f>
        <v>0</v>
      </c>
      <c r="J150" s="560">
        <f>J18</f>
        <v>1871707</v>
      </c>
      <c r="K150" s="560">
        <f>K18</f>
        <v>379762</v>
      </c>
      <c r="L150" s="280"/>
    </row>
    <row r="151" spans="1:12" ht="18" customHeight="1" x14ac:dyDescent="0.4">
      <c r="B151" s="117"/>
      <c r="F151" s="142"/>
      <c r="G151" s="142"/>
      <c r="H151" s="142"/>
      <c r="I151" s="142"/>
      <c r="J151" s="142"/>
      <c r="K151" s="142"/>
    </row>
    <row r="152" spans="1:12" ht="18" customHeight="1" x14ac:dyDescent="0.4">
      <c r="A152" s="120" t="s">
        <v>165</v>
      </c>
      <c r="B152" s="117" t="s">
        <v>26</v>
      </c>
      <c r="F152" s="143">
        <f t="shared" ref="F152:K152" si="22">SUM(F141:F150)</f>
        <v>336612</v>
      </c>
      <c r="G152" s="143">
        <f t="shared" si="22"/>
        <v>628370</v>
      </c>
      <c r="H152" s="143">
        <f t="shared" si="22"/>
        <v>20534630</v>
      </c>
      <c r="I152" s="143">
        <f t="shared" si="22"/>
        <v>18252079.6263</v>
      </c>
      <c r="J152" s="143">
        <f>SUM(J141:J150)</f>
        <v>14595961</v>
      </c>
      <c r="K152" s="143">
        <f t="shared" si="22"/>
        <v>24681804.6263</v>
      </c>
    </row>
    <row r="153" spans="1:12" ht="18" customHeight="1" x14ac:dyDescent="0.4">
      <c r="F153" s="280"/>
      <c r="G153" s="280"/>
      <c r="H153" s="280"/>
      <c r="I153" s="280"/>
      <c r="J153" s="280"/>
      <c r="K153" s="280"/>
    </row>
    <row r="154" spans="1:12" ht="18" customHeight="1" x14ac:dyDescent="0.4">
      <c r="A154" s="120" t="s">
        <v>168</v>
      </c>
      <c r="B154" s="117" t="s">
        <v>28</v>
      </c>
      <c r="F154" s="571">
        <f>K152/F121</f>
        <v>0.21467738163312872</v>
      </c>
      <c r="G154" s="280"/>
    </row>
    <row r="155" spans="1:12" ht="18" customHeight="1" x14ac:dyDescent="0.4">
      <c r="A155" s="120" t="s">
        <v>169</v>
      </c>
      <c r="B155" s="117" t="s">
        <v>72</v>
      </c>
      <c r="F155" s="571">
        <f>K152/F127</f>
        <v>-3.4539793182640013</v>
      </c>
      <c r="G155" s="280"/>
    </row>
    <row r="156" spans="1:12" ht="18" customHeight="1" x14ac:dyDescent="0.4">
      <c r="G156" s="117"/>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 r:id="rId1"/>
  </hyperlinks>
  <printOptions headings="1" gridLines="1"/>
  <pageMargins left="0.17" right="0.16" top="0.35" bottom="0.32" header="0.17" footer="0.17"/>
  <pageSetup paperSize="5" scale="75" fitToHeight="0"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workbookViewId="0">
      <selection activeCell="C10" sqref="C10"/>
    </sheetView>
  </sheetViews>
  <sheetFormatPr defaultColWidth="9.1328125" defaultRowHeight="14.25" x14ac:dyDescent="0.45"/>
  <cols>
    <col min="1" max="1" width="22.86328125" style="456" customWidth="1"/>
    <col min="2" max="2" width="51.73046875" style="456" bestFit="1" customWidth="1"/>
    <col min="3" max="3" width="14.3984375" style="456" customWidth="1"/>
    <col min="4" max="4" width="9.1328125" style="456"/>
    <col min="5" max="5" width="12.1328125" style="456" bestFit="1" customWidth="1"/>
    <col min="6" max="16384" width="9.1328125" style="456"/>
  </cols>
  <sheetData>
    <row r="1" spans="1:3" x14ac:dyDescent="0.45">
      <c r="A1" s="269" t="s">
        <v>695</v>
      </c>
    </row>
    <row r="2" spans="1:3" x14ac:dyDescent="0.45">
      <c r="A2" s="463" t="s">
        <v>544</v>
      </c>
      <c r="B2" s="463" t="s">
        <v>197</v>
      </c>
      <c r="C2" s="463" t="s">
        <v>70</v>
      </c>
    </row>
    <row r="3" spans="1:3" x14ac:dyDescent="0.45">
      <c r="A3" s="457">
        <v>210001</v>
      </c>
      <c r="B3" s="457" t="s">
        <v>194</v>
      </c>
      <c r="C3" s="461">
        <v>4081165</v>
      </c>
    </row>
    <row r="4" spans="1:3" x14ac:dyDescent="0.45">
      <c r="A4" s="458" t="s">
        <v>656</v>
      </c>
      <c r="B4" s="457" t="s">
        <v>657</v>
      </c>
      <c r="C4" s="461">
        <f>16640790+0</f>
        <v>16640790</v>
      </c>
    </row>
    <row r="5" spans="1:3" x14ac:dyDescent="0.45">
      <c r="A5" s="458" t="s">
        <v>658</v>
      </c>
      <c r="B5" s="457" t="s">
        <v>693</v>
      </c>
      <c r="C5" s="461">
        <f>9728481+1591284</f>
        <v>11319765</v>
      </c>
    </row>
    <row r="6" spans="1:3" x14ac:dyDescent="0.45">
      <c r="A6" s="457">
        <v>210004</v>
      </c>
      <c r="B6" s="457" t="s">
        <v>492</v>
      </c>
      <c r="C6" s="919">
        <v>22228197.24841658</v>
      </c>
    </row>
    <row r="7" spans="1:3" x14ac:dyDescent="0.45">
      <c r="A7" s="457">
        <v>210005</v>
      </c>
      <c r="B7" s="457" t="s">
        <v>659</v>
      </c>
      <c r="C7" s="919">
        <v>6317027.8267785748</v>
      </c>
    </row>
    <row r="8" spans="1:3" x14ac:dyDescent="0.45">
      <c r="A8" s="457">
        <v>210006</v>
      </c>
      <c r="B8" s="457" t="s">
        <v>660</v>
      </c>
      <c r="C8" s="919">
        <v>1600564.5584563557</v>
      </c>
    </row>
    <row r="9" spans="1:3" x14ac:dyDescent="0.45">
      <c r="A9" s="457">
        <v>210008</v>
      </c>
      <c r="B9" s="457" t="s">
        <v>661</v>
      </c>
      <c r="C9" s="919">
        <v>14645514.921748545</v>
      </c>
    </row>
    <row r="10" spans="1:3" x14ac:dyDescent="0.45">
      <c r="A10" s="457">
        <v>210009</v>
      </c>
      <c r="B10" s="457" t="s">
        <v>493</v>
      </c>
      <c r="C10" s="919">
        <v>27205235.836739164</v>
      </c>
    </row>
    <row r="11" spans="1:3" x14ac:dyDescent="0.45">
      <c r="A11" s="457">
        <v>210010</v>
      </c>
      <c r="B11" s="457" t="s">
        <v>662</v>
      </c>
      <c r="C11" s="919">
        <v>402744.76700570335</v>
      </c>
    </row>
    <row r="12" spans="1:3" x14ac:dyDescent="0.45">
      <c r="A12" s="457">
        <v>210011</v>
      </c>
      <c r="B12" s="457" t="s">
        <v>663</v>
      </c>
      <c r="C12" s="919">
        <v>17628510.939470708</v>
      </c>
    </row>
    <row r="13" spans="1:3" x14ac:dyDescent="0.45">
      <c r="A13" s="457">
        <v>210012</v>
      </c>
      <c r="B13" s="457" t="s">
        <v>664</v>
      </c>
      <c r="C13" s="919">
        <v>4914750.730935812</v>
      </c>
    </row>
    <row r="14" spans="1:3" x14ac:dyDescent="0.45">
      <c r="A14" s="457">
        <v>210013</v>
      </c>
      <c r="B14" s="457" t="s">
        <v>665</v>
      </c>
      <c r="C14" s="919">
        <v>495978.35025366338</v>
      </c>
    </row>
    <row r="15" spans="1:3" x14ac:dyDescent="0.45">
      <c r="A15" s="457">
        <v>210015</v>
      </c>
      <c r="B15" s="457" t="s">
        <v>666</v>
      </c>
      <c r="C15" s="919">
        <v>10912749.108153157</v>
      </c>
    </row>
    <row r="16" spans="1:3" x14ac:dyDescent="0.45">
      <c r="A16" s="457">
        <v>210016</v>
      </c>
      <c r="B16" s="457" t="s">
        <v>667</v>
      </c>
      <c r="C16" s="919">
        <v>5728796.0661834069</v>
      </c>
    </row>
    <row r="17" spans="1:3" x14ac:dyDescent="0.45">
      <c r="A17" s="457">
        <v>210017</v>
      </c>
      <c r="B17" s="457" t="s">
        <v>668</v>
      </c>
      <c r="C17" s="919">
        <v>2837752.5490967655</v>
      </c>
    </row>
    <row r="18" spans="1:3" x14ac:dyDescent="0.45">
      <c r="A18" s="457">
        <v>210018</v>
      </c>
      <c r="B18" s="457" t="s">
        <v>669</v>
      </c>
      <c r="C18" s="919">
        <v>2424193.5082367617</v>
      </c>
    </row>
    <row r="19" spans="1:3" x14ac:dyDescent="0.45">
      <c r="A19" s="457">
        <v>210019</v>
      </c>
      <c r="B19" s="457" t="s">
        <v>428</v>
      </c>
      <c r="C19" s="919">
        <v>10845207.299606359</v>
      </c>
    </row>
    <row r="20" spans="1:3" x14ac:dyDescent="0.45">
      <c r="A20" s="457">
        <v>210022</v>
      </c>
      <c r="B20" s="457" t="s">
        <v>670</v>
      </c>
      <c r="C20" s="919">
        <v>4356540.1008301247</v>
      </c>
    </row>
    <row r="21" spans="1:3" x14ac:dyDescent="0.45">
      <c r="A21" s="457">
        <v>210023</v>
      </c>
      <c r="B21" s="457" t="s">
        <v>671</v>
      </c>
      <c r="C21" s="919">
        <v>4691159.5250037713</v>
      </c>
    </row>
    <row r="22" spans="1:3" x14ac:dyDescent="0.45">
      <c r="A22" s="457">
        <v>210024</v>
      </c>
      <c r="B22" s="457" t="s">
        <v>430</v>
      </c>
      <c r="C22" s="919">
        <v>8806074.8578447029</v>
      </c>
    </row>
    <row r="23" spans="1:3" x14ac:dyDescent="0.45">
      <c r="A23" s="457">
        <v>210027</v>
      </c>
      <c r="B23" s="457" t="s">
        <v>672</v>
      </c>
      <c r="C23" s="919">
        <v>8739579.6322383396</v>
      </c>
    </row>
    <row r="24" spans="1:3" x14ac:dyDescent="0.45">
      <c r="A24" s="457">
        <v>210028</v>
      </c>
      <c r="B24" s="457" t="s">
        <v>673</v>
      </c>
      <c r="C24" s="919">
        <v>3969757.5659975237</v>
      </c>
    </row>
    <row r="25" spans="1:3" x14ac:dyDescent="0.45">
      <c r="A25" s="457">
        <v>210029</v>
      </c>
      <c r="B25" s="457" t="s">
        <v>674</v>
      </c>
      <c r="C25" s="919">
        <v>16653222.070627615</v>
      </c>
    </row>
    <row r="26" spans="1:3" x14ac:dyDescent="0.45">
      <c r="A26" s="457">
        <v>210030</v>
      </c>
      <c r="B26" s="457" t="s">
        <v>675</v>
      </c>
      <c r="C26" s="919">
        <v>364502.4312519065</v>
      </c>
    </row>
    <row r="27" spans="1:3" x14ac:dyDescent="0.45">
      <c r="A27" s="457">
        <v>210032</v>
      </c>
      <c r="B27" s="457" t="s">
        <v>230</v>
      </c>
      <c r="C27" s="919">
        <v>1505630.1281187702</v>
      </c>
    </row>
    <row r="28" spans="1:3" x14ac:dyDescent="0.45">
      <c r="A28" s="457">
        <v>210033</v>
      </c>
      <c r="B28" s="457" t="s">
        <v>676</v>
      </c>
      <c r="C28" s="919">
        <v>289902.10982819396</v>
      </c>
    </row>
    <row r="29" spans="1:3" x14ac:dyDescent="0.45">
      <c r="A29" s="457">
        <v>210034</v>
      </c>
      <c r="B29" s="457" t="s">
        <v>677</v>
      </c>
      <c r="C29" s="919">
        <v>4986576.1859604474</v>
      </c>
    </row>
    <row r="30" spans="1:3" x14ac:dyDescent="0.45">
      <c r="A30" s="457">
        <v>210035</v>
      </c>
      <c r="B30" s="457" t="s">
        <v>678</v>
      </c>
      <c r="C30" s="919">
        <v>936409.69847818732</v>
      </c>
    </row>
    <row r="31" spans="1:3" x14ac:dyDescent="0.45">
      <c r="A31" s="457">
        <v>210037</v>
      </c>
      <c r="B31" s="457" t="s">
        <v>679</v>
      </c>
      <c r="C31" s="919">
        <v>1966084.2992441806</v>
      </c>
    </row>
    <row r="32" spans="1:3" x14ac:dyDescent="0.45">
      <c r="A32" s="457">
        <v>210038</v>
      </c>
      <c r="B32" s="457" t="s">
        <v>680</v>
      </c>
      <c r="C32" s="919">
        <v>4202057.8106339974</v>
      </c>
    </row>
    <row r="33" spans="1:3" x14ac:dyDescent="0.45">
      <c r="A33" s="457">
        <v>210039</v>
      </c>
      <c r="B33" s="457" t="s">
        <v>681</v>
      </c>
      <c r="C33" s="919">
        <v>4318079.5474103708</v>
      </c>
    </row>
    <row r="34" spans="1:3" x14ac:dyDescent="0.45">
      <c r="A34" s="457">
        <v>210040</v>
      </c>
      <c r="B34" s="457" t="s">
        <v>528</v>
      </c>
      <c r="C34" s="919">
        <v>1828063.8752300926</v>
      </c>
    </row>
    <row r="35" spans="1:3" x14ac:dyDescent="0.45">
      <c r="A35" s="457">
        <v>210043</v>
      </c>
      <c r="B35" s="457" t="s">
        <v>682</v>
      </c>
      <c r="C35" s="461">
        <v>5595369</v>
      </c>
    </row>
    <row r="36" spans="1:3" x14ac:dyDescent="0.45">
      <c r="A36" s="457">
        <v>210044</v>
      </c>
      <c r="B36" s="457" t="s">
        <v>482</v>
      </c>
      <c r="C36" s="461">
        <v>1526879</v>
      </c>
    </row>
    <row r="37" spans="1:3" x14ac:dyDescent="0.45">
      <c r="A37" s="457">
        <v>210045</v>
      </c>
      <c r="B37" s="457" t="s">
        <v>683</v>
      </c>
      <c r="C37" s="461">
        <v>352315</v>
      </c>
    </row>
    <row r="38" spans="1:3" x14ac:dyDescent="0.45">
      <c r="A38" s="457">
        <v>210048</v>
      </c>
      <c r="B38" s="457" t="s">
        <v>281</v>
      </c>
      <c r="C38" s="461">
        <v>4307426</v>
      </c>
    </row>
    <row r="39" spans="1:3" x14ac:dyDescent="0.45">
      <c r="A39" s="457">
        <v>210049</v>
      </c>
      <c r="B39" s="457" t="s">
        <v>684</v>
      </c>
      <c r="C39" s="461">
        <v>3453088</v>
      </c>
    </row>
    <row r="40" spans="1:3" x14ac:dyDescent="0.45">
      <c r="A40" s="457">
        <v>210051</v>
      </c>
      <c r="B40" s="457" t="s">
        <v>685</v>
      </c>
      <c r="C40" s="461">
        <v>5568577</v>
      </c>
    </row>
    <row r="41" spans="1:3" x14ac:dyDescent="0.45">
      <c r="A41" s="457">
        <v>210056</v>
      </c>
      <c r="B41" s="459" t="s">
        <v>437</v>
      </c>
      <c r="C41" s="461">
        <v>5531743</v>
      </c>
    </row>
    <row r="42" spans="1:3" x14ac:dyDescent="0.45">
      <c r="A42" s="457">
        <v>210057</v>
      </c>
      <c r="B42" s="459" t="s">
        <v>686</v>
      </c>
      <c r="C42" s="461">
        <v>4995875</v>
      </c>
    </row>
    <row r="43" spans="1:3" x14ac:dyDescent="0.45">
      <c r="A43" s="457">
        <v>210058</v>
      </c>
      <c r="B43" s="459" t="s">
        <v>687</v>
      </c>
      <c r="C43" s="461">
        <v>0</v>
      </c>
    </row>
    <row r="44" spans="1:3" x14ac:dyDescent="0.45">
      <c r="A44" s="457">
        <v>210060</v>
      </c>
      <c r="B44" s="459" t="s">
        <v>232</v>
      </c>
      <c r="C44" s="461">
        <v>915508</v>
      </c>
    </row>
    <row r="45" spans="1:3" x14ac:dyDescent="0.45">
      <c r="A45" s="457">
        <v>210061</v>
      </c>
      <c r="B45" s="459" t="s">
        <v>242</v>
      </c>
      <c r="C45" s="461">
        <v>2550944</v>
      </c>
    </row>
    <row r="46" spans="1:3" x14ac:dyDescent="0.45">
      <c r="A46" s="457">
        <v>210062</v>
      </c>
      <c r="B46" s="459" t="s">
        <v>688</v>
      </c>
      <c r="C46" s="461">
        <v>4938308</v>
      </c>
    </row>
    <row r="47" spans="1:3" x14ac:dyDescent="0.45">
      <c r="A47" s="457">
        <v>210063</v>
      </c>
      <c r="B47" s="459" t="s">
        <v>689</v>
      </c>
      <c r="C47" s="461">
        <v>8350882</v>
      </c>
    </row>
    <row r="48" spans="1:3" x14ac:dyDescent="0.45">
      <c r="A48" s="457">
        <v>210064</v>
      </c>
      <c r="B48" s="459" t="s">
        <v>198</v>
      </c>
      <c r="C48" s="461">
        <v>0</v>
      </c>
    </row>
    <row r="49" spans="1:5" x14ac:dyDescent="0.45">
      <c r="A49" s="457">
        <v>210065</v>
      </c>
      <c r="B49" s="459" t="s">
        <v>690</v>
      </c>
      <c r="C49" s="461">
        <v>4391043</v>
      </c>
    </row>
    <row r="50" spans="1:5" x14ac:dyDescent="0.45">
      <c r="A50" s="457">
        <v>213300</v>
      </c>
      <c r="B50" s="459" t="s">
        <v>691</v>
      </c>
      <c r="C50" s="461">
        <v>0</v>
      </c>
    </row>
    <row r="51" spans="1:5" x14ac:dyDescent="0.45">
      <c r="A51" s="457">
        <v>214000</v>
      </c>
      <c r="B51" s="459" t="s">
        <v>199</v>
      </c>
      <c r="C51" s="461">
        <v>0</v>
      </c>
    </row>
    <row r="52" spans="1:5" x14ac:dyDescent="0.45">
      <c r="A52" s="457">
        <v>213029</v>
      </c>
      <c r="B52" s="459" t="s">
        <v>692</v>
      </c>
      <c r="C52" s="461">
        <v>0</v>
      </c>
    </row>
    <row r="53" spans="1:5" x14ac:dyDescent="0.45">
      <c r="A53" s="464"/>
      <c r="B53" s="465" t="s">
        <v>195</v>
      </c>
      <c r="C53" s="466">
        <f>SUM(C3:C52)</f>
        <v>280320540.54977983</v>
      </c>
    </row>
    <row r="54" spans="1:5" x14ac:dyDescent="0.45">
      <c r="C54" s="462"/>
    </row>
    <row r="57" spans="1:5" x14ac:dyDescent="0.45">
      <c r="E57" s="462"/>
    </row>
  </sheetData>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156"/>
  <sheetViews>
    <sheetView zoomScale="85" zoomScaleNormal="85" workbookViewId="0">
      <selection activeCell="A2" sqref="A2"/>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425</v>
      </c>
      <c r="D5" s="962"/>
      <c r="E5" s="962"/>
      <c r="F5" s="962"/>
      <c r="G5" s="963"/>
    </row>
    <row r="6" spans="1:11" ht="18" customHeight="1" x14ac:dyDescent="0.4">
      <c r="B6" s="183" t="s">
        <v>3</v>
      </c>
      <c r="C6" s="1058">
        <v>210015</v>
      </c>
      <c r="D6" s="1059"/>
      <c r="E6" s="1059"/>
      <c r="F6" s="1059"/>
      <c r="G6" s="1060"/>
    </row>
    <row r="7" spans="1:11" ht="18" customHeight="1" x14ac:dyDescent="0.4">
      <c r="B7" s="183" t="s">
        <v>4</v>
      </c>
      <c r="C7" s="967">
        <v>3045</v>
      </c>
      <c r="D7" s="968"/>
      <c r="E7" s="968"/>
      <c r="F7" s="968"/>
      <c r="G7" s="969"/>
    </row>
    <row r="9" spans="1:11" ht="18" customHeight="1" x14ac:dyDescent="0.4">
      <c r="B9" s="183" t="s">
        <v>1</v>
      </c>
      <c r="C9" s="961" t="s">
        <v>469</v>
      </c>
      <c r="D9" s="962"/>
      <c r="E9" s="962"/>
      <c r="F9" s="962"/>
      <c r="G9" s="963"/>
    </row>
    <row r="10" spans="1:11" ht="18" customHeight="1" x14ac:dyDescent="0.4">
      <c r="B10" s="183" t="s">
        <v>2</v>
      </c>
      <c r="C10" s="970" t="s">
        <v>470</v>
      </c>
      <c r="D10" s="1065"/>
      <c r="E10" s="1065"/>
      <c r="F10" s="1065"/>
      <c r="G10" s="1066"/>
    </row>
    <row r="11" spans="1:11" ht="18" customHeight="1" x14ac:dyDescent="0.4">
      <c r="B11" s="183" t="s">
        <v>32</v>
      </c>
      <c r="C11" s="970" t="s">
        <v>471</v>
      </c>
      <c r="D11" s="1065"/>
      <c r="E11" s="1065"/>
      <c r="F11" s="1065"/>
      <c r="G11" s="1066"/>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10317401.25</v>
      </c>
      <c r="I18" s="144">
        <v>0</v>
      </c>
      <c r="J18" s="556">
        <v>8577135.8699999992</v>
      </c>
      <c r="K18" s="557">
        <v>1740265.3800000008</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789.5</v>
      </c>
      <c r="G21" s="555">
        <v>2784</v>
      </c>
      <c r="H21" s="556">
        <v>31706</v>
      </c>
      <c r="I21" s="144">
        <v>8283</v>
      </c>
      <c r="J21" s="556">
        <v>0</v>
      </c>
      <c r="K21" s="557">
        <v>39989</v>
      </c>
    </row>
    <row r="22" spans="1:11" ht="18" customHeight="1" x14ac:dyDescent="0.4">
      <c r="A22" s="183" t="s">
        <v>76</v>
      </c>
      <c r="B22" s="189" t="s">
        <v>6</v>
      </c>
      <c r="F22" s="555">
        <v>1048</v>
      </c>
      <c r="G22" s="555">
        <v>8373</v>
      </c>
      <c r="H22" s="556">
        <v>50967</v>
      </c>
      <c r="I22" s="144">
        <v>11253</v>
      </c>
      <c r="J22" s="556">
        <v>0</v>
      </c>
      <c r="K22" s="557">
        <v>62220</v>
      </c>
    </row>
    <row r="23" spans="1:11" ht="18" customHeight="1" x14ac:dyDescent="0.4">
      <c r="A23" s="183" t="s">
        <v>77</v>
      </c>
      <c r="B23" s="189" t="s">
        <v>43</v>
      </c>
      <c r="F23" s="555"/>
      <c r="G23" s="555"/>
      <c r="H23" s="556"/>
      <c r="I23" s="144"/>
      <c r="J23" s="556"/>
      <c r="K23" s="557">
        <v>0</v>
      </c>
    </row>
    <row r="24" spans="1:11" ht="18" customHeight="1" x14ac:dyDescent="0.4">
      <c r="A24" s="183" t="s">
        <v>78</v>
      </c>
      <c r="B24" s="189" t="s">
        <v>44</v>
      </c>
      <c r="F24" s="555"/>
      <c r="G24" s="555"/>
      <c r="H24" s="556"/>
      <c r="I24" s="144"/>
      <c r="J24" s="556"/>
      <c r="K24" s="557">
        <v>0</v>
      </c>
    </row>
    <row r="25" spans="1:11" ht="18" customHeight="1" x14ac:dyDescent="0.4">
      <c r="A25" s="183" t="s">
        <v>79</v>
      </c>
      <c r="B25" s="189" t="s">
        <v>5</v>
      </c>
      <c r="F25" s="555">
        <v>13765.4</v>
      </c>
      <c r="G25" s="555">
        <v>74425</v>
      </c>
      <c r="H25" s="556">
        <v>894022</v>
      </c>
      <c r="I25" s="144">
        <v>65078</v>
      </c>
      <c r="J25" s="556">
        <v>92607</v>
      </c>
      <c r="K25" s="557">
        <v>866493</v>
      </c>
    </row>
    <row r="26" spans="1:11" ht="18" customHeight="1" x14ac:dyDescent="0.4">
      <c r="A26" s="183" t="s">
        <v>80</v>
      </c>
      <c r="B26" s="189" t="s">
        <v>45</v>
      </c>
      <c r="F26" s="555">
        <v>20.5</v>
      </c>
      <c r="G26" s="555">
        <v>823</v>
      </c>
      <c r="H26" s="556">
        <v>15751</v>
      </c>
      <c r="I26" s="144">
        <v>0</v>
      </c>
      <c r="J26" s="556">
        <v>0</v>
      </c>
      <c r="K26" s="557">
        <v>15751</v>
      </c>
    </row>
    <row r="27" spans="1:11" ht="18" customHeight="1" x14ac:dyDescent="0.4">
      <c r="A27" s="183" t="s">
        <v>81</v>
      </c>
      <c r="B27" s="189" t="s">
        <v>498</v>
      </c>
      <c r="F27" s="555"/>
      <c r="G27" s="555"/>
      <c r="H27" s="556"/>
      <c r="I27" s="144"/>
      <c r="J27" s="556"/>
      <c r="K27" s="557">
        <v>0</v>
      </c>
    </row>
    <row r="28" spans="1:11" ht="18" customHeight="1" x14ac:dyDescent="0.4">
      <c r="A28" s="183" t="s">
        <v>82</v>
      </c>
      <c r="B28" s="189" t="s">
        <v>47</v>
      </c>
      <c r="F28" s="555"/>
      <c r="G28" s="555"/>
      <c r="H28" s="556"/>
      <c r="I28" s="144"/>
      <c r="J28" s="556"/>
      <c r="K28" s="557">
        <v>0</v>
      </c>
    </row>
    <row r="29" spans="1:11" ht="18" customHeight="1" x14ac:dyDescent="0.4">
      <c r="A29" s="183" t="s">
        <v>83</v>
      </c>
      <c r="B29" s="189" t="s">
        <v>48</v>
      </c>
      <c r="F29" s="555">
        <v>602</v>
      </c>
      <c r="G29" s="555">
        <v>9778</v>
      </c>
      <c r="H29" s="556">
        <v>612980</v>
      </c>
      <c r="I29" s="144">
        <v>3030</v>
      </c>
      <c r="J29" s="556">
        <v>482</v>
      </c>
      <c r="K29" s="557">
        <v>615528</v>
      </c>
    </row>
    <row r="30" spans="1:11" ht="18" customHeight="1" x14ac:dyDescent="0.4">
      <c r="A30" s="183" t="s">
        <v>84</v>
      </c>
      <c r="B30" s="951" t="s">
        <v>743</v>
      </c>
      <c r="C30" s="952"/>
      <c r="D30" s="953"/>
      <c r="F30" s="555">
        <v>73</v>
      </c>
      <c r="G30" s="555">
        <v>474</v>
      </c>
      <c r="H30" s="556">
        <v>4931</v>
      </c>
      <c r="I30" s="144">
        <v>444</v>
      </c>
      <c r="J30" s="556">
        <v>0</v>
      </c>
      <c r="K30" s="557">
        <v>5375</v>
      </c>
    </row>
    <row r="31" spans="1:11" ht="18" customHeight="1" x14ac:dyDescent="0.4">
      <c r="A31" s="183" t="s">
        <v>133</v>
      </c>
      <c r="B31" s="951"/>
      <c r="C31" s="952"/>
      <c r="D31" s="953"/>
      <c r="F31" s="555"/>
      <c r="G31" s="555"/>
      <c r="H31" s="556"/>
      <c r="I31" s="144"/>
      <c r="J31" s="556"/>
      <c r="K31" s="557">
        <v>0</v>
      </c>
    </row>
    <row r="32" spans="1:11" ht="18" customHeight="1" x14ac:dyDescent="0.4">
      <c r="A32" s="183" t="s">
        <v>134</v>
      </c>
      <c r="B32" s="500"/>
      <c r="C32" s="501"/>
      <c r="D32" s="502"/>
      <c r="F32" s="555"/>
      <c r="G32" s="558"/>
      <c r="H32" s="556"/>
      <c r="I32" s="144"/>
      <c r="J32" s="556"/>
      <c r="K32" s="557">
        <v>0</v>
      </c>
    </row>
    <row r="33" spans="1:11" ht="18" customHeight="1" x14ac:dyDescent="0.4">
      <c r="A33" s="183" t="s">
        <v>135</v>
      </c>
      <c r="B33" s="500"/>
      <c r="C33" s="501"/>
      <c r="D33" s="502"/>
      <c r="F33" s="555"/>
      <c r="G33" s="558"/>
      <c r="H33" s="556"/>
      <c r="I33" s="144"/>
      <c r="J33" s="556"/>
      <c r="K33" s="557">
        <v>0</v>
      </c>
    </row>
    <row r="34" spans="1:11" ht="18" customHeight="1" x14ac:dyDescent="0.4">
      <c r="A34" s="183" t="s">
        <v>136</v>
      </c>
      <c r="B34" s="951"/>
      <c r="C34" s="952"/>
      <c r="D34" s="953"/>
      <c r="F34" s="555"/>
      <c r="G34" s="558"/>
      <c r="H34" s="556"/>
      <c r="I34" s="144"/>
      <c r="J34" s="556"/>
      <c r="K34" s="557">
        <v>0</v>
      </c>
    </row>
    <row r="35" spans="1:11" ht="18" customHeight="1" x14ac:dyDescent="0.35">
      <c r="K35" s="559"/>
    </row>
    <row r="36" spans="1:11" ht="18" customHeight="1" x14ac:dyDescent="0.4">
      <c r="A36" s="120" t="s">
        <v>137</v>
      </c>
      <c r="B36" s="117" t="s">
        <v>138</v>
      </c>
      <c r="E36" s="117" t="s">
        <v>7</v>
      </c>
      <c r="F36" s="560">
        <v>16298.4</v>
      </c>
      <c r="G36" s="560">
        <v>96657</v>
      </c>
      <c r="H36" s="560">
        <v>1610357</v>
      </c>
      <c r="I36" s="557">
        <v>88088</v>
      </c>
      <c r="J36" s="557">
        <v>93089</v>
      </c>
      <c r="K36" s="557">
        <v>1605356</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140874</v>
      </c>
      <c r="G40" s="555">
        <v>903</v>
      </c>
      <c r="H40" s="556">
        <v>8902534</v>
      </c>
      <c r="I40" s="144">
        <v>5751037</v>
      </c>
      <c r="J40" s="556">
        <v>0</v>
      </c>
      <c r="K40" s="557">
        <v>14653571</v>
      </c>
    </row>
    <row r="41" spans="1:11" ht="18" customHeight="1" x14ac:dyDescent="0.4">
      <c r="A41" s="183" t="s">
        <v>88</v>
      </c>
      <c r="B41" s="956" t="s">
        <v>50</v>
      </c>
      <c r="C41" s="957"/>
      <c r="F41" s="555">
        <v>10243.4</v>
      </c>
      <c r="G41" s="555">
        <v>633</v>
      </c>
      <c r="H41" s="556">
        <v>1169341</v>
      </c>
      <c r="I41" s="144">
        <v>755394</v>
      </c>
      <c r="J41" s="556">
        <v>0</v>
      </c>
      <c r="K41" s="557">
        <v>1924735</v>
      </c>
    </row>
    <row r="42" spans="1:11" ht="18" customHeight="1" x14ac:dyDescent="0.4">
      <c r="A42" s="183" t="s">
        <v>89</v>
      </c>
      <c r="B42" s="116" t="s">
        <v>11</v>
      </c>
      <c r="F42" s="555">
        <v>4792.3999999999996</v>
      </c>
      <c r="G42" s="555">
        <v>628</v>
      </c>
      <c r="H42" s="556">
        <v>115341</v>
      </c>
      <c r="I42" s="144">
        <v>65867</v>
      </c>
      <c r="J42" s="556">
        <v>0</v>
      </c>
      <c r="K42" s="557">
        <v>181208</v>
      </c>
    </row>
    <row r="43" spans="1:11" ht="18" customHeight="1" x14ac:dyDescent="0.4">
      <c r="A43" s="183" t="s">
        <v>90</v>
      </c>
      <c r="B43" s="141" t="s">
        <v>10</v>
      </c>
      <c r="C43" s="123"/>
      <c r="D43" s="123"/>
      <c r="F43" s="555"/>
      <c r="G43" s="555"/>
      <c r="H43" s="556"/>
      <c r="I43" s="144"/>
      <c r="J43" s="556"/>
      <c r="K43" s="557">
        <v>0</v>
      </c>
    </row>
    <row r="44" spans="1:11" ht="18" customHeight="1" x14ac:dyDescent="0.4">
      <c r="A44" s="183" t="s">
        <v>91</v>
      </c>
      <c r="B44" s="951"/>
      <c r="C44" s="952"/>
      <c r="D44" s="953"/>
      <c r="F44" s="561"/>
      <c r="G44" s="561"/>
      <c r="H44" s="561"/>
      <c r="I44" s="146"/>
      <c r="J44" s="561"/>
      <c r="K44" s="562">
        <v>0</v>
      </c>
    </row>
    <row r="45" spans="1:11" ht="18" customHeight="1" x14ac:dyDescent="0.4">
      <c r="A45" s="183" t="s">
        <v>139</v>
      </c>
      <c r="B45" s="951"/>
      <c r="C45" s="952"/>
      <c r="D45" s="953"/>
      <c r="F45" s="555"/>
      <c r="G45" s="555"/>
      <c r="H45" s="556"/>
      <c r="I45" s="144"/>
      <c r="J45" s="556"/>
      <c r="K45" s="557">
        <v>0</v>
      </c>
    </row>
    <row r="46" spans="1:11" ht="18" customHeight="1" x14ac:dyDescent="0.4">
      <c r="A46" s="183" t="s">
        <v>140</v>
      </c>
      <c r="B46" s="951"/>
      <c r="C46" s="952"/>
      <c r="D46" s="953"/>
      <c r="F46" s="555"/>
      <c r="G46" s="555"/>
      <c r="H46" s="556"/>
      <c r="I46" s="144"/>
      <c r="J46" s="556"/>
      <c r="K46" s="557">
        <v>0</v>
      </c>
    </row>
    <row r="47" spans="1:11" ht="18" customHeight="1" x14ac:dyDescent="0.4">
      <c r="A47" s="183" t="s">
        <v>141</v>
      </c>
      <c r="B47" s="951"/>
      <c r="C47" s="952"/>
      <c r="D47" s="953"/>
      <c r="F47" s="555"/>
      <c r="G47" s="555"/>
      <c r="H47" s="556"/>
      <c r="I47" s="144"/>
      <c r="J47" s="556"/>
      <c r="K47" s="557">
        <v>0</v>
      </c>
    </row>
    <row r="49" spans="1:11" ht="18" customHeight="1" x14ac:dyDescent="0.4">
      <c r="A49" s="120" t="s">
        <v>142</v>
      </c>
      <c r="B49" s="117" t="s">
        <v>143</v>
      </c>
      <c r="E49" s="117" t="s">
        <v>7</v>
      </c>
      <c r="F49" s="560">
        <v>155909.79999999999</v>
      </c>
      <c r="G49" s="560">
        <v>2164</v>
      </c>
      <c r="H49" s="560">
        <v>10187216</v>
      </c>
      <c r="I49" s="557">
        <v>6572298</v>
      </c>
      <c r="J49" s="557">
        <v>0</v>
      </c>
      <c r="K49" s="557">
        <v>16759514</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744</v>
      </c>
      <c r="C53" s="979"/>
      <c r="D53" s="975"/>
      <c r="F53" s="555">
        <v>0</v>
      </c>
      <c r="G53" s="555">
        <v>0</v>
      </c>
      <c r="H53" s="556">
        <v>16512679</v>
      </c>
      <c r="I53" s="144">
        <v>0</v>
      </c>
      <c r="J53" s="556">
        <v>8229170</v>
      </c>
      <c r="K53" s="557">
        <v>8283509</v>
      </c>
    </row>
    <row r="54" spans="1:11" ht="18" customHeight="1" x14ac:dyDescent="0.4">
      <c r="A54" s="183" t="s">
        <v>93</v>
      </c>
      <c r="B54" s="503"/>
      <c r="C54" s="504"/>
      <c r="D54" s="505"/>
      <c r="F54" s="555"/>
      <c r="G54" s="555"/>
      <c r="H54" s="556"/>
      <c r="I54" s="144"/>
      <c r="J54" s="556"/>
      <c r="K54" s="557">
        <v>0</v>
      </c>
    </row>
    <row r="55" spans="1:11" ht="18" customHeight="1" x14ac:dyDescent="0.4">
      <c r="A55" s="183" t="s">
        <v>94</v>
      </c>
      <c r="B55" s="980" t="s">
        <v>587</v>
      </c>
      <c r="C55" s="974"/>
      <c r="D55" s="975"/>
      <c r="F55" s="555">
        <v>0</v>
      </c>
      <c r="G55" s="555">
        <v>0</v>
      </c>
      <c r="H55" s="556">
        <v>5418091</v>
      </c>
      <c r="I55" s="144">
        <v>0</v>
      </c>
      <c r="J55" s="556">
        <v>4843822</v>
      </c>
      <c r="K55" s="557">
        <v>574269</v>
      </c>
    </row>
    <row r="56" spans="1:11" ht="18" customHeight="1" x14ac:dyDescent="0.4">
      <c r="A56" s="183" t="s">
        <v>95</v>
      </c>
      <c r="B56" s="980"/>
      <c r="C56" s="974"/>
      <c r="D56" s="975"/>
      <c r="F56" s="555"/>
      <c r="G56" s="555"/>
      <c r="H56" s="556"/>
      <c r="I56" s="144"/>
      <c r="J56" s="556"/>
      <c r="K56" s="557">
        <v>0</v>
      </c>
    </row>
    <row r="57" spans="1:11" ht="18" customHeight="1" x14ac:dyDescent="0.4">
      <c r="A57" s="183" t="s">
        <v>96</v>
      </c>
      <c r="B57" s="980" t="s">
        <v>317</v>
      </c>
      <c r="C57" s="974"/>
      <c r="D57" s="975"/>
      <c r="F57" s="555">
        <v>0</v>
      </c>
      <c r="G57" s="555">
        <v>0</v>
      </c>
      <c r="H57" s="556">
        <v>12873528</v>
      </c>
      <c r="I57" s="144">
        <v>0</v>
      </c>
      <c r="J57" s="556">
        <v>8962716</v>
      </c>
      <c r="K57" s="557">
        <v>3910812</v>
      </c>
    </row>
    <row r="58" spans="1:11" ht="18" customHeight="1" x14ac:dyDescent="0.4">
      <c r="A58" s="183" t="s">
        <v>97</v>
      </c>
      <c r="B58" s="503"/>
      <c r="C58" s="504"/>
      <c r="D58" s="505"/>
      <c r="F58" s="555"/>
      <c r="G58" s="555"/>
      <c r="H58" s="556"/>
      <c r="I58" s="144"/>
      <c r="J58" s="556"/>
      <c r="K58" s="557">
        <v>0</v>
      </c>
    </row>
    <row r="59" spans="1:11" ht="18" customHeight="1" x14ac:dyDescent="0.4">
      <c r="A59" s="183" t="s">
        <v>98</v>
      </c>
      <c r="B59" s="980"/>
      <c r="C59" s="974"/>
      <c r="D59" s="975"/>
      <c r="F59" s="555"/>
      <c r="G59" s="555"/>
      <c r="H59" s="556"/>
      <c r="I59" s="144"/>
      <c r="J59" s="556"/>
      <c r="K59" s="557">
        <v>0</v>
      </c>
    </row>
    <row r="60" spans="1:11" ht="18" customHeight="1" x14ac:dyDescent="0.4">
      <c r="A60" s="183" t="s">
        <v>99</v>
      </c>
      <c r="B60" s="503"/>
      <c r="C60" s="504"/>
      <c r="D60" s="505"/>
      <c r="F60" s="555"/>
      <c r="G60" s="555"/>
      <c r="H60" s="556"/>
      <c r="I60" s="144"/>
      <c r="J60" s="556"/>
      <c r="K60" s="557">
        <v>0</v>
      </c>
    </row>
    <row r="61" spans="1:11" ht="18" customHeight="1" x14ac:dyDescent="0.4">
      <c r="A61" s="183" t="s">
        <v>100</v>
      </c>
      <c r="B61" s="503" t="s">
        <v>372</v>
      </c>
      <c r="C61" s="504"/>
      <c r="D61" s="505"/>
      <c r="F61" s="555">
        <v>0</v>
      </c>
      <c r="G61" s="555">
        <v>0</v>
      </c>
      <c r="H61" s="556">
        <v>382470</v>
      </c>
      <c r="I61" s="144">
        <v>0</v>
      </c>
      <c r="J61" s="556">
        <v>157860</v>
      </c>
      <c r="K61" s="557">
        <v>224610</v>
      </c>
    </row>
    <row r="62" spans="1:11" ht="18" customHeight="1" x14ac:dyDescent="0.4">
      <c r="A62" s="183" t="s">
        <v>101</v>
      </c>
      <c r="B62" s="980"/>
      <c r="C62" s="974"/>
      <c r="D62" s="975"/>
      <c r="F62" s="555"/>
      <c r="G62" s="555"/>
      <c r="H62" s="556"/>
      <c r="I62" s="144"/>
      <c r="J62" s="556"/>
      <c r="K62" s="557">
        <v>0</v>
      </c>
    </row>
    <row r="63" spans="1:11" ht="18" customHeight="1" x14ac:dyDescent="0.4">
      <c r="A63" s="183"/>
      <c r="I63" s="140"/>
    </row>
    <row r="64" spans="1:11" ht="18" customHeight="1" x14ac:dyDescent="0.4">
      <c r="A64" s="183" t="s">
        <v>144</v>
      </c>
      <c r="B64" s="117" t="s">
        <v>145</v>
      </c>
      <c r="E64" s="117" t="s">
        <v>7</v>
      </c>
      <c r="F64" s="560">
        <v>0</v>
      </c>
      <c r="G64" s="560">
        <v>0</v>
      </c>
      <c r="H64" s="557">
        <v>35186768</v>
      </c>
      <c r="I64" s="557">
        <v>0</v>
      </c>
      <c r="J64" s="557">
        <v>22193568</v>
      </c>
      <c r="K64" s="557">
        <v>12993200</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c r="J68" s="564"/>
      <c r="K68" s="557">
        <v>0</v>
      </c>
    </row>
    <row r="69" spans="1:11" ht="18" customHeight="1" x14ac:dyDescent="0.4">
      <c r="A69" s="183" t="s">
        <v>104</v>
      </c>
      <c r="B69" s="116" t="s">
        <v>53</v>
      </c>
      <c r="F69" s="564"/>
      <c r="G69" s="564"/>
      <c r="H69" s="564"/>
      <c r="I69" s="144"/>
      <c r="J69" s="564"/>
      <c r="K69" s="557">
        <v>0</v>
      </c>
    </row>
    <row r="70" spans="1:11" ht="18" customHeight="1" x14ac:dyDescent="0.4">
      <c r="A70" s="183" t="s">
        <v>178</v>
      </c>
      <c r="B70" s="503"/>
      <c r="C70" s="504"/>
      <c r="D70" s="505"/>
      <c r="E70" s="117"/>
      <c r="F70" s="131"/>
      <c r="G70" s="131"/>
      <c r="H70" s="132"/>
      <c r="I70" s="144"/>
      <c r="J70" s="132"/>
      <c r="K70" s="557">
        <v>0</v>
      </c>
    </row>
    <row r="71" spans="1:11" ht="18" customHeight="1" x14ac:dyDescent="0.4">
      <c r="A71" s="183" t="s">
        <v>179</v>
      </c>
      <c r="B71" s="503"/>
      <c r="C71" s="504"/>
      <c r="D71" s="505"/>
      <c r="E71" s="117"/>
      <c r="F71" s="131"/>
      <c r="G71" s="131"/>
      <c r="H71" s="132"/>
      <c r="I71" s="144"/>
      <c r="J71" s="132"/>
      <c r="K71" s="557">
        <v>0</v>
      </c>
    </row>
    <row r="72" spans="1:11" ht="18" customHeight="1" x14ac:dyDescent="0.4">
      <c r="A72" s="183" t="s">
        <v>180</v>
      </c>
      <c r="B72" s="510"/>
      <c r="C72" s="508"/>
      <c r="D72" s="130"/>
      <c r="E72" s="117"/>
      <c r="F72" s="555"/>
      <c r="G72" s="555"/>
      <c r="H72" s="556"/>
      <c r="I72" s="144"/>
      <c r="J72" s="556"/>
      <c r="K72" s="557">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v>0</v>
      </c>
      <c r="G74" s="566">
        <v>0</v>
      </c>
      <c r="H74" s="566">
        <v>0</v>
      </c>
      <c r="I74" s="145">
        <v>0</v>
      </c>
      <c r="J74" s="566">
        <v>0</v>
      </c>
      <c r="K74" s="56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v>0</v>
      </c>
      <c r="G77" s="555">
        <v>0</v>
      </c>
      <c r="H77" s="556">
        <v>29628</v>
      </c>
      <c r="I77" s="144">
        <v>0</v>
      </c>
      <c r="J77" s="556">
        <v>0</v>
      </c>
      <c r="K77" s="557">
        <v>29628</v>
      </c>
    </row>
    <row r="78" spans="1:11" ht="18" customHeight="1" x14ac:dyDescent="0.4">
      <c r="A78" s="183" t="s">
        <v>108</v>
      </c>
      <c r="B78" s="116" t="s">
        <v>55</v>
      </c>
      <c r="F78" s="555"/>
      <c r="G78" s="555"/>
      <c r="H78" s="556"/>
      <c r="I78" s="144"/>
      <c r="J78" s="556"/>
      <c r="K78" s="557">
        <v>0</v>
      </c>
    </row>
    <row r="79" spans="1:11" ht="18" customHeight="1" x14ac:dyDescent="0.4">
      <c r="A79" s="183" t="s">
        <v>109</v>
      </c>
      <c r="B79" s="116" t="s">
        <v>13</v>
      </c>
      <c r="F79" s="555">
        <v>493</v>
      </c>
      <c r="G79" s="555">
        <v>1291</v>
      </c>
      <c r="H79" s="556">
        <v>342003</v>
      </c>
      <c r="I79" s="144">
        <v>215922</v>
      </c>
      <c r="J79" s="556">
        <v>0</v>
      </c>
      <c r="K79" s="557">
        <v>557925</v>
      </c>
    </row>
    <row r="80" spans="1:11" ht="18" customHeight="1" x14ac:dyDescent="0.4">
      <c r="A80" s="183" t="s">
        <v>110</v>
      </c>
      <c r="B80" s="116" t="s">
        <v>56</v>
      </c>
      <c r="F80" s="555"/>
      <c r="G80" s="555"/>
      <c r="H80" s="556"/>
      <c r="I80" s="144"/>
      <c r="J80" s="556"/>
      <c r="K80" s="557">
        <v>0</v>
      </c>
    </row>
    <row r="81" spans="1:11" ht="18" customHeight="1" x14ac:dyDescent="0.4">
      <c r="A81" s="183"/>
      <c r="K81" s="568"/>
    </row>
    <row r="82" spans="1:11" ht="18" customHeight="1" x14ac:dyDescent="0.4">
      <c r="A82" s="183" t="s">
        <v>148</v>
      </c>
      <c r="B82" s="117" t="s">
        <v>149</v>
      </c>
      <c r="E82" s="117" t="s">
        <v>7</v>
      </c>
      <c r="F82" s="566">
        <v>493</v>
      </c>
      <c r="G82" s="566">
        <v>1291</v>
      </c>
      <c r="H82" s="567">
        <v>371631</v>
      </c>
      <c r="I82" s="567">
        <v>215922</v>
      </c>
      <c r="J82" s="567">
        <v>0</v>
      </c>
      <c r="K82" s="567">
        <v>587553</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c r="J86" s="556"/>
      <c r="K86" s="557">
        <v>0</v>
      </c>
    </row>
    <row r="87" spans="1:11" ht="18" customHeight="1" x14ac:dyDescent="0.4">
      <c r="A87" s="183" t="s">
        <v>114</v>
      </c>
      <c r="B87" s="116" t="s">
        <v>14</v>
      </c>
      <c r="F87" s="555"/>
      <c r="G87" s="555"/>
      <c r="H87" s="556"/>
      <c r="I87" s="144"/>
      <c r="J87" s="556"/>
      <c r="K87" s="557">
        <v>0</v>
      </c>
    </row>
    <row r="88" spans="1:11" ht="18" customHeight="1" x14ac:dyDescent="0.4">
      <c r="A88" s="183" t="s">
        <v>115</v>
      </c>
      <c r="B88" s="116" t="s">
        <v>116</v>
      </c>
      <c r="F88" s="555">
        <v>1172</v>
      </c>
      <c r="G88" s="555">
        <v>1900</v>
      </c>
      <c r="H88" s="556">
        <v>52732</v>
      </c>
      <c r="I88" s="144">
        <v>22346</v>
      </c>
      <c r="J88" s="556">
        <v>29005</v>
      </c>
      <c r="K88" s="557">
        <v>46073</v>
      </c>
    </row>
    <row r="89" spans="1:11" ht="18" customHeight="1" x14ac:dyDescent="0.4">
      <c r="A89" s="183" t="s">
        <v>117</v>
      </c>
      <c r="B89" s="116" t="s">
        <v>58</v>
      </c>
      <c r="F89" s="555">
        <v>88</v>
      </c>
      <c r="G89" s="555">
        <v>0</v>
      </c>
      <c r="H89" s="556">
        <v>59517</v>
      </c>
      <c r="I89" s="144">
        <v>38448</v>
      </c>
      <c r="J89" s="556">
        <v>0</v>
      </c>
      <c r="K89" s="557">
        <v>97965</v>
      </c>
    </row>
    <row r="90" spans="1:11" ht="18" customHeight="1" x14ac:dyDescent="0.4">
      <c r="A90" s="183" t="s">
        <v>118</v>
      </c>
      <c r="B90" s="956" t="s">
        <v>59</v>
      </c>
      <c r="C90" s="957"/>
      <c r="F90" s="555"/>
      <c r="G90" s="555"/>
      <c r="H90" s="556"/>
      <c r="I90" s="144"/>
      <c r="J90" s="556"/>
      <c r="K90" s="557">
        <v>0</v>
      </c>
    </row>
    <row r="91" spans="1:11" ht="18" customHeight="1" x14ac:dyDescent="0.4">
      <c r="A91" s="183" t="s">
        <v>119</v>
      </c>
      <c r="B91" s="116" t="s">
        <v>60</v>
      </c>
      <c r="F91" s="555">
        <v>44</v>
      </c>
      <c r="G91" s="555">
        <v>0</v>
      </c>
      <c r="H91" s="556">
        <v>2284</v>
      </c>
      <c r="I91" s="144">
        <v>0</v>
      </c>
      <c r="J91" s="556">
        <v>0</v>
      </c>
      <c r="K91" s="557">
        <v>2284</v>
      </c>
    </row>
    <row r="92" spans="1:11" ht="18" customHeight="1" x14ac:dyDescent="0.4">
      <c r="A92" s="183" t="s">
        <v>120</v>
      </c>
      <c r="B92" s="116" t="s">
        <v>121</v>
      </c>
      <c r="F92" s="134">
        <v>6</v>
      </c>
      <c r="G92" s="134">
        <v>42</v>
      </c>
      <c r="H92" s="135">
        <v>26726</v>
      </c>
      <c r="I92" s="144">
        <v>0</v>
      </c>
      <c r="J92" s="135">
        <v>0</v>
      </c>
      <c r="K92" s="557">
        <v>26726</v>
      </c>
    </row>
    <row r="93" spans="1:11" ht="18" customHeight="1" x14ac:dyDescent="0.4">
      <c r="A93" s="183" t="s">
        <v>122</v>
      </c>
      <c r="B93" s="116" t="s">
        <v>123</v>
      </c>
      <c r="F93" s="555">
        <v>0</v>
      </c>
      <c r="G93" s="555">
        <v>0</v>
      </c>
      <c r="H93" s="556">
        <v>81083</v>
      </c>
      <c r="I93" s="144">
        <v>0</v>
      </c>
      <c r="J93" s="556">
        <v>0</v>
      </c>
      <c r="K93" s="557">
        <v>81083</v>
      </c>
    </row>
    <row r="94" spans="1:11" ht="18" customHeight="1" x14ac:dyDescent="0.4">
      <c r="A94" s="183" t="s">
        <v>124</v>
      </c>
      <c r="B94" s="980"/>
      <c r="C94" s="974"/>
      <c r="D94" s="975"/>
      <c r="F94" s="555"/>
      <c r="G94" s="555"/>
      <c r="H94" s="556"/>
      <c r="I94" s="144"/>
      <c r="J94" s="556"/>
      <c r="K94" s="557">
        <v>0</v>
      </c>
    </row>
    <row r="95" spans="1:11" ht="18" customHeight="1" x14ac:dyDescent="0.4">
      <c r="A95" s="183" t="s">
        <v>125</v>
      </c>
      <c r="B95" s="980"/>
      <c r="C95" s="974"/>
      <c r="D95" s="975"/>
      <c r="F95" s="555"/>
      <c r="G95" s="555"/>
      <c r="H95" s="556"/>
      <c r="I95" s="144"/>
      <c r="J95" s="556"/>
      <c r="K95" s="557">
        <v>0</v>
      </c>
    </row>
    <row r="96" spans="1:11" ht="18" customHeight="1" x14ac:dyDescent="0.4">
      <c r="A96" s="183" t="s">
        <v>126</v>
      </c>
      <c r="B96" s="980"/>
      <c r="C96" s="974"/>
      <c r="D96" s="975"/>
      <c r="F96" s="555"/>
      <c r="G96" s="555"/>
      <c r="H96" s="556"/>
      <c r="I96" s="144"/>
      <c r="J96" s="556"/>
      <c r="K96" s="557">
        <v>0</v>
      </c>
    </row>
    <row r="97" spans="1:11" ht="18" customHeight="1" x14ac:dyDescent="0.4">
      <c r="A97" s="183"/>
      <c r="B97" s="116"/>
    </row>
    <row r="98" spans="1:11" ht="18" customHeight="1" x14ac:dyDescent="0.4">
      <c r="A98" s="120" t="s">
        <v>150</v>
      </c>
      <c r="B98" s="117" t="s">
        <v>151</v>
      </c>
      <c r="E98" s="117" t="s">
        <v>7</v>
      </c>
      <c r="F98" s="560">
        <v>1310</v>
      </c>
      <c r="G98" s="560">
        <v>1942</v>
      </c>
      <c r="H98" s="560">
        <v>222342</v>
      </c>
      <c r="I98" s="560">
        <v>60794</v>
      </c>
      <c r="J98" s="560">
        <v>29005</v>
      </c>
      <c r="K98" s="560">
        <v>254131</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2576</v>
      </c>
      <c r="G102" s="555">
        <v>0</v>
      </c>
      <c r="H102" s="556">
        <v>209556</v>
      </c>
      <c r="I102" s="144">
        <v>102351</v>
      </c>
      <c r="J102" s="556"/>
      <c r="K102" s="557">
        <v>311907</v>
      </c>
    </row>
    <row r="103" spans="1:11" ht="18" customHeight="1" x14ac:dyDescent="0.4">
      <c r="A103" s="183" t="s">
        <v>132</v>
      </c>
      <c r="B103" s="956" t="s">
        <v>62</v>
      </c>
      <c r="C103" s="956"/>
      <c r="F103" s="555">
        <v>157</v>
      </c>
      <c r="G103" s="555">
        <v>0</v>
      </c>
      <c r="H103" s="556">
        <v>44220</v>
      </c>
      <c r="I103" s="144">
        <v>28566</v>
      </c>
      <c r="J103" s="556">
        <v>0</v>
      </c>
      <c r="K103" s="557">
        <v>72786</v>
      </c>
    </row>
    <row r="104" spans="1:11" ht="18" customHeight="1" x14ac:dyDescent="0.4">
      <c r="A104" s="183" t="s">
        <v>128</v>
      </c>
      <c r="B104" s="980" t="s">
        <v>745</v>
      </c>
      <c r="C104" s="974"/>
      <c r="D104" s="975"/>
      <c r="F104" s="555">
        <v>0</v>
      </c>
      <c r="G104" s="555">
        <v>0</v>
      </c>
      <c r="H104" s="556">
        <v>1635</v>
      </c>
      <c r="I104" s="144">
        <v>0</v>
      </c>
      <c r="J104" s="556"/>
      <c r="K104" s="557">
        <v>1635</v>
      </c>
    </row>
    <row r="105" spans="1:11" ht="18" customHeight="1" x14ac:dyDescent="0.4">
      <c r="A105" s="183" t="s">
        <v>127</v>
      </c>
      <c r="B105" s="980"/>
      <c r="C105" s="974"/>
      <c r="D105" s="975"/>
      <c r="F105" s="555"/>
      <c r="G105" s="555"/>
      <c r="H105" s="556"/>
      <c r="I105" s="144"/>
      <c r="J105" s="556"/>
      <c r="K105" s="557">
        <v>0</v>
      </c>
    </row>
    <row r="106" spans="1:11" ht="18" customHeight="1" x14ac:dyDescent="0.4">
      <c r="A106" s="183" t="s">
        <v>129</v>
      </c>
      <c r="B106" s="980"/>
      <c r="C106" s="974"/>
      <c r="D106" s="975"/>
      <c r="F106" s="555"/>
      <c r="G106" s="555"/>
      <c r="H106" s="556"/>
      <c r="I106" s="144"/>
      <c r="J106" s="556"/>
      <c r="K106" s="557">
        <v>0</v>
      </c>
    </row>
    <row r="107" spans="1:11" ht="18" customHeight="1" x14ac:dyDescent="0.4">
      <c r="B107" s="117"/>
    </row>
    <row r="108" spans="1:11" s="123" customFormat="1" ht="18" customHeight="1" x14ac:dyDescent="0.4">
      <c r="A108" s="120" t="s">
        <v>153</v>
      </c>
      <c r="B108" s="153" t="s">
        <v>154</v>
      </c>
      <c r="C108" s="189"/>
      <c r="D108" s="189"/>
      <c r="E108" s="117" t="s">
        <v>7</v>
      </c>
      <c r="F108" s="560">
        <v>2733</v>
      </c>
      <c r="G108" s="560">
        <v>0</v>
      </c>
      <c r="H108" s="557">
        <v>255411</v>
      </c>
      <c r="I108" s="557">
        <v>130917</v>
      </c>
      <c r="J108" s="557">
        <v>0</v>
      </c>
      <c r="K108" s="557">
        <v>386328</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10276998.380000001</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0.64549999999999996</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554835256.2299999</v>
      </c>
    </row>
    <row r="118" spans="1:6" ht="18" customHeight="1" x14ac:dyDescent="0.4">
      <c r="A118" s="183" t="s">
        <v>173</v>
      </c>
      <c r="B118" s="189" t="s">
        <v>18</v>
      </c>
      <c r="F118" s="556">
        <v>8927500.4299999978</v>
      </c>
    </row>
    <row r="119" spans="1:6" ht="18" customHeight="1" x14ac:dyDescent="0.4">
      <c r="A119" s="183" t="s">
        <v>174</v>
      </c>
      <c r="B119" s="117" t="s">
        <v>19</v>
      </c>
      <c r="F119" s="567">
        <v>563762756.65999985</v>
      </c>
    </row>
    <row r="120" spans="1:6" ht="18" customHeight="1" x14ac:dyDescent="0.4">
      <c r="A120" s="183"/>
      <c r="B120" s="117"/>
    </row>
    <row r="121" spans="1:6" ht="18" customHeight="1" x14ac:dyDescent="0.4">
      <c r="A121" s="183" t="s">
        <v>167</v>
      </c>
      <c r="B121" s="117" t="s">
        <v>36</v>
      </c>
      <c r="F121" s="556">
        <v>538458851.62</v>
      </c>
    </row>
    <row r="122" spans="1:6" ht="18" customHeight="1" x14ac:dyDescent="0.4">
      <c r="A122" s="183"/>
    </row>
    <row r="123" spans="1:6" ht="18" customHeight="1" x14ac:dyDescent="0.4">
      <c r="A123" s="183" t="s">
        <v>175</v>
      </c>
      <c r="B123" s="117" t="s">
        <v>20</v>
      </c>
      <c r="F123" s="556">
        <v>25303905.039999843</v>
      </c>
    </row>
    <row r="124" spans="1:6" ht="18" customHeight="1" x14ac:dyDescent="0.4">
      <c r="A124" s="183"/>
    </row>
    <row r="125" spans="1:6" ht="18" customHeight="1" x14ac:dyDescent="0.4">
      <c r="A125" s="183" t="s">
        <v>176</v>
      </c>
      <c r="B125" s="117" t="s">
        <v>21</v>
      </c>
      <c r="F125" s="556">
        <v>469062.63</v>
      </c>
    </row>
    <row r="126" spans="1:6" ht="18" customHeight="1" x14ac:dyDescent="0.4">
      <c r="A126" s="183"/>
    </row>
    <row r="127" spans="1:6" ht="18" customHeight="1" x14ac:dyDescent="0.4">
      <c r="A127" s="183" t="s">
        <v>177</v>
      </c>
      <c r="B127" s="117" t="s">
        <v>22</v>
      </c>
      <c r="F127" s="556">
        <v>25772967.669999842</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v>0</v>
      </c>
    </row>
    <row r="132" spans="1:11" ht="18" customHeight="1" x14ac:dyDescent="0.4">
      <c r="A132" s="183" t="s">
        <v>159</v>
      </c>
      <c r="B132" s="189" t="s">
        <v>25</v>
      </c>
      <c r="F132" s="555"/>
      <c r="G132" s="555"/>
      <c r="H132" s="556"/>
      <c r="I132" s="144">
        <v>0</v>
      </c>
      <c r="J132" s="556"/>
      <c r="K132" s="557">
        <v>0</v>
      </c>
    </row>
    <row r="133" spans="1:11" ht="18" customHeight="1" x14ac:dyDescent="0.4">
      <c r="A133" s="183" t="s">
        <v>160</v>
      </c>
      <c r="B133" s="951"/>
      <c r="C133" s="952"/>
      <c r="D133" s="953"/>
      <c r="F133" s="555"/>
      <c r="G133" s="555"/>
      <c r="H133" s="556"/>
      <c r="I133" s="144">
        <v>0</v>
      </c>
      <c r="J133" s="556"/>
      <c r="K133" s="557">
        <v>0</v>
      </c>
    </row>
    <row r="134" spans="1:11" ht="18" customHeight="1" x14ac:dyDescent="0.4">
      <c r="A134" s="183" t="s">
        <v>161</v>
      </c>
      <c r="B134" s="951"/>
      <c r="C134" s="952"/>
      <c r="D134" s="953"/>
      <c r="F134" s="555"/>
      <c r="G134" s="555"/>
      <c r="H134" s="556"/>
      <c r="I134" s="144">
        <v>0</v>
      </c>
      <c r="J134" s="556"/>
      <c r="K134" s="557">
        <v>0</v>
      </c>
    </row>
    <row r="135" spans="1:11" ht="18" customHeight="1" x14ac:dyDescent="0.4">
      <c r="A135" s="183" t="s">
        <v>162</v>
      </c>
      <c r="B135" s="951"/>
      <c r="C135" s="952"/>
      <c r="D135" s="953"/>
      <c r="F135" s="555"/>
      <c r="G135" s="555"/>
      <c r="H135" s="556"/>
      <c r="I135" s="144">
        <v>0</v>
      </c>
      <c r="J135" s="556"/>
      <c r="K135" s="557">
        <v>0</v>
      </c>
    </row>
    <row r="136" spans="1:11" ht="18" customHeight="1" x14ac:dyDescent="0.4">
      <c r="A136" s="120"/>
    </row>
    <row r="137" spans="1:11" ht="18" customHeight="1" x14ac:dyDescent="0.4">
      <c r="A137" s="120" t="s">
        <v>163</v>
      </c>
      <c r="B137" s="117" t="s">
        <v>27</v>
      </c>
      <c r="F137" s="560">
        <v>0</v>
      </c>
      <c r="G137" s="560">
        <v>0</v>
      </c>
      <c r="H137" s="557">
        <v>0</v>
      </c>
      <c r="I137" s="557">
        <v>0</v>
      </c>
      <c r="J137" s="557">
        <v>0</v>
      </c>
      <c r="K137" s="557">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v>16298.4</v>
      </c>
      <c r="G141" s="136">
        <v>96657</v>
      </c>
      <c r="H141" s="136">
        <v>1610357</v>
      </c>
      <c r="I141" s="136">
        <v>88088</v>
      </c>
      <c r="J141" s="136">
        <v>93089</v>
      </c>
      <c r="K141" s="136">
        <v>1605356</v>
      </c>
    </row>
    <row r="142" spans="1:11" ht="18" customHeight="1" x14ac:dyDescent="0.4">
      <c r="A142" s="183" t="s">
        <v>142</v>
      </c>
      <c r="B142" s="117" t="s">
        <v>65</v>
      </c>
      <c r="F142" s="136">
        <v>155909.79999999999</v>
      </c>
      <c r="G142" s="136">
        <v>2164</v>
      </c>
      <c r="H142" s="136">
        <v>10187216</v>
      </c>
      <c r="I142" s="136">
        <v>6572298</v>
      </c>
      <c r="J142" s="136">
        <v>0</v>
      </c>
      <c r="K142" s="136">
        <v>16759514</v>
      </c>
    </row>
    <row r="143" spans="1:11" ht="18" customHeight="1" x14ac:dyDescent="0.4">
      <c r="A143" s="183" t="s">
        <v>144</v>
      </c>
      <c r="B143" s="117" t="s">
        <v>66</v>
      </c>
      <c r="F143" s="136">
        <v>0</v>
      </c>
      <c r="G143" s="136">
        <v>0</v>
      </c>
      <c r="H143" s="136">
        <v>35186768</v>
      </c>
      <c r="I143" s="136">
        <v>0</v>
      </c>
      <c r="J143" s="136">
        <v>22193568</v>
      </c>
      <c r="K143" s="136">
        <v>12993200</v>
      </c>
    </row>
    <row r="144" spans="1:11" ht="18" customHeight="1" x14ac:dyDescent="0.4">
      <c r="A144" s="183" t="s">
        <v>146</v>
      </c>
      <c r="B144" s="117" t="s">
        <v>67</v>
      </c>
      <c r="F144" s="136">
        <v>0</v>
      </c>
      <c r="G144" s="136">
        <v>0</v>
      </c>
      <c r="H144" s="136">
        <v>0</v>
      </c>
      <c r="I144" s="136">
        <v>0</v>
      </c>
      <c r="J144" s="136">
        <v>0</v>
      </c>
      <c r="K144" s="136">
        <v>0</v>
      </c>
    </row>
    <row r="145" spans="1:11" ht="18" customHeight="1" x14ac:dyDescent="0.4">
      <c r="A145" s="183" t="s">
        <v>148</v>
      </c>
      <c r="B145" s="117" t="s">
        <v>68</v>
      </c>
      <c r="F145" s="136">
        <v>493</v>
      </c>
      <c r="G145" s="136">
        <v>1291</v>
      </c>
      <c r="H145" s="136">
        <v>371631</v>
      </c>
      <c r="I145" s="136">
        <v>215922</v>
      </c>
      <c r="J145" s="136">
        <v>0</v>
      </c>
      <c r="K145" s="136">
        <v>587553</v>
      </c>
    </row>
    <row r="146" spans="1:11" ht="18" customHeight="1" x14ac:dyDescent="0.4">
      <c r="A146" s="183" t="s">
        <v>150</v>
      </c>
      <c r="B146" s="117" t="s">
        <v>69</v>
      </c>
      <c r="F146" s="136">
        <v>1310</v>
      </c>
      <c r="G146" s="136">
        <v>1942</v>
      </c>
      <c r="H146" s="136">
        <v>222342</v>
      </c>
      <c r="I146" s="136">
        <v>60794</v>
      </c>
      <c r="J146" s="136">
        <v>29005</v>
      </c>
      <c r="K146" s="136">
        <v>254131</v>
      </c>
    </row>
    <row r="147" spans="1:11" ht="18" customHeight="1" x14ac:dyDescent="0.4">
      <c r="A147" s="183" t="s">
        <v>153</v>
      </c>
      <c r="B147" s="117" t="s">
        <v>61</v>
      </c>
      <c r="F147" s="560">
        <v>2733</v>
      </c>
      <c r="G147" s="560">
        <v>0</v>
      </c>
      <c r="H147" s="560">
        <v>255411</v>
      </c>
      <c r="I147" s="560">
        <v>130917</v>
      </c>
      <c r="J147" s="560">
        <v>0</v>
      </c>
      <c r="K147" s="560">
        <v>386328</v>
      </c>
    </row>
    <row r="148" spans="1:11" ht="18" customHeight="1" x14ac:dyDescent="0.4">
      <c r="A148" s="183" t="s">
        <v>155</v>
      </c>
      <c r="B148" s="117" t="s">
        <v>70</v>
      </c>
      <c r="F148" s="137" t="s">
        <v>73</v>
      </c>
      <c r="G148" s="137" t="s">
        <v>73</v>
      </c>
      <c r="H148" s="138" t="s">
        <v>73</v>
      </c>
      <c r="I148" s="138" t="s">
        <v>73</v>
      </c>
      <c r="J148" s="138" t="s">
        <v>73</v>
      </c>
      <c r="K148" s="133">
        <v>10276998.380000001</v>
      </c>
    </row>
    <row r="149" spans="1:11" ht="18" customHeight="1" x14ac:dyDescent="0.4">
      <c r="A149" s="183" t="s">
        <v>163</v>
      </c>
      <c r="B149" s="117" t="s">
        <v>71</v>
      </c>
      <c r="F149" s="560">
        <v>0</v>
      </c>
      <c r="G149" s="560">
        <v>0</v>
      </c>
      <c r="H149" s="560">
        <v>0</v>
      </c>
      <c r="I149" s="560">
        <v>0</v>
      </c>
      <c r="J149" s="560">
        <v>0</v>
      </c>
      <c r="K149" s="560">
        <v>0</v>
      </c>
    </row>
    <row r="150" spans="1:11" ht="18" customHeight="1" x14ac:dyDescent="0.4">
      <c r="A150" s="183" t="s">
        <v>185</v>
      </c>
      <c r="B150" s="117" t="s">
        <v>186</v>
      </c>
      <c r="F150" s="137" t="s">
        <v>73</v>
      </c>
      <c r="G150" s="137" t="s">
        <v>73</v>
      </c>
      <c r="H150" s="560">
        <v>10317401.25</v>
      </c>
      <c r="I150" s="560">
        <v>0</v>
      </c>
      <c r="J150" s="560">
        <v>8577135.8699999992</v>
      </c>
      <c r="K150" s="560">
        <v>1740265.3800000008</v>
      </c>
    </row>
    <row r="151" spans="1:11" ht="18" customHeight="1" x14ac:dyDescent="0.4">
      <c r="B151" s="117"/>
      <c r="F151" s="142"/>
      <c r="G151" s="142"/>
      <c r="H151" s="142"/>
      <c r="I151" s="142"/>
      <c r="J151" s="142"/>
      <c r="K151" s="142"/>
    </row>
    <row r="152" spans="1:11" ht="18" customHeight="1" x14ac:dyDescent="0.4">
      <c r="A152" s="120" t="s">
        <v>165</v>
      </c>
      <c r="B152" s="117" t="s">
        <v>26</v>
      </c>
      <c r="F152" s="143">
        <v>176744.19999999998</v>
      </c>
      <c r="G152" s="143">
        <v>102054</v>
      </c>
      <c r="H152" s="143">
        <v>58151126.25</v>
      </c>
      <c r="I152" s="143">
        <v>7068019</v>
      </c>
      <c r="J152" s="143">
        <v>30892797.869999997</v>
      </c>
      <c r="K152" s="143">
        <v>44603345.760000005</v>
      </c>
    </row>
    <row r="154" spans="1:11" ht="18" customHeight="1" x14ac:dyDescent="0.4">
      <c r="A154" s="120" t="s">
        <v>168</v>
      </c>
      <c r="B154" s="117" t="s">
        <v>28</v>
      </c>
      <c r="F154" s="571">
        <v>8.2835198317953149E-2</v>
      </c>
      <c r="K154" s="185"/>
    </row>
    <row r="155" spans="1:11" ht="18" customHeight="1" x14ac:dyDescent="0.4">
      <c r="A155" s="120" t="s">
        <v>169</v>
      </c>
      <c r="B155" s="117" t="s">
        <v>72</v>
      </c>
      <c r="F155" s="571">
        <v>1.7306251391421654</v>
      </c>
      <c r="G155" s="117"/>
    </row>
    <row r="156" spans="1:11" ht="18" customHeight="1" x14ac:dyDescent="0.4">
      <c r="G156" s="117"/>
    </row>
  </sheetData>
  <mergeCells count="34">
    <mergeCell ref="B106:D106"/>
    <mergeCell ref="B133:D133"/>
    <mergeCell ref="B134:D134"/>
    <mergeCell ref="B135:D135"/>
    <mergeCell ref="B105:D105"/>
    <mergeCell ref="B96:D96"/>
    <mergeCell ref="B103:C103"/>
    <mergeCell ref="B104:D104"/>
    <mergeCell ref="B90:C90"/>
    <mergeCell ref="B53:D53"/>
    <mergeCell ref="B55:D55"/>
    <mergeCell ref="B56:D56"/>
    <mergeCell ref="B46:D46"/>
    <mergeCell ref="B47:D47"/>
    <mergeCell ref="B52:C52"/>
    <mergeCell ref="B94:D94"/>
    <mergeCell ref="B95:D95"/>
    <mergeCell ref="B57:D57"/>
    <mergeCell ref="B59:D59"/>
    <mergeCell ref="B62:D62"/>
    <mergeCell ref="B44:D44"/>
    <mergeCell ref="B45:D45"/>
    <mergeCell ref="B41:C41"/>
    <mergeCell ref="D2:H2"/>
    <mergeCell ref="C5:G5"/>
    <mergeCell ref="C6:G6"/>
    <mergeCell ref="C7:G7"/>
    <mergeCell ref="C9:G9"/>
    <mergeCell ref="C10:G10"/>
    <mergeCell ref="C11:G11"/>
    <mergeCell ref="B30:D30"/>
    <mergeCell ref="B31:D31"/>
    <mergeCell ref="B34:D34"/>
    <mergeCell ref="B13:H13"/>
  </mergeCells>
  <pageMargins left="0.7" right="0.7" top="0.75" bottom="0.75" header="0.3" footer="0.3"/>
  <pageSetup scale="55" orientation="landscape" r:id="rId1"/>
  <headerFooter>
    <oddFooter>&amp;L&amp;Z&amp;F&amp;A&amp;R&amp;P of &amp;N</oddFooter>
  </headerFooter>
  <rowBreaks count="2" manualBreakCount="2">
    <brk id="85" max="10" man="1"/>
    <brk id="111"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156"/>
  <sheetViews>
    <sheetView showGridLines="0" zoomScale="85" zoomScaleNormal="85" zoomScaleSheetLayoutView="70" workbookViewId="0">
      <selection activeCell="J18" sqref="J18"/>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234</v>
      </c>
      <c r="D5" s="962"/>
      <c r="E5" s="962"/>
      <c r="F5" s="962"/>
      <c r="G5" s="963"/>
    </row>
    <row r="6" spans="1:11" ht="18" customHeight="1" x14ac:dyDescent="0.4">
      <c r="B6" s="183" t="s">
        <v>3</v>
      </c>
      <c r="C6" s="964">
        <v>210016</v>
      </c>
      <c r="D6" s="965"/>
      <c r="E6" s="965"/>
      <c r="F6" s="965"/>
      <c r="G6" s="966"/>
    </row>
    <row r="7" spans="1:11" ht="18" customHeight="1" x14ac:dyDescent="0.4">
      <c r="B7" s="183" t="s">
        <v>4</v>
      </c>
      <c r="C7" s="1014">
        <v>1600</v>
      </c>
      <c r="D7" s="1015"/>
      <c r="E7" s="1015"/>
      <c r="F7" s="1015"/>
      <c r="G7" s="1016"/>
    </row>
    <row r="9" spans="1:11" ht="18" customHeight="1" x14ac:dyDescent="0.4">
      <c r="B9" s="183" t="s">
        <v>1</v>
      </c>
      <c r="C9" s="961" t="s">
        <v>555</v>
      </c>
      <c r="D9" s="962"/>
      <c r="E9" s="962"/>
      <c r="F9" s="962"/>
      <c r="G9" s="963"/>
    </row>
    <row r="10" spans="1:11" ht="18" customHeight="1" x14ac:dyDescent="0.4">
      <c r="B10" s="183" t="s">
        <v>2</v>
      </c>
      <c r="C10" s="970" t="s">
        <v>556</v>
      </c>
      <c r="D10" s="971"/>
      <c r="E10" s="971"/>
      <c r="F10" s="971"/>
      <c r="G10" s="972"/>
    </row>
    <row r="11" spans="1:11" ht="18" customHeight="1" x14ac:dyDescent="0.4">
      <c r="B11" s="183" t="s">
        <v>32</v>
      </c>
      <c r="C11" s="961" t="s">
        <v>557</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5487319.0202850522</v>
      </c>
      <c r="I18" s="144">
        <v>0</v>
      </c>
      <c r="J18" s="556">
        <v>4561757.3314607041</v>
      </c>
      <c r="K18" s="557">
        <f>(H18+I18)-J18</f>
        <v>925561.68882434815</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4342.458345989432</v>
      </c>
      <c r="G21" s="555">
        <v>1281.6224232099942</v>
      </c>
      <c r="H21" s="555">
        <v>215929.97949658326</v>
      </c>
      <c r="I21" s="144">
        <f t="shared" ref="I21:I34" si="0">H21*F$114</f>
        <v>134855.43100080156</v>
      </c>
      <c r="J21" s="555">
        <v>9769.6110334389978</v>
      </c>
      <c r="K21" s="557">
        <f t="shared" ref="K21:K34" si="1">(H21+I21)-J21</f>
        <v>341015.79946394585</v>
      </c>
    </row>
    <row r="22" spans="1:11" ht="18" customHeight="1" x14ac:dyDescent="0.4">
      <c r="A22" s="183" t="s">
        <v>76</v>
      </c>
      <c r="B22" s="189" t="s">
        <v>6</v>
      </c>
      <c r="F22" s="555">
        <v>1019.193816706698</v>
      </c>
      <c r="G22" s="555">
        <v>0</v>
      </c>
      <c r="H22" s="556">
        <v>83331.897281446523</v>
      </c>
      <c r="I22" s="144">
        <f t="shared" si="0"/>
        <v>52043.532584977693</v>
      </c>
      <c r="J22" s="556">
        <v>20250.580992759165</v>
      </c>
      <c r="K22" s="557">
        <f t="shared" si="1"/>
        <v>115124.84887366505</v>
      </c>
    </row>
    <row r="23" spans="1:11" ht="18" customHeight="1" x14ac:dyDescent="0.4">
      <c r="A23" s="183" t="s">
        <v>77</v>
      </c>
      <c r="B23" s="189" t="s">
        <v>43</v>
      </c>
      <c r="F23" s="555">
        <v>355.27061792433989</v>
      </c>
      <c r="G23" s="555">
        <v>0</v>
      </c>
      <c r="H23" s="556">
        <v>9443.5241725059968</v>
      </c>
      <c r="I23" s="144">
        <f t="shared" si="0"/>
        <v>5897.7939303233043</v>
      </c>
      <c r="J23" s="556">
        <v>839.47874301420904</v>
      </c>
      <c r="K23" s="557">
        <f t="shared" si="1"/>
        <v>14501.839359815091</v>
      </c>
    </row>
    <row r="24" spans="1:11" ht="18" customHeight="1" x14ac:dyDescent="0.4">
      <c r="A24" s="183" t="s">
        <v>78</v>
      </c>
      <c r="B24" s="189" t="s">
        <v>44</v>
      </c>
      <c r="F24" s="555">
        <v>1926.5778303629572</v>
      </c>
      <c r="G24" s="555">
        <v>1857.5284811395263</v>
      </c>
      <c r="H24" s="556">
        <v>6075</v>
      </c>
      <c r="I24" s="144">
        <f t="shared" si="0"/>
        <v>3794.0389066856405</v>
      </c>
      <c r="J24" s="556">
        <v>0</v>
      </c>
      <c r="K24" s="557">
        <f t="shared" si="1"/>
        <v>9869.0389066856405</v>
      </c>
    </row>
    <row r="25" spans="1:11" ht="18" customHeight="1" x14ac:dyDescent="0.4">
      <c r="A25" s="183" t="s">
        <v>79</v>
      </c>
      <c r="B25" s="189" t="s">
        <v>5</v>
      </c>
      <c r="F25" s="555">
        <v>1249.6973385147569</v>
      </c>
      <c r="G25" s="555">
        <v>0</v>
      </c>
      <c r="H25" s="556">
        <v>39442.445880796688</v>
      </c>
      <c r="I25" s="144">
        <f t="shared" si="0"/>
        <v>24633.115102318588</v>
      </c>
      <c r="J25" s="556">
        <v>2983.8268735037691</v>
      </c>
      <c r="K25" s="557">
        <f t="shared" si="1"/>
        <v>61091.734109611505</v>
      </c>
    </row>
    <row r="26" spans="1:11" ht="18" customHeight="1" x14ac:dyDescent="0.4">
      <c r="A26" s="183" t="s">
        <v>80</v>
      </c>
      <c r="B26" s="189" t="s">
        <v>45</v>
      </c>
      <c r="F26" s="555">
        <v>0</v>
      </c>
      <c r="G26" s="555">
        <v>0</v>
      </c>
      <c r="H26" s="556">
        <v>0</v>
      </c>
      <c r="I26" s="144">
        <f t="shared" si="0"/>
        <v>0</v>
      </c>
      <c r="J26" s="556">
        <v>0</v>
      </c>
      <c r="K26" s="557">
        <f t="shared" si="1"/>
        <v>0</v>
      </c>
    </row>
    <row r="27" spans="1:11" ht="18" customHeight="1" x14ac:dyDescent="0.4">
      <c r="A27" s="183" t="s">
        <v>81</v>
      </c>
      <c r="B27" s="189" t="s">
        <v>498</v>
      </c>
      <c r="F27" s="555">
        <v>0</v>
      </c>
      <c r="G27" s="555">
        <v>0</v>
      </c>
      <c r="H27" s="556">
        <v>0</v>
      </c>
      <c r="I27" s="144">
        <f t="shared" si="0"/>
        <v>0</v>
      </c>
      <c r="J27" s="556">
        <v>0</v>
      </c>
      <c r="K27" s="557">
        <f t="shared" si="1"/>
        <v>0</v>
      </c>
    </row>
    <row r="28" spans="1:11" ht="18" customHeight="1" x14ac:dyDescent="0.4">
      <c r="A28" s="183" t="s">
        <v>82</v>
      </c>
      <c r="B28" s="189" t="s">
        <v>47</v>
      </c>
      <c r="F28" s="555">
        <v>0</v>
      </c>
      <c r="G28" s="555">
        <v>0</v>
      </c>
      <c r="H28" s="556">
        <v>0</v>
      </c>
      <c r="I28" s="144">
        <f t="shared" si="0"/>
        <v>0</v>
      </c>
      <c r="J28" s="556">
        <v>0</v>
      </c>
      <c r="K28" s="557">
        <f t="shared" si="1"/>
        <v>0</v>
      </c>
    </row>
    <row r="29" spans="1:11" ht="18" customHeight="1" x14ac:dyDescent="0.4">
      <c r="A29" s="183" t="s">
        <v>83</v>
      </c>
      <c r="B29" s="189" t="s">
        <v>48</v>
      </c>
      <c r="F29" s="555">
        <v>11176.434278589559</v>
      </c>
      <c r="G29" s="555">
        <v>14634.491410540892</v>
      </c>
      <c r="H29" s="556">
        <v>2713070.5937566515</v>
      </c>
      <c r="I29" s="144">
        <v>1661896.419459522</v>
      </c>
      <c r="J29" s="556">
        <v>4311.2972273950545</v>
      </c>
      <c r="K29" s="557">
        <f t="shared" si="1"/>
        <v>4370655.7159887785</v>
      </c>
    </row>
    <row r="30" spans="1:11" ht="18" customHeight="1" x14ac:dyDescent="0.4">
      <c r="A30" s="183" t="s">
        <v>84</v>
      </c>
      <c r="B30" s="988" t="s">
        <v>193</v>
      </c>
      <c r="C30" s="989"/>
      <c r="D30" s="990"/>
      <c r="F30" s="555">
        <v>110.34635360747757</v>
      </c>
      <c r="G30" s="555">
        <v>130</v>
      </c>
      <c r="H30" s="556">
        <v>2138.9572131171039</v>
      </c>
      <c r="I30" s="144">
        <f t="shared" si="0"/>
        <v>1335.8496932184662</v>
      </c>
      <c r="J30" s="556">
        <v>111.78253381988178</v>
      </c>
      <c r="K30" s="557">
        <f t="shared" si="1"/>
        <v>3363.0243725156884</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20179.978581695221</v>
      </c>
      <c r="G36" s="560">
        <f t="shared" si="2"/>
        <v>17903.642314890414</v>
      </c>
      <c r="H36" s="560">
        <f t="shared" si="2"/>
        <v>3069432.3978011012</v>
      </c>
      <c r="I36" s="557">
        <f t="shared" si="2"/>
        <v>1884456.1806778472</v>
      </c>
      <c r="J36" s="557">
        <f t="shared" si="2"/>
        <v>38266.577403931085</v>
      </c>
      <c r="K36" s="557">
        <f t="shared" si="2"/>
        <v>4915622.0010750173</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13208</v>
      </c>
      <c r="G40" s="555">
        <v>4512</v>
      </c>
      <c r="H40" s="555">
        <v>554736</v>
      </c>
      <c r="I40" s="146">
        <v>0</v>
      </c>
      <c r="J40" s="555">
        <v>92400</v>
      </c>
      <c r="K40" s="557">
        <f t="shared" ref="K40:K47" si="3">(H40+I40)-J40</f>
        <v>462336</v>
      </c>
    </row>
    <row r="41" spans="1:11" ht="18" customHeight="1" x14ac:dyDescent="0.4">
      <c r="A41" s="183" t="s">
        <v>88</v>
      </c>
      <c r="B41" s="956" t="s">
        <v>50</v>
      </c>
      <c r="C41" s="957"/>
      <c r="F41" s="555">
        <v>5549</v>
      </c>
      <c r="G41" s="555">
        <v>3070.9999999665552</v>
      </c>
      <c r="H41" s="555">
        <v>215305.2</v>
      </c>
      <c r="I41" s="146">
        <v>0</v>
      </c>
      <c r="J41" s="555">
        <v>0</v>
      </c>
      <c r="K41" s="557">
        <f t="shared" si="3"/>
        <v>215305.2</v>
      </c>
    </row>
    <row r="42" spans="1:11" ht="18" customHeight="1" x14ac:dyDescent="0.4">
      <c r="A42" s="183" t="s">
        <v>89</v>
      </c>
      <c r="B42" s="116" t="s">
        <v>11</v>
      </c>
      <c r="F42" s="555">
        <v>20288.419341468034</v>
      </c>
      <c r="G42" s="555">
        <v>2688.7058228712008</v>
      </c>
      <c r="H42" s="555">
        <v>871505.41305303166</v>
      </c>
      <c r="I42" s="146">
        <v>0</v>
      </c>
      <c r="J42" s="555">
        <v>6643.261783020238</v>
      </c>
      <c r="K42" s="557">
        <f t="shared" si="3"/>
        <v>864862.15127001144</v>
      </c>
    </row>
    <row r="43" spans="1:11" ht="18" customHeight="1" x14ac:dyDescent="0.4">
      <c r="A43" s="183" t="s">
        <v>90</v>
      </c>
      <c r="B43" s="141" t="s">
        <v>10</v>
      </c>
      <c r="C43" s="123"/>
      <c r="D43" s="123"/>
      <c r="F43" s="555">
        <v>0</v>
      </c>
      <c r="G43" s="555">
        <v>0</v>
      </c>
      <c r="H43" s="555">
        <v>0</v>
      </c>
      <c r="I43" s="146">
        <v>0</v>
      </c>
      <c r="J43" s="555">
        <v>0</v>
      </c>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39045.419341468034</v>
      </c>
      <c r="G49" s="563">
        <f t="shared" si="4"/>
        <v>10271.705822837755</v>
      </c>
      <c r="H49" s="557">
        <f t="shared" si="4"/>
        <v>1641546.6130530317</v>
      </c>
      <c r="I49" s="557">
        <f t="shared" si="4"/>
        <v>0</v>
      </c>
      <c r="J49" s="557">
        <f t="shared" si="4"/>
        <v>99043.261783020236</v>
      </c>
      <c r="K49" s="557">
        <f t="shared" si="4"/>
        <v>1542503.3512700114</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187</v>
      </c>
      <c r="C53" s="979"/>
      <c r="D53" s="975"/>
      <c r="F53" s="555">
        <v>0</v>
      </c>
      <c r="G53" s="555">
        <v>0</v>
      </c>
      <c r="H53" s="555">
        <v>0</v>
      </c>
      <c r="I53" s="144">
        <v>0</v>
      </c>
      <c r="J53" s="555">
        <v>0</v>
      </c>
      <c r="K53" s="557">
        <f t="shared" ref="K53:K62" si="5">(H53+I53)-J53</f>
        <v>0</v>
      </c>
    </row>
    <row r="54" spans="1:11" ht="18" customHeight="1" x14ac:dyDescent="0.4">
      <c r="A54" s="183" t="s">
        <v>93</v>
      </c>
      <c r="B54" s="503" t="s">
        <v>188</v>
      </c>
      <c r="C54" s="504"/>
      <c r="D54" s="505"/>
      <c r="F54" s="555">
        <v>35360</v>
      </c>
      <c r="G54" s="555">
        <v>0</v>
      </c>
      <c r="H54" s="555">
        <v>8467225.2433333322</v>
      </c>
      <c r="I54" s="144">
        <v>0</v>
      </c>
      <c r="J54" s="555">
        <v>0</v>
      </c>
      <c r="K54" s="557">
        <f t="shared" si="5"/>
        <v>8467225.2433333322</v>
      </c>
    </row>
    <row r="55" spans="1:11" ht="18" customHeight="1" x14ac:dyDescent="0.4">
      <c r="A55" s="183" t="s">
        <v>94</v>
      </c>
      <c r="B55" s="980" t="s">
        <v>746</v>
      </c>
      <c r="C55" s="974"/>
      <c r="D55" s="975"/>
      <c r="F55" s="555">
        <v>64480</v>
      </c>
      <c r="G55" s="555">
        <v>0</v>
      </c>
      <c r="H55" s="555">
        <v>2144366.4800000004</v>
      </c>
      <c r="I55" s="144">
        <v>0</v>
      </c>
      <c r="J55" s="555">
        <v>0</v>
      </c>
      <c r="K55" s="557">
        <f t="shared" si="5"/>
        <v>2144366.4800000004</v>
      </c>
    </row>
    <row r="56" spans="1:11" ht="18" customHeight="1" x14ac:dyDescent="0.4">
      <c r="A56" s="183" t="s">
        <v>95</v>
      </c>
      <c r="B56" s="980" t="s">
        <v>190</v>
      </c>
      <c r="C56" s="974"/>
      <c r="D56" s="975"/>
      <c r="F56" s="555">
        <v>0</v>
      </c>
      <c r="G56" s="555">
        <v>0</v>
      </c>
      <c r="H56" s="555">
        <v>0</v>
      </c>
      <c r="I56" s="144">
        <v>0</v>
      </c>
      <c r="J56" s="555">
        <v>0</v>
      </c>
      <c r="K56" s="557">
        <f t="shared" si="5"/>
        <v>0</v>
      </c>
    </row>
    <row r="57" spans="1:11" ht="18" customHeight="1" x14ac:dyDescent="0.4">
      <c r="A57" s="183" t="s">
        <v>96</v>
      </c>
      <c r="B57" s="980" t="s">
        <v>191</v>
      </c>
      <c r="C57" s="974"/>
      <c r="D57" s="975"/>
      <c r="F57" s="555">
        <v>0</v>
      </c>
      <c r="G57" s="555">
        <v>33206.396210532796</v>
      </c>
      <c r="H57" s="555">
        <v>9765811.8585695587</v>
      </c>
      <c r="I57" s="144">
        <v>0</v>
      </c>
      <c r="J57" s="555">
        <v>0</v>
      </c>
      <c r="K57" s="557">
        <f t="shared" si="5"/>
        <v>9765811.8585695587</v>
      </c>
    </row>
    <row r="58" spans="1:11" ht="18" customHeight="1" x14ac:dyDescent="0.4">
      <c r="A58" s="183" t="s">
        <v>97</v>
      </c>
      <c r="B58" s="503"/>
      <c r="C58" s="504"/>
      <c r="D58" s="505"/>
      <c r="F58" s="555"/>
      <c r="G58" s="555"/>
      <c r="H58" s="556"/>
      <c r="I58" s="144">
        <v>0</v>
      </c>
      <c r="J58" s="556"/>
      <c r="K58" s="557">
        <f t="shared" si="5"/>
        <v>0</v>
      </c>
    </row>
    <row r="59" spans="1:11" ht="18" customHeight="1" x14ac:dyDescent="0.4">
      <c r="A59" s="183" t="s">
        <v>98</v>
      </c>
      <c r="B59" s="980"/>
      <c r="C59" s="974"/>
      <c r="D59" s="975"/>
      <c r="F59" s="555"/>
      <c r="G59" s="555"/>
      <c r="H59" s="556"/>
      <c r="I59" s="144">
        <v>0</v>
      </c>
      <c r="J59" s="556"/>
      <c r="K59" s="557">
        <f t="shared" si="5"/>
        <v>0</v>
      </c>
    </row>
    <row r="60" spans="1:11" ht="18" customHeight="1" x14ac:dyDescent="0.4">
      <c r="A60" s="183" t="s">
        <v>99</v>
      </c>
      <c r="B60" s="503"/>
      <c r="C60" s="504"/>
      <c r="D60" s="505"/>
      <c r="F60" s="555"/>
      <c r="G60" s="555"/>
      <c r="H60" s="556"/>
      <c r="I60" s="144">
        <v>0</v>
      </c>
      <c r="J60" s="556"/>
      <c r="K60" s="557">
        <f t="shared" si="5"/>
        <v>0</v>
      </c>
    </row>
    <row r="61" spans="1:11" ht="18" customHeight="1" x14ac:dyDescent="0.4">
      <c r="A61" s="183" t="s">
        <v>100</v>
      </c>
      <c r="B61" s="503"/>
      <c r="C61" s="504"/>
      <c r="D61" s="505"/>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99840</v>
      </c>
      <c r="G64" s="560">
        <f t="shared" si="6"/>
        <v>33206.396210532796</v>
      </c>
      <c r="H64" s="557">
        <f t="shared" si="6"/>
        <v>20377403.581902891</v>
      </c>
      <c r="I64" s="557">
        <f t="shared" si="6"/>
        <v>0</v>
      </c>
      <c r="J64" s="557">
        <f t="shared" si="6"/>
        <v>0</v>
      </c>
      <c r="K64" s="557">
        <f t="shared" si="6"/>
        <v>20377403.581902891</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v>14501.363571428574</v>
      </c>
      <c r="G68" s="564">
        <v>0</v>
      </c>
      <c r="H68" s="564">
        <v>937415.60000000009</v>
      </c>
      <c r="I68" s="144">
        <v>0</v>
      </c>
      <c r="J68" s="564">
        <v>230839.45</v>
      </c>
      <c r="K68" s="557">
        <f>(H68+I68)-J68</f>
        <v>706576.15000000014</v>
      </c>
    </row>
    <row r="69" spans="1:11" ht="18" customHeight="1" x14ac:dyDescent="0.4">
      <c r="A69" s="183" t="s">
        <v>104</v>
      </c>
      <c r="B69" s="116" t="s">
        <v>53</v>
      </c>
      <c r="F69" s="564">
        <v>0</v>
      </c>
      <c r="G69" s="564">
        <v>0</v>
      </c>
      <c r="H69" s="564">
        <v>31131.914999999994</v>
      </c>
      <c r="I69" s="144">
        <v>0</v>
      </c>
      <c r="J69" s="564">
        <v>0</v>
      </c>
      <c r="K69" s="557">
        <f>(H69+I69)-J69</f>
        <v>31131.914999999994</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14501.363571428574</v>
      </c>
      <c r="G74" s="566">
        <f t="shared" si="7"/>
        <v>0</v>
      </c>
      <c r="H74" s="566">
        <f t="shared" si="7"/>
        <v>968547.51500000013</v>
      </c>
      <c r="I74" s="145">
        <f t="shared" si="7"/>
        <v>0</v>
      </c>
      <c r="J74" s="566">
        <f t="shared" si="7"/>
        <v>230839.45</v>
      </c>
      <c r="K74" s="567">
        <f t="shared" si="7"/>
        <v>737708.06500000018</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v>82.740189893354142</v>
      </c>
      <c r="G77" s="555">
        <v>0</v>
      </c>
      <c r="H77" s="555">
        <v>758010.55629323411</v>
      </c>
      <c r="I77" s="144">
        <v>0</v>
      </c>
      <c r="J77" s="555">
        <v>0</v>
      </c>
      <c r="K77" s="557">
        <f>(H77+I77)-J77</f>
        <v>758010.55629323411</v>
      </c>
    </row>
    <row r="78" spans="1:11" ht="18" customHeight="1" x14ac:dyDescent="0.4">
      <c r="A78" s="183" t="s">
        <v>108</v>
      </c>
      <c r="B78" s="116" t="s">
        <v>55</v>
      </c>
      <c r="F78" s="555">
        <v>3</v>
      </c>
      <c r="G78" s="555">
        <v>0</v>
      </c>
      <c r="H78" s="555">
        <v>0</v>
      </c>
      <c r="I78" s="144">
        <v>0</v>
      </c>
      <c r="J78" s="555">
        <v>0</v>
      </c>
      <c r="K78" s="557">
        <f>(H78+I78)-J78</f>
        <v>0</v>
      </c>
    </row>
    <row r="79" spans="1:11" ht="18" customHeight="1" x14ac:dyDescent="0.4">
      <c r="A79" s="183" t="s">
        <v>109</v>
      </c>
      <c r="B79" s="116" t="s">
        <v>13</v>
      </c>
      <c r="F79" s="555">
        <v>28.61094032877687</v>
      </c>
      <c r="G79" s="555">
        <v>28.327305609238813</v>
      </c>
      <c r="H79" s="555">
        <v>30692.5</v>
      </c>
      <c r="I79" s="144">
        <v>0</v>
      </c>
      <c r="J79" s="555">
        <v>0</v>
      </c>
      <c r="K79" s="557">
        <f>(H79+I79)-J79</f>
        <v>30692.5</v>
      </c>
    </row>
    <row r="80" spans="1:11" ht="18" customHeight="1" x14ac:dyDescent="0.4">
      <c r="A80" s="183" t="s">
        <v>110</v>
      </c>
      <c r="B80" s="116" t="s">
        <v>56</v>
      </c>
      <c r="F80" s="555">
        <v>0</v>
      </c>
      <c r="G80" s="555">
        <v>0</v>
      </c>
      <c r="H80" s="555">
        <v>0</v>
      </c>
      <c r="I80" s="144">
        <v>0</v>
      </c>
      <c r="J80" s="555">
        <v>0</v>
      </c>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114.35113022213102</v>
      </c>
      <c r="G82" s="566">
        <f t="shared" si="8"/>
        <v>28.327305609238813</v>
      </c>
      <c r="H82" s="567">
        <f t="shared" si="8"/>
        <v>788703.05629323411</v>
      </c>
      <c r="I82" s="567">
        <f t="shared" si="8"/>
        <v>0</v>
      </c>
      <c r="J82" s="567">
        <f t="shared" si="8"/>
        <v>0</v>
      </c>
      <c r="K82" s="567">
        <f t="shared" si="8"/>
        <v>788703.05629323411</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0</v>
      </c>
      <c r="G86" s="555">
        <v>0</v>
      </c>
      <c r="H86" s="555">
        <v>0</v>
      </c>
      <c r="I86" s="144">
        <f t="shared" ref="I86:I96" si="9">H86*F$114</f>
        <v>0</v>
      </c>
      <c r="J86" s="555">
        <v>0</v>
      </c>
      <c r="K86" s="557">
        <f t="shared" ref="K86:K96" si="10">(H86+I86)-J86</f>
        <v>0</v>
      </c>
    </row>
    <row r="87" spans="1:11" ht="18" customHeight="1" x14ac:dyDescent="0.4">
      <c r="A87" s="183" t="s">
        <v>114</v>
      </c>
      <c r="B87" s="116" t="s">
        <v>14</v>
      </c>
      <c r="F87" s="555">
        <v>49</v>
      </c>
      <c r="G87" s="555">
        <v>0</v>
      </c>
      <c r="H87" s="555">
        <v>7350</v>
      </c>
      <c r="I87" s="144">
        <f t="shared" si="9"/>
        <v>4590.3186772246027</v>
      </c>
      <c r="J87" s="555">
        <v>0</v>
      </c>
      <c r="K87" s="557">
        <f t="shared" si="10"/>
        <v>11940.318677224603</v>
      </c>
    </row>
    <row r="88" spans="1:11" ht="18" customHeight="1" x14ac:dyDescent="0.4">
      <c r="A88" s="183" t="s">
        <v>115</v>
      </c>
      <c r="B88" s="116" t="s">
        <v>116</v>
      </c>
      <c r="F88" s="555">
        <v>468.47913653281887</v>
      </c>
      <c r="G88" s="555">
        <v>0</v>
      </c>
      <c r="H88" s="555">
        <v>23110.799999999999</v>
      </c>
      <c r="I88" s="144">
        <f t="shared" si="9"/>
        <v>14433.460800762223</v>
      </c>
      <c r="J88" s="555">
        <v>0</v>
      </c>
      <c r="K88" s="557">
        <f t="shared" si="10"/>
        <v>37544.260800762218</v>
      </c>
    </row>
    <row r="89" spans="1:11" ht="18" customHeight="1" x14ac:dyDescent="0.4">
      <c r="A89" s="183" t="s">
        <v>117</v>
      </c>
      <c r="B89" s="116" t="s">
        <v>58</v>
      </c>
      <c r="F89" s="555">
        <v>0</v>
      </c>
      <c r="G89" s="555">
        <v>0</v>
      </c>
      <c r="H89" s="555">
        <v>0</v>
      </c>
      <c r="I89" s="144">
        <f t="shared" si="9"/>
        <v>0</v>
      </c>
      <c r="J89" s="555">
        <v>0</v>
      </c>
      <c r="K89" s="557">
        <f t="shared" si="10"/>
        <v>0</v>
      </c>
    </row>
    <row r="90" spans="1:11" ht="18" customHeight="1" x14ac:dyDescent="0.4">
      <c r="A90" s="183" t="s">
        <v>118</v>
      </c>
      <c r="B90" s="956" t="s">
        <v>59</v>
      </c>
      <c r="C90" s="957"/>
      <c r="F90" s="555">
        <v>51.041026232913268</v>
      </c>
      <c r="G90" s="555">
        <v>43.698282108178375</v>
      </c>
      <c r="H90" s="555">
        <v>0</v>
      </c>
      <c r="I90" s="144">
        <f t="shared" si="9"/>
        <v>0</v>
      </c>
      <c r="J90" s="555">
        <v>0</v>
      </c>
      <c r="K90" s="557">
        <f t="shared" si="10"/>
        <v>0</v>
      </c>
    </row>
    <row r="91" spans="1:11" ht="18" customHeight="1" x14ac:dyDescent="0.4">
      <c r="A91" s="183" t="s">
        <v>119</v>
      </c>
      <c r="B91" s="116" t="s">
        <v>60</v>
      </c>
      <c r="F91" s="555">
        <v>1037.7253859319194</v>
      </c>
      <c r="G91" s="555">
        <v>0</v>
      </c>
      <c r="H91" s="555">
        <v>67731.469481876265</v>
      </c>
      <c r="I91" s="144">
        <f t="shared" si="9"/>
        <v>42300.548217486365</v>
      </c>
      <c r="J91" s="555">
        <v>539.70243864722136</v>
      </c>
      <c r="K91" s="557">
        <f t="shared" si="10"/>
        <v>109492.3152607154</v>
      </c>
    </row>
    <row r="92" spans="1:11" ht="18" customHeight="1" x14ac:dyDescent="0.4">
      <c r="A92" s="183" t="s">
        <v>120</v>
      </c>
      <c r="B92" s="116" t="s">
        <v>121</v>
      </c>
      <c r="F92" s="134">
        <v>247.38210157026791</v>
      </c>
      <c r="G92" s="134">
        <v>30</v>
      </c>
      <c r="H92" s="134">
        <v>438503.27799287695</v>
      </c>
      <c r="I92" s="144">
        <f t="shared" si="9"/>
        <v>273859.83496529458</v>
      </c>
      <c r="J92" s="134">
        <v>0</v>
      </c>
      <c r="K92" s="557">
        <f t="shared" si="10"/>
        <v>712363.11295817152</v>
      </c>
    </row>
    <row r="93" spans="1:11" ht="18" customHeight="1" x14ac:dyDescent="0.4">
      <c r="A93" s="183" t="s">
        <v>122</v>
      </c>
      <c r="B93" s="116" t="s">
        <v>123</v>
      </c>
      <c r="F93" s="555">
        <v>644.43273056092391</v>
      </c>
      <c r="G93" s="555">
        <v>1768.25</v>
      </c>
      <c r="H93" s="555">
        <v>27006</v>
      </c>
      <c r="I93" s="144">
        <f t="shared" si="9"/>
        <v>16866.142339745253</v>
      </c>
      <c r="J93" s="555">
        <v>0</v>
      </c>
      <c r="K93" s="557">
        <f t="shared" si="10"/>
        <v>43872.142339745253</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2498.0603808288433</v>
      </c>
      <c r="G98" s="560">
        <f t="shared" si="11"/>
        <v>1841.9482821081783</v>
      </c>
      <c r="H98" s="560">
        <f t="shared" si="11"/>
        <v>563701.54747475323</v>
      </c>
      <c r="I98" s="560">
        <f t="shared" si="11"/>
        <v>352050.30500051304</v>
      </c>
      <c r="J98" s="560">
        <f t="shared" si="11"/>
        <v>539.70243864722136</v>
      </c>
      <c r="K98" s="560">
        <f t="shared" si="11"/>
        <v>915212.15003661904</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1724.1059002335614</v>
      </c>
      <c r="G102" s="555">
        <v>0</v>
      </c>
      <c r="H102" s="555">
        <v>151149.90171514091</v>
      </c>
      <c r="I102" s="144">
        <f>H102*F$114</f>
        <v>94398.124748799222</v>
      </c>
      <c r="J102" s="555">
        <v>1153.0006643827003</v>
      </c>
      <c r="K102" s="557">
        <f>(H102+I102)-J102</f>
        <v>244395.02579955742</v>
      </c>
    </row>
    <row r="103" spans="1:11" ht="18" customHeight="1" x14ac:dyDescent="0.4">
      <c r="A103" s="183" t="s">
        <v>132</v>
      </c>
      <c r="B103" s="956" t="s">
        <v>62</v>
      </c>
      <c r="C103" s="956"/>
      <c r="F103" s="555">
        <v>0</v>
      </c>
      <c r="G103" s="555">
        <v>0</v>
      </c>
      <c r="H103" s="555">
        <v>0</v>
      </c>
      <c r="I103" s="144">
        <f>H103*F$114</f>
        <v>0</v>
      </c>
      <c r="J103" s="555">
        <v>0</v>
      </c>
      <c r="K103" s="557">
        <f>(H103+I103)-J103</f>
        <v>0</v>
      </c>
    </row>
    <row r="104" spans="1:11" ht="18" customHeight="1" x14ac:dyDescent="0.4">
      <c r="A104" s="183" t="s">
        <v>128</v>
      </c>
      <c r="B104" s="980" t="s">
        <v>488</v>
      </c>
      <c r="C104" s="974"/>
      <c r="D104" s="975"/>
      <c r="F104" s="555">
        <v>1738.9452801193383</v>
      </c>
      <c r="G104" s="555">
        <v>0</v>
      </c>
      <c r="H104" s="555">
        <v>89654.712344387313</v>
      </c>
      <c r="I104" s="144">
        <f>H104*F$114</f>
        <v>55992.340214372816</v>
      </c>
      <c r="J104" s="555">
        <v>490.63858058838315</v>
      </c>
      <c r="K104" s="557">
        <f>(H104+I104)-J104</f>
        <v>145156.41397817174</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3463.0511803528998</v>
      </c>
      <c r="G108" s="560">
        <f t="shared" si="12"/>
        <v>0</v>
      </c>
      <c r="H108" s="557">
        <f t="shared" si="12"/>
        <v>240804.61405952822</v>
      </c>
      <c r="I108" s="557">
        <f t="shared" si="12"/>
        <v>150390.46496317204</v>
      </c>
      <c r="J108" s="557">
        <f t="shared" si="12"/>
        <v>1643.6392449710834</v>
      </c>
      <c r="K108" s="557">
        <f t="shared" si="12"/>
        <v>389551.43977772916</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6114949.0499999989</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0.62453315336389148</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253697594.86999997</v>
      </c>
    </row>
    <row r="118" spans="1:6" ht="18" customHeight="1" x14ac:dyDescent="0.4">
      <c r="A118" s="183" t="s">
        <v>173</v>
      </c>
      <c r="B118" s="189" t="s">
        <v>18</v>
      </c>
      <c r="F118" s="556">
        <v>4695223.0200000005</v>
      </c>
    </row>
    <row r="119" spans="1:6" ht="18" customHeight="1" x14ac:dyDescent="0.4">
      <c r="A119" s="183" t="s">
        <v>174</v>
      </c>
      <c r="B119" s="117" t="s">
        <v>19</v>
      </c>
      <c r="F119" s="567">
        <f>SUM(F117:F118)</f>
        <v>258392817.88999999</v>
      </c>
    </row>
    <row r="120" spans="1:6" ht="18" customHeight="1" x14ac:dyDescent="0.4">
      <c r="A120" s="183"/>
      <c r="B120" s="117"/>
    </row>
    <row r="121" spans="1:6" ht="18" customHeight="1" x14ac:dyDescent="0.4">
      <c r="A121" s="183" t="s">
        <v>167</v>
      </c>
      <c r="B121" s="117" t="s">
        <v>36</v>
      </c>
      <c r="F121" s="556">
        <v>252683555.63</v>
      </c>
    </row>
    <row r="122" spans="1:6" ht="18" customHeight="1" x14ac:dyDescent="0.4">
      <c r="A122" s="183"/>
    </row>
    <row r="123" spans="1:6" ht="18" customHeight="1" x14ac:dyDescent="0.4">
      <c r="A123" s="183" t="s">
        <v>175</v>
      </c>
      <c r="B123" s="117" t="s">
        <v>20</v>
      </c>
      <c r="F123" s="556">
        <v>5709262.2599999905</v>
      </c>
    </row>
    <row r="124" spans="1:6" ht="18" customHeight="1" x14ac:dyDescent="0.4">
      <c r="A124" s="183"/>
    </row>
    <row r="125" spans="1:6" ht="18" customHeight="1" x14ac:dyDescent="0.4">
      <c r="A125" s="183" t="s">
        <v>176</v>
      </c>
      <c r="B125" s="117" t="s">
        <v>21</v>
      </c>
      <c r="F125" s="556">
        <v>-145879.92000000001</v>
      </c>
    </row>
    <row r="126" spans="1:6" ht="18" customHeight="1" x14ac:dyDescent="0.4">
      <c r="A126" s="183"/>
    </row>
    <row r="127" spans="1:6" ht="18" customHeight="1" x14ac:dyDescent="0.4">
      <c r="A127" s="183" t="s">
        <v>177</v>
      </c>
      <c r="B127" s="117" t="s">
        <v>22</v>
      </c>
      <c r="F127" s="556">
        <v>5563382.3399999905</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20179.978581695221</v>
      </c>
      <c r="G141" s="136">
        <f t="shared" si="14"/>
        <v>17903.642314890414</v>
      </c>
      <c r="H141" s="136">
        <f t="shared" si="14"/>
        <v>3069432.3978011012</v>
      </c>
      <c r="I141" s="136">
        <f t="shared" si="14"/>
        <v>1884456.1806778472</v>
      </c>
      <c r="J141" s="136">
        <f t="shared" si="14"/>
        <v>38266.577403931085</v>
      </c>
      <c r="K141" s="136">
        <f t="shared" si="14"/>
        <v>4915622.0010750173</v>
      </c>
    </row>
    <row r="142" spans="1:11" ht="18" customHeight="1" x14ac:dyDescent="0.4">
      <c r="A142" s="183" t="s">
        <v>142</v>
      </c>
      <c r="B142" s="117" t="s">
        <v>65</v>
      </c>
      <c r="F142" s="136">
        <f t="shared" ref="F142:K142" si="15">F49</f>
        <v>39045.419341468034</v>
      </c>
      <c r="G142" s="136">
        <f t="shared" si="15"/>
        <v>10271.705822837755</v>
      </c>
      <c r="H142" s="136">
        <f t="shared" si="15"/>
        <v>1641546.6130530317</v>
      </c>
      <c r="I142" s="136">
        <f t="shared" si="15"/>
        <v>0</v>
      </c>
      <c r="J142" s="136">
        <f t="shared" si="15"/>
        <v>99043.261783020236</v>
      </c>
      <c r="K142" s="136">
        <f t="shared" si="15"/>
        <v>1542503.3512700114</v>
      </c>
    </row>
    <row r="143" spans="1:11" ht="18" customHeight="1" x14ac:dyDescent="0.4">
      <c r="A143" s="183" t="s">
        <v>144</v>
      </c>
      <c r="B143" s="117" t="s">
        <v>66</v>
      </c>
      <c r="F143" s="136">
        <f t="shared" ref="F143:K143" si="16">F64</f>
        <v>99840</v>
      </c>
      <c r="G143" s="136">
        <f t="shared" si="16"/>
        <v>33206.396210532796</v>
      </c>
      <c r="H143" s="136">
        <f t="shared" si="16"/>
        <v>20377403.581902891</v>
      </c>
      <c r="I143" s="136">
        <f t="shared" si="16"/>
        <v>0</v>
      </c>
      <c r="J143" s="136">
        <f t="shared" si="16"/>
        <v>0</v>
      </c>
      <c r="K143" s="136">
        <f t="shared" si="16"/>
        <v>20377403.581902891</v>
      </c>
    </row>
    <row r="144" spans="1:11" ht="18" customHeight="1" x14ac:dyDescent="0.4">
      <c r="A144" s="183" t="s">
        <v>146</v>
      </c>
      <c r="B144" s="117" t="s">
        <v>67</v>
      </c>
      <c r="F144" s="136">
        <f t="shared" ref="F144:K144" si="17">F74</f>
        <v>14501.363571428574</v>
      </c>
      <c r="G144" s="136">
        <f t="shared" si="17"/>
        <v>0</v>
      </c>
      <c r="H144" s="136">
        <f t="shared" si="17"/>
        <v>968547.51500000013</v>
      </c>
      <c r="I144" s="136">
        <f t="shared" si="17"/>
        <v>0</v>
      </c>
      <c r="J144" s="136">
        <f t="shared" si="17"/>
        <v>230839.45</v>
      </c>
      <c r="K144" s="136">
        <f t="shared" si="17"/>
        <v>737708.06500000018</v>
      </c>
    </row>
    <row r="145" spans="1:11" ht="18" customHeight="1" x14ac:dyDescent="0.4">
      <c r="A145" s="183" t="s">
        <v>148</v>
      </c>
      <c r="B145" s="117" t="s">
        <v>68</v>
      </c>
      <c r="F145" s="136">
        <f t="shared" ref="F145:K145" si="18">F82</f>
        <v>114.35113022213102</v>
      </c>
      <c r="G145" s="136">
        <f t="shared" si="18"/>
        <v>28.327305609238813</v>
      </c>
      <c r="H145" s="136">
        <f t="shared" si="18"/>
        <v>788703.05629323411</v>
      </c>
      <c r="I145" s="136">
        <f t="shared" si="18"/>
        <v>0</v>
      </c>
      <c r="J145" s="136">
        <f t="shared" si="18"/>
        <v>0</v>
      </c>
      <c r="K145" s="136">
        <f t="shared" si="18"/>
        <v>788703.05629323411</v>
      </c>
    </row>
    <row r="146" spans="1:11" ht="18" customHeight="1" x14ac:dyDescent="0.4">
      <c r="A146" s="183" t="s">
        <v>150</v>
      </c>
      <c r="B146" s="117" t="s">
        <v>69</v>
      </c>
      <c r="F146" s="136">
        <f t="shared" ref="F146:K146" si="19">F98</f>
        <v>2498.0603808288433</v>
      </c>
      <c r="G146" s="136">
        <f t="shared" si="19"/>
        <v>1841.9482821081783</v>
      </c>
      <c r="H146" s="136">
        <f t="shared" si="19"/>
        <v>563701.54747475323</v>
      </c>
      <c r="I146" s="136">
        <f t="shared" si="19"/>
        <v>352050.30500051304</v>
      </c>
      <c r="J146" s="136">
        <f t="shared" si="19"/>
        <v>539.70243864722136</v>
      </c>
      <c r="K146" s="136">
        <f t="shared" si="19"/>
        <v>915212.15003661904</v>
      </c>
    </row>
    <row r="147" spans="1:11" ht="18" customHeight="1" x14ac:dyDescent="0.4">
      <c r="A147" s="183" t="s">
        <v>153</v>
      </c>
      <c r="B147" s="117" t="s">
        <v>61</v>
      </c>
      <c r="F147" s="560">
        <f t="shared" ref="F147:K147" si="20">F108</f>
        <v>3463.0511803528998</v>
      </c>
      <c r="G147" s="560">
        <f t="shared" si="20"/>
        <v>0</v>
      </c>
      <c r="H147" s="560">
        <f t="shared" si="20"/>
        <v>240804.61405952822</v>
      </c>
      <c r="I147" s="560">
        <f t="shared" si="20"/>
        <v>150390.46496317204</v>
      </c>
      <c r="J147" s="560">
        <f t="shared" si="20"/>
        <v>1643.6392449710834</v>
      </c>
      <c r="K147" s="560">
        <f t="shared" si="20"/>
        <v>389551.43977772916</v>
      </c>
    </row>
    <row r="148" spans="1:11" ht="18" customHeight="1" x14ac:dyDescent="0.4">
      <c r="A148" s="183" t="s">
        <v>155</v>
      </c>
      <c r="B148" s="117" t="s">
        <v>70</v>
      </c>
      <c r="F148" s="137" t="s">
        <v>73</v>
      </c>
      <c r="G148" s="137" t="s">
        <v>73</v>
      </c>
      <c r="H148" s="138" t="s">
        <v>73</v>
      </c>
      <c r="I148" s="138" t="s">
        <v>73</v>
      </c>
      <c r="J148" s="138" t="s">
        <v>73</v>
      </c>
      <c r="K148" s="133">
        <f>F111</f>
        <v>6114949.0499999989</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5487319.0202850522</v>
      </c>
      <c r="I150" s="560">
        <f>I18</f>
        <v>0</v>
      </c>
      <c r="J150" s="560">
        <f>J18</f>
        <v>4561757.3314607041</v>
      </c>
      <c r="K150" s="560">
        <f>K18</f>
        <v>925561.68882434815</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179642.22418599573</v>
      </c>
      <c r="G152" s="143">
        <f t="shared" si="22"/>
        <v>63252.01993597838</v>
      </c>
      <c r="H152" s="143">
        <f t="shared" si="22"/>
        <v>33137458.34586959</v>
      </c>
      <c r="I152" s="143">
        <f t="shared" si="22"/>
        <v>2386896.9506415324</v>
      </c>
      <c r="J152" s="143">
        <f t="shared" si="22"/>
        <v>4932089.9623312736</v>
      </c>
      <c r="K152" s="143">
        <f t="shared" si="22"/>
        <v>36707214.384179845</v>
      </c>
    </row>
    <row r="154" spans="1:11" ht="18" customHeight="1" x14ac:dyDescent="0.4">
      <c r="A154" s="120" t="s">
        <v>168</v>
      </c>
      <c r="B154" s="117" t="s">
        <v>28</v>
      </c>
      <c r="F154" s="571">
        <f>K152/F121</f>
        <v>0.14526950237287922</v>
      </c>
    </row>
    <row r="155" spans="1:11" ht="18" customHeight="1" x14ac:dyDescent="0.4">
      <c r="A155" s="120" t="s">
        <v>169</v>
      </c>
      <c r="B155" s="117" t="s">
        <v>72</v>
      </c>
      <c r="F155" s="571">
        <f>K152/F127</f>
        <v>6.5980031823913627</v>
      </c>
      <c r="G155" s="117"/>
    </row>
    <row r="156" spans="1:11" ht="18" customHeight="1" x14ac:dyDescent="0.4">
      <c r="G156" s="117"/>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B41:C41"/>
    <mergeCell ref="B44:D44"/>
    <mergeCell ref="B13:H13"/>
    <mergeCell ref="B30:D30"/>
    <mergeCell ref="C5:G5"/>
    <mergeCell ref="C6:G6"/>
    <mergeCell ref="C7:G7"/>
    <mergeCell ref="C11:G11"/>
    <mergeCell ref="C9:G9"/>
    <mergeCell ref="B31:D31"/>
    <mergeCell ref="C10:G10"/>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156"/>
  <sheetViews>
    <sheetView showGridLines="0" topLeftCell="A31" zoomScale="80" zoomScaleNormal="80" zoomScaleSheetLayoutView="80" workbookViewId="0">
      <selection activeCell="H42" sqref="H42"/>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426</v>
      </c>
      <c r="D5" s="962"/>
      <c r="E5" s="962"/>
      <c r="F5" s="962"/>
      <c r="G5" s="963"/>
    </row>
    <row r="6" spans="1:11" ht="18" customHeight="1" x14ac:dyDescent="0.4">
      <c r="B6" s="183" t="s">
        <v>3</v>
      </c>
      <c r="C6" s="964" t="s">
        <v>472</v>
      </c>
      <c r="D6" s="965"/>
      <c r="E6" s="965"/>
      <c r="F6" s="965"/>
      <c r="G6" s="966"/>
    </row>
    <row r="7" spans="1:11" ht="18" customHeight="1" x14ac:dyDescent="0.4">
      <c r="B7" s="183" t="s">
        <v>4</v>
      </c>
      <c r="C7" s="1017" t="s">
        <v>747</v>
      </c>
      <c r="D7" s="962"/>
      <c r="E7" s="962"/>
      <c r="F7" s="962"/>
      <c r="G7" s="963"/>
    </row>
    <row r="9" spans="1:11" ht="18" customHeight="1" x14ac:dyDescent="0.4">
      <c r="B9" s="183" t="s">
        <v>1</v>
      </c>
      <c r="C9" s="961" t="s">
        <v>748</v>
      </c>
      <c r="D9" s="962"/>
      <c r="E9" s="962"/>
      <c r="F9" s="962"/>
      <c r="G9" s="963"/>
    </row>
    <row r="10" spans="1:11" ht="18" customHeight="1" x14ac:dyDescent="0.4">
      <c r="B10" s="183" t="s">
        <v>2</v>
      </c>
      <c r="C10" s="970" t="s">
        <v>749</v>
      </c>
      <c r="D10" s="971"/>
      <c r="E10" s="971"/>
      <c r="F10" s="971"/>
      <c r="G10" s="972"/>
    </row>
    <row r="11" spans="1:11" ht="18" customHeight="1" x14ac:dyDescent="0.4">
      <c r="B11" s="183" t="s">
        <v>32</v>
      </c>
      <c r="C11" s="1020" t="s">
        <v>750</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1187261.3135241866</v>
      </c>
      <c r="I18" s="144">
        <v>0</v>
      </c>
      <c r="J18" s="556">
        <v>987002.57471949887</v>
      </c>
      <c r="K18" s="557">
        <f>(H18+I18)-J18</f>
        <v>200258.73880468775</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406.5</v>
      </c>
      <c r="G21" s="555">
        <v>1525</v>
      </c>
      <c r="H21" s="556">
        <v>21587</v>
      </c>
      <c r="I21" s="144">
        <f t="shared" ref="I21:I34" si="0">H21*F$114</f>
        <v>14126.532799999999</v>
      </c>
      <c r="J21" s="556">
        <v>1725</v>
      </c>
      <c r="K21" s="557">
        <f t="shared" ref="K21:K34" si="1">(H21+I21)-J21</f>
        <v>33988.532800000001</v>
      </c>
    </row>
    <row r="22" spans="1:11" ht="18" customHeight="1" x14ac:dyDescent="0.4">
      <c r="A22" s="183" t="s">
        <v>76</v>
      </c>
      <c r="B22" s="189" t="s">
        <v>6</v>
      </c>
      <c r="F22" s="555">
        <v>115</v>
      </c>
      <c r="G22" s="555">
        <v>114</v>
      </c>
      <c r="H22" s="556">
        <v>4590</v>
      </c>
      <c r="I22" s="144">
        <f t="shared" si="0"/>
        <v>3003.6959999999999</v>
      </c>
      <c r="J22" s="556">
        <v>0</v>
      </c>
      <c r="K22" s="557">
        <f t="shared" si="1"/>
        <v>7593.6959999999999</v>
      </c>
    </row>
    <row r="23" spans="1:11" ht="18" customHeight="1" x14ac:dyDescent="0.4">
      <c r="A23" s="183" t="s">
        <v>77</v>
      </c>
      <c r="B23" s="189" t="s">
        <v>43</v>
      </c>
      <c r="F23" s="555">
        <v>7</v>
      </c>
      <c r="G23" s="555">
        <v>7</v>
      </c>
      <c r="H23" s="556">
        <v>282</v>
      </c>
      <c r="I23" s="144">
        <f t="shared" si="0"/>
        <v>184.54079999999999</v>
      </c>
      <c r="J23" s="556"/>
      <c r="K23" s="557">
        <f t="shared" si="1"/>
        <v>466.54079999999999</v>
      </c>
    </row>
    <row r="24" spans="1:11" ht="18" customHeight="1" x14ac:dyDescent="0.4">
      <c r="A24" s="183" t="s">
        <v>78</v>
      </c>
      <c r="B24" s="189" t="s">
        <v>44</v>
      </c>
      <c r="F24" s="555"/>
      <c r="G24" s="555"/>
      <c r="H24" s="556"/>
      <c r="I24" s="144">
        <f t="shared" si="0"/>
        <v>0</v>
      </c>
      <c r="J24" s="556"/>
      <c r="K24" s="557">
        <f t="shared" si="1"/>
        <v>0</v>
      </c>
    </row>
    <row r="25" spans="1:11" ht="18" customHeight="1" x14ac:dyDescent="0.4">
      <c r="A25" s="183" t="s">
        <v>79</v>
      </c>
      <c r="B25" s="189" t="s">
        <v>5</v>
      </c>
      <c r="F25" s="555"/>
      <c r="G25" s="555"/>
      <c r="H25" s="556"/>
      <c r="I25" s="144">
        <f t="shared" si="0"/>
        <v>0</v>
      </c>
      <c r="J25" s="556"/>
      <c r="K25" s="557">
        <f t="shared" si="1"/>
        <v>0</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c r="G27" s="555"/>
      <c r="H27" s="556"/>
      <c r="I27" s="144">
        <f t="shared" si="0"/>
        <v>0</v>
      </c>
      <c r="J27" s="556"/>
      <c r="K27" s="557">
        <f t="shared" si="1"/>
        <v>0</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5">
        <v>8122</v>
      </c>
      <c r="G29" s="555">
        <v>2467</v>
      </c>
      <c r="H29" s="556">
        <v>241153</v>
      </c>
      <c r="I29" s="144">
        <f t="shared" si="0"/>
        <v>157810.5232</v>
      </c>
      <c r="J29" s="556">
        <v>75983</v>
      </c>
      <c r="K29" s="557">
        <f t="shared" si="1"/>
        <v>322980.5232</v>
      </c>
    </row>
    <row r="30" spans="1:11" ht="18" customHeight="1" x14ac:dyDescent="0.4">
      <c r="A30" s="183" t="s">
        <v>84</v>
      </c>
      <c r="B30" s="973" t="s">
        <v>570</v>
      </c>
      <c r="C30" s="1061"/>
      <c r="D30" s="1062"/>
      <c r="F30" s="555">
        <v>6.75</v>
      </c>
      <c r="G30" s="555">
        <v>11</v>
      </c>
      <c r="H30" s="556">
        <v>2533</v>
      </c>
      <c r="I30" s="144">
        <f t="shared" si="0"/>
        <v>1657.5952</v>
      </c>
      <c r="J30" s="556">
        <v>1943</v>
      </c>
      <c r="K30" s="557">
        <f t="shared" si="1"/>
        <v>2247.5951999999997</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8657.25</v>
      </c>
      <c r="G36" s="560">
        <f t="shared" si="2"/>
        <v>4124</v>
      </c>
      <c r="H36" s="560">
        <f t="shared" si="2"/>
        <v>270145</v>
      </c>
      <c r="I36" s="557">
        <f t="shared" si="2"/>
        <v>176782.88800000001</v>
      </c>
      <c r="J36" s="557">
        <f t="shared" si="2"/>
        <v>79651</v>
      </c>
      <c r="K36" s="557">
        <f t="shared" si="2"/>
        <v>367276.88799999998</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c r="G40" s="555"/>
      <c r="H40" s="556"/>
      <c r="I40" s="144">
        <v>0</v>
      </c>
      <c r="J40" s="556"/>
      <c r="K40" s="557">
        <f t="shared" ref="K40:K47" si="3">(H40+I40)-J40</f>
        <v>0</v>
      </c>
    </row>
    <row r="41" spans="1:11" ht="18" customHeight="1" x14ac:dyDescent="0.4">
      <c r="A41" s="183" t="s">
        <v>88</v>
      </c>
      <c r="B41" s="956" t="s">
        <v>50</v>
      </c>
      <c r="C41" s="957"/>
      <c r="F41" s="555"/>
      <c r="G41" s="555"/>
      <c r="H41" s="556"/>
      <c r="I41" s="144">
        <v>0</v>
      </c>
      <c r="J41" s="556"/>
      <c r="K41" s="557">
        <f t="shared" si="3"/>
        <v>0</v>
      </c>
    </row>
    <row r="42" spans="1:11" ht="18" customHeight="1" x14ac:dyDescent="0.4">
      <c r="A42" s="183" t="s">
        <v>89</v>
      </c>
      <c r="B42" s="116" t="s">
        <v>11</v>
      </c>
      <c r="F42" s="555">
        <v>600</v>
      </c>
      <c r="G42" s="555">
        <v>27</v>
      </c>
      <c r="H42" s="556">
        <v>52545</v>
      </c>
      <c r="I42" s="144">
        <v>0</v>
      </c>
      <c r="J42" s="556"/>
      <c r="K42" s="557">
        <f t="shared" si="3"/>
        <v>52545</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600</v>
      </c>
      <c r="G49" s="563">
        <f t="shared" si="4"/>
        <v>27</v>
      </c>
      <c r="H49" s="557">
        <f t="shared" si="4"/>
        <v>52545</v>
      </c>
      <c r="I49" s="557">
        <f t="shared" si="4"/>
        <v>0</v>
      </c>
      <c r="J49" s="557">
        <f t="shared" si="4"/>
        <v>0</v>
      </c>
      <c r="K49" s="557">
        <f t="shared" si="4"/>
        <v>52545</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c r="C53" s="979"/>
      <c r="D53" s="975"/>
      <c r="F53" s="555"/>
      <c r="G53" s="555"/>
      <c r="H53" s="556"/>
      <c r="I53" s="144">
        <v>0</v>
      </c>
      <c r="J53" s="556"/>
      <c r="K53" s="557">
        <f t="shared" ref="K53:K62" si="5">(H53+I53)-J53</f>
        <v>0</v>
      </c>
    </row>
    <row r="54" spans="1:11" ht="18" customHeight="1" x14ac:dyDescent="0.4">
      <c r="A54" s="183" t="s">
        <v>93</v>
      </c>
      <c r="B54" s="503"/>
      <c r="C54" s="504"/>
      <c r="D54" s="505"/>
      <c r="F54" s="555"/>
      <c r="G54" s="555"/>
      <c r="H54" s="556"/>
      <c r="I54" s="144">
        <v>0</v>
      </c>
      <c r="J54" s="556"/>
      <c r="K54" s="557">
        <f t="shared" si="5"/>
        <v>0</v>
      </c>
    </row>
    <row r="55" spans="1:11" ht="18" customHeight="1" x14ac:dyDescent="0.4">
      <c r="A55" s="183" t="s">
        <v>94</v>
      </c>
      <c r="B55" s="980"/>
      <c r="C55" s="974"/>
      <c r="D55" s="975"/>
      <c r="F55" s="555"/>
      <c r="G55" s="555"/>
      <c r="H55" s="556"/>
      <c r="I55" s="144">
        <v>0</v>
      </c>
      <c r="J55" s="556"/>
      <c r="K55" s="557">
        <f t="shared" si="5"/>
        <v>0</v>
      </c>
    </row>
    <row r="56" spans="1:11" ht="18" customHeight="1" x14ac:dyDescent="0.4">
      <c r="A56" s="183" t="s">
        <v>95</v>
      </c>
      <c r="B56" s="980"/>
      <c r="C56" s="974"/>
      <c r="D56" s="975"/>
      <c r="F56" s="555"/>
      <c r="G56" s="555"/>
      <c r="H56" s="556"/>
      <c r="I56" s="144">
        <v>0</v>
      </c>
      <c r="J56" s="556"/>
      <c r="K56" s="557">
        <f t="shared" si="5"/>
        <v>0</v>
      </c>
    </row>
    <row r="57" spans="1:11" ht="18" customHeight="1" x14ac:dyDescent="0.4">
      <c r="A57" s="183" t="s">
        <v>96</v>
      </c>
      <c r="B57" s="980"/>
      <c r="C57" s="974"/>
      <c r="D57" s="975"/>
      <c r="F57" s="555"/>
      <c r="G57" s="555"/>
      <c r="H57" s="556"/>
      <c r="I57" s="144">
        <v>0</v>
      </c>
      <c r="J57" s="556"/>
      <c r="K57" s="557">
        <f t="shared" si="5"/>
        <v>0</v>
      </c>
    </row>
    <row r="58" spans="1:11" ht="18" customHeight="1" x14ac:dyDescent="0.4">
      <c r="A58" s="183" t="s">
        <v>97</v>
      </c>
      <c r="B58" s="503"/>
      <c r="C58" s="504"/>
      <c r="D58" s="505"/>
      <c r="F58" s="555"/>
      <c r="G58" s="555"/>
      <c r="H58" s="556"/>
      <c r="I58" s="144">
        <v>0</v>
      </c>
      <c r="J58" s="556"/>
      <c r="K58" s="557">
        <f t="shared" si="5"/>
        <v>0</v>
      </c>
    </row>
    <row r="59" spans="1:11" ht="18" customHeight="1" x14ac:dyDescent="0.4">
      <c r="A59" s="183" t="s">
        <v>98</v>
      </c>
      <c r="B59" s="980"/>
      <c r="C59" s="974"/>
      <c r="D59" s="975"/>
      <c r="F59" s="555"/>
      <c r="G59" s="555"/>
      <c r="H59" s="556"/>
      <c r="I59" s="144">
        <v>0</v>
      </c>
      <c r="J59" s="556"/>
      <c r="K59" s="557">
        <f t="shared" si="5"/>
        <v>0</v>
      </c>
    </row>
    <row r="60" spans="1:11" ht="18" customHeight="1" x14ac:dyDescent="0.4">
      <c r="A60" s="183" t="s">
        <v>99</v>
      </c>
      <c r="B60" s="503"/>
      <c r="C60" s="504"/>
      <c r="D60" s="505"/>
      <c r="F60" s="555"/>
      <c r="G60" s="555"/>
      <c r="H60" s="556"/>
      <c r="I60" s="144">
        <v>0</v>
      </c>
      <c r="J60" s="556"/>
      <c r="K60" s="557">
        <f t="shared" si="5"/>
        <v>0</v>
      </c>
    </row>
    <row r="61" spans="1:11" ht="18" customHeight="1" x14ac:dyDescent="0.4">
      <c r="A61" s="183" t="s">
        <v>100</v>
      </c>
      <c r="B61" s="503"/>
      <c r="C61" s="504"/>
      <c r="D61" s="505"/>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0</v>
      </c>
      <c r="G64" s="560">
        <f t="shared" si="6"/>
        <v>0</v>
      </c>
      <c r="H64" s="557">
        <f t="shared" si="6"/>
        <v>0</v>
      </c>
      <c r="I64" s="557">
        <f t="shared" si="6"/>
        <v>0</v>
      </c>
      <c r="J64" s="557">
        <f t="shared" si="6"/>
        <v>0</v>
      </c>
      <c r="K64" s="557">
        <f t="shared" si="6"/>
        <v>0</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f>(H68+I68)-J68</f>
        <v>0</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0</v>
      </c>
      <c r="G74" s="566">
        <f t="shared" si="7"/>
        <v>0</v>
      </c>
      <c r="H74" s="566">
        <f t="shared" si="7"/>
        <v>0</v>
      </c>
      <c r="I74" s="145">
        <f t="shared" si="7"/>
        <v>0</v>
      </c>
      <c r="J74" s="566">
        <f t="shared" si="7"/>
        <v>0</v>
      </c>
      <c r="K74" s="567">
        <f t="shared" si="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c r="I77" s="144">
        <v>0</v>
      </c>
      <c r="J77" s="556"/>
      <c r="K77" s="557">
        <f>(H77+I77)-J77</f>
        <v>0</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68.25</v>
      </c>
      <c r="G79" s="555">
        <v>91</v>
      </c>
      <c r="H79" s="556">
        <v>6905</v>
      </c>
      <c r="I79" s="144">
        <v>0</v>
      </c>
      <c r="J79" s="556"/>
      <c r="K79" s="557">
        <f>(H79+I79)-J79</f>
        <v>6905</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68.25</v>
      </c>
      <c r="G82" s="566">
        <f t="shared" si="8"/>
        <v>91</v>
      </c>
      <c r="H82" s="567">
        <f t="shared" si="8"/>
        <v>6905</v>
      </c>
      <c r="I82" s="567">
        <f t="shared" si="8"/>
        <v>0</v>
      </c>
      <c r="J82" s="567">
        <f t="shared" si="8"/>
        <v>0</v>
      </c>
      <c r="K82" s="567">
        <f t="shared" si="8"/>
        <v>6905</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9">H86*F$114</f>
        <v>0</v>
      </c>
      <c r="J86" s="556"/>
      <c r="K86" s="557">
        <f t="shared" ref="K86:K96" si="10">(H86+I86)-J86</f>
        <v>0</v>
      </c>
    </row>
    <row r="87" spans="1:11" ht="18" customHeight="1" x14ac:dyDescent="0.4">
      <c r="A87" s="183" t="s">
        <v>114</v>
      </c>
      <c r="B87" s="116" t="s">
        <v>14</v>
      </c>
      <c r="F87" s="555"/>
      <c r="G87" s="555"/>
      <c r="H87" s="556"/>
      <c r="I87" s="144">
        <f t="shared" si="9"/>
        <v>0</v>
      </c>
      <c r="J87" s="556"/>
      <c r="K87" s="557">
        <f t="shared" si="10"/>
        <v>0</v>
      </c>
    </row>
    <row r="88" spans="1:11" ht="18" customHeight="1" x14ac:dyDescent="0.4">
      <c r="A88" s="183" t="s">
        <v>115</v>
      </c>
      <c r="B88" s="116" t="s">
        <v>116</v>
      </c>
      <c r="F88" s="555"/>
      <c r="G88" s="555"/>
      <c r="H88" s="556"/>
      <c r="I88" s="144">
        <f t="shared" si="9"/>
        <v>0</v>
      </c>
      <c r="J88" s="556"/>
      <c r="K88" s="557">
        <f t="shared" si="10"/>
        <v>0</v>
      </c>
    </row>
    <row r="89" spans="1:11" ht="18" customHeight="1" x14ac:dyDescent="0.4">
      <c r="A89" s="183" t="s">
        <v>117</v>
      </c>
      <c r="B89" s="116" t="s">
        <v>58</v>
      </c>
      <c r="F89" s="555"/>
      <c r="G89" s="555"/>
      <c r="H89" s="556"/>
      <c r="I89" s="144">
        <f t="shared" si="9"/>
        <v>0</v>
      </c>
      <c r="J89" s="556"/>
      <c r="K89" s="557">
        <f t="shared" si="10"/>
        <v>0</v>
      </c>
    </row>
    <row r="90" spans="1:11" ht="18" customHeight="1" x14ac:dyDescent="0.4">
      <c r="A90" s="183" t="s">
        <v>118</v>
      </c>
      <c r="B90" s="956" t="s">
        <v>59</v>
      </c>
      <c r="C90" s="957"/>
      <c r="F90" s="555"/>
      <c r="G90" s="555"/>
      <c r="H90" s="556"/>
      <c r="I90" s="144">
        <f t="shared" si="9"/>
        <v>0</v>
      </c>
      <c r="J90" s="556"/>
      <c r="K90" s="557">
        <f t="shared" si="10"/>
        <v>0</v>
      </c>
    </row>
    <row r="91" spans="1:11" ht="18" customHeight="1" x14ac:dyDescent="0.4">
      <c r="A91" s="183" t="s">
        <v>119</v>
      </c>
      <c r="B91" s="116" t="s">
        <v>60</v>
      </c>
      <c r="F91" s="555">
        <v>69.5</v>
      </c>
      <c r="G91" s="555">
        <v>478</v>
      </c>
      <c r="H91" s="556">
        <v>5091</v>
      </c>
      <c r="I91" s="144">
        <f t="shared" si="9"/>
        <v>3331.5504000000001</v>
      </c>
      <c r="J91" s="556"/>
      <c r="K91" s="557">
        <f t="shared" si="10"/>
        <v>8422.5504000000001</v>
      </c>
    </row>
    <row r="92" spans="1:11" ht="18" customHeight="1" x14ac:dyDescent="0.4">
      <c r="A92" s="183" t="s">
        <v>120</v>
      </c>
      <c r="B92" s="116" t="s">
        <v>121</v>
      </c>
      <c r="F92" s="134"/>
      <c r="G92" s="134"/>
      <c r="H92" s="135"/>
      <c r="I92" s="144">
        <f t="shared" si="9"/>
        <v>0</v>
      </c>
      <c r="J92" s="135"/>
      <c r="K92" s="557">
        <f t="shared" si="10"/>
        <v>0</v>
      </c>
    </row>
    <row r="93" spans="1:11" ht="18" customHeight="1" x14ac:dyDescent="0.4">
      <c r="A93" s="183" t="s">
        <v>122</v>
      </c>
      <c r="B93" s="116" t="s">
        <v>123</v>
      </c>
      <c r="F93" s="555">
        <v>9</v>
      </c>
      <c r="G93" s="555">
        <v>5</v>
      </c>
      <c r="H93" s="556">
        <v>169363</v>
      </c>
      <c r="I93" s="144">
        <f t="shared" si="9"/>
        <v>110831.14719999999</v>
      </c>
      <c r="J93" s="556"/>
      <c r="K93" s="557">
        <f t="shared" si="10"/>
        <v>280194.14720000001</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78.5</v>
      </c>
      <c r="G98" s="560">
        <f t="shared" si="11"/>
        <v>483</v>
      </c>
      <c r="H98" s="560">
        <f t="shared" si="11"/>
        <v>174454</v>
      </c>
      <c r="I98" s="560">
        <f t="shared" si="11"/>
        <v>114162.69759999998</v>
      </c>
      <c r="J98" s="560">
        <f t="shared" si="11"/>
        <v>0</v>
      </c>
      <c r="K98" s="560">
        <f t="shared" si="11"/>
        <v>288616.69760000001</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40</v>
      </c>
      <c r="G102" s="555"/>
      <c r="H102" s="556">
        <v>1979</v>
      </c>
      <c r="I102" s="144">
        <f>H102*F$114</f>
        <v>1295.0575999999999</v>
      </c>
      <c r="J102" s="556"/>
      <c r="K102" s="557">
        <f>(H102+I102)-J102</f>
        <v>3274.0576000000001</v>
      </c>
    </row>
    <row r="103" spans="1:11" ht="18" customHeight="1" x14ac:dyDescent="0.4">
      <c r="A103" s="183" t="s">
        <v>132</v>
      </c>
      <c r="B103" s="956" t="s">
        <v>62</v>
      </c>
      <c r="C103" s="956"/>
      <c r="F103" s="555">
        <v>2</v>
      </c>
      <c r="G103" s="555"/>
      <c r="H103" s="556">
        <v>317</v>
      </c>
      <c r="I103" s="144">
        <f>H103*F$114</f>
        <v>207.44479999999999</v>
      </c>
      <c r="J103" s="556"/>
      <c r="K103" s="557">
        <f>(H103+I103)-J103</f>
        <v>524.44479999999999</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42</v>
      </c>
      <c r="G108" s="560">
        <f t="shared" si="12"/>
        <v>0</v>
      </c>
      <c r="H108" s="557">
        <f t="shared" si="12"/>
        <v>2296</v>
      </c>
      <c r="I108" s="557">
        <f t="shared" si="12"/>
        <v>1502.5023999999999</v>
      </c>
      <c r="J108" s="557">
        <f t="shared" si="12"/>
        <v>0</v>
      </c>
      <c r="K108" s="557">
        <f t="shared" si="12"/>
        <v>3798.5024000000003</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f>2913127+6960+4883</f>
        <v>2924970</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0.65439999999999998</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f>54593456</f>
        <v>54593456</v>
      </c>
    </row>
    <row r="118" spans="1:6" ht="18" customHeight="1" x14ac:dyDescent="0.4">
      <c r="A118" s="183" t="s">
        <v>173</v>
      </c>
      <c r="B118" s="189" t="s">
        <v>18</v>
      </c>
      <c r="F118" s="556">
        <f>978308+136107</f>
        <v>1114415</v>
      </c>
    </row>
    <row r="119" spans="1:6" ht="18" customHeight="1" x14ac:dyDescent="0.4">
      <c r="A119" s="183" t="s">
        <v>174</v>
      </c>
      <c r="B119" s="117" t="s">
        <v>19</v>
      </c>
      <c r="F119" s="567">
        <f>SUM(F117:F118)</f>
        <v>55707871</v>
      </c>
    </row>
    <row r="120" spans="1:6" ht="18" customHeight="1" x14ac:dyDescent="0.4">
      <c r="A120" s="183"/>
      <c r="B120" s="117"/>
    </row>
    <row r="121" spans="1:6" ht="18" customHeight="1" x14ac:dyDescent="0.4">
      <c r="A121" s="183" t="s">
        <v>167</v>
      </c>
      <c r="B121" s="117" t="s">
        <v>36</v>
      </c>
      <c r="F121" s="556">
        <f>49273773</f>
        <v>49273773</v>
      </c>
    </row>
    <row r="122" spans="1:6" ht="18" customHeight="1" x14ac:dyDescent="0.4">
      <c r="A122" s="183"/>
    </row>
    <row r="123" spans="1:6" ht="18" customHeight="1" x14ac:dyDescent="0.4">
      <c r="A123" s="183" t="s">
        <v>175</v>
      </c>
      <c r="B123" s="117" t="s">
        <v>20</v>
      </c>
      <c r="F123" s="556">
        <v>6434098</v>
      </c>
    </row>
    <row r="124" spans="1:6" ht="18" customHeight="1" x14ac:dyDescent="0.4">
      <c r="A124" s="183"/>
    </row>
    <row r="125" spans="1:6" ht="18" customHeight="1" x14ac:dyDescent="0.4">
      <c r="A125" s="183" t="s">
        <v>176</v>
      </c>
      <c r="B125" s="117" t="s">
        <v>21</v>
      </c>
      <c r="F125" s="556">
        <f>122233</f>
        <v>122233</v>
      </c>
    </row>
    <row r="126" spans="1:6" ht="18" customHeight="1" x14ac:dyDescent="0.4">
      <c r="A126" s="183"/>
    </row>
    <row r="127" spans="1:6" ht="18" customHeight="1" x14ac:dyDescent="0.4">
      <c r="A127" s="183" t="s">
        <v>177</v>
      </c>
      <c r="B127" s="117" t="s">
        <v>22</v>
      </c>
      <c r="F127" s="556">
        <f>6556331</f>
        <v>6556331</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8657.25</v>
      </c>
      <c r="G141" s="136">
        <f t="shared" si="14"/>
        <v>4124</v>
      </c>
      <c r="H141" s="136">
        <f t="shared" si="14"/>
        <v>270145</v>
      </c>
      <c r="I141" s="136">
        <f t="shared" si="14"/>
        <v>176782.88800000001</v>
      </c>
      <c r="J141" s="136">
        <f t="shared" si="14"/>
        <v>79651</v>
      </c>
      <c r="K141" s="136">
        <f t="shared" si="14"/>
        <v>367276.88799999998</v>
      </c>
    </row>
    <row r="142" spans="1:11" ht="18" customHeight="1" x14ac:dyDescent="0.4">
      <c r="A142" s="183" t="s">
        <v>142</v>
      </c>
      <c r="B142" s="117" t="s">
        <v>65</v>
      </c>
      <c r="F142" s="136">
        <f t="shared" ref="F142:K142" si="15">F49</f>
        <v>600</v>
      </c>
      <c r="G142" s="136">
        <f t="shared" si="15"/>
        <v>27</v>
      </c>
      <c r="H142" s="136">
        <f t="shared" si="15"/>
        <v>52545</v>
      </c>
      <c r="I142" s="136">
        <f t="shared" si="15"/>
        <v>0</v>
      </c>
      <c r="J142" s="136">
        <f t="shared" si="15"/>
        <v>0</v>
      </c>
      <c r="K142" s="136">
        <f t="shared" si="15"/>
        <v>52545</v>
      </c>
    </row>
    <row r="143" spans="1:11" ht="18" customHeight="1" x14ac:dyDescent="0.4">
      <c r="A143" s="183" t="s">
        <v>144</v>
      </c>
      <c r="B143" s="117" t="s">
        <v>66</v>
      </c>
      <c r="F143" s="136">
        <f t="shared" ref="F143:K143" si="16">F64</f>
        <v>0</v>
      </c>
      <c r="G143" s="136">
        <f t="shared" si="16"/>
        <v>0</v>
      </c>
      <c r="H143" s="136">
        <f t="shared" si="16"/>
        <v>0</v>
      </c>
      <c r="I143" s="136">
        <f t="shared" si="16"/>
        <v>0</v>
      </c>
      <c r="J143" s="136">
        <f t="shared" si="16"/>
        <v>0</v>
      </c>
      <c r="K143" s="136">
        <f t="shared" si="16"/>
        <v>0</v>
      </c>
    </row>
    <row r="144" spans="1:11" ht="18" customHeight="1" x14ac:dyDescent="0.4">
      <c r="A144" s="183" t="s">
        <v>146</v>
      </c>
      <c r="B144" s="117" t="s">
        <v>67</v>
      </c>
      <c r="F144" s="136">
        <f t="shared" ref="F144:K144" si="17">F74</f>
        <v>0</v>
      </c>
      <c r="G144" s="136">
        <f t="shared" si="17"/>
        <v>0</v>
      </c>
      <c r="H144" s="136">
        <f t="shared" si="17"/>
        <v>0</v>
      </c>
      <c r="I144" s="136">
        <f t="shared" si="17"/>
        <v>0</v>
      </c>
      <c r="J144" s="136">
        <f t="shared" si="17"/>
        <v>0</v>
      </c>
      <c r="K144" s="136">
        <f t="shared" si="17"/>
        <v>0</v>
      </c>
    </row>
    <row r="145" spans="1:11" ht="18" customHeight="1" x14ac:dyDescent="0.4">
      <c r="A145" s="183" t="s">
        <v>148</v>
      </c>
      <c r="B145" s="117" t="s">
        <v>68</v>
      </c>
      <c r="F145" s="136">
        <f t="shared" ref="F145:K145" si="18">F82</f>
        <v>68.25</v>
      </c>
      <c r="G145" s="136">
        <f t="shared" si="18"/>
        <v>91</v>
      </c>
      <c r="H145" s="136">
        <f t="shared" si="18"/>
        <v>6905</v>
      </c>
      <c r="I145" s="136">
        <f t="shared" si="18"/>
        <v>0</v>
      </c>
      <c r="J145" s="136">
        <f t="shared" si="18"/>
        <v>0</v>
      </c>
      <c r="K145" s="136">
        <f t="shared" si="18"/>
        <v>6905</v>
      </c>
    </row>
    <row r="146" spans="1:11" ht="18" customHeight="1" x14ac:dyDescent="0.4">
      <c r="A146" s="183" t="s">
        <v>150</v>
      </c>
      <c r="B146" s="117" t="s">
        <v>69</v>
      </c>
      <c r="F146" s="136">
        <f t="shared" ref="F146:K146" si="19">F98</f>
        <v>78.5</v>
      </c>
      <c r="G146" s="136">
        <f t="shared" si="19"/>
        <v>483</v>
      </c>
      <c r="H146" s="136">
        <f t="shared" si="19"/>
        <v>174454</v>
      </c>
      <c r="I146" s="136">
        <f t="shared" si="19"/>
        <v>114162.69759999998</v>
      </c>
      <c r="J146" s="136">
        <f t="shared" si="19"/>
        <v>0</v>
      </c>
      <c r="K146" s="136">
        <f t="shared" si="19"/>
        <v>288616.69760000001</v>
      </c>
    </row>
    <row r="147" spans="1:11" ht="18" customHeight="1" x14ac:dyDescent="0.4">
      <c r="A147" s="183" t="s">
        <v>153</v>
      </c>
      <c r="B147" s="117" t="s">
        <v>61</v>
      </c>
      <c r="F147" s="560">
        <f t="shared" ref="F147:K147" si="20">F108</f>
        <v>42</v>
      </c>
      <c r="G147" s="560">
        <f t="shared" si="20"/>
        <v>0</v>
      </c>
      <c r="H147" s="560">
        <f t="shared" si="20"/>
        <v>2296</v>
      </c>
      <c r="I147" s="560">
        <f t="shared" si="20"/>
        <v>1502.5023999999999</v>
      </c>
      <c r="J147" s="560">
        <f t="shared" si="20"/>
        <v>0</v>
      </c>
      <c r="K147" s="560">
        <f t="shared" si="20"/>
        <v>3798.5024000000003</v>
      </c>
    </row>
    <row r="148" spans="1:11" ht="18" customHeight="1" x14ac:dyDescent="0.4">
      <c r="A148" s="183" t="s">
        <v>155</v>
      </c>
      <c r="B148" s="117" t="s">
        <v>70</v>
      </c>
      <c r="F148" s="137" t="s">
        <v>73</v>
      </c>
      <c r="G148" s="137" t="s">
        <v>73</v>
      </c>
      <c r="H148" s="138" t="s">
        <v>73</v>
      </c>
      <c r="I148" s="138" t="s">
        <v>73</v>
      </c>
      <c r="J148" s="138" t="s">
        <v>73</v>
      </c>
      <c r="K148" s="133">
        <f>F111</f>
        <v>2924970</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1187261.3135241866</v>
      </c>
      <c r="I150" s="560">
        <f>I18</f>
        <v>0</v>
      </c>
      <c r="J150" s="560">
        <f>J18</f>
        <v>987002.57471949887</v>
      </c>
      <c r="K150" s="560">
        <f>K18</f>
        <v>200258.73880468775</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9446</v>
      </c>
      <c r="G152" s="143">
        <f t="shared" si="22"/>
        <v>4725</v>
      </c>
      <c r="H152" s="143">
        <f t="shared" si="22"/>
        <v>1693606.3135241866</v>
      </c>
      <c r="I152" s="143">
        <f t="shared" si="22"/>
        <v>292448.08799999999</v>
      </c>
      <c r="J152" s="143">
        <f t="shared" si="22"/>
        <v>1066653.5747194989</v>
      </c>
      <c r="K152" s="143">
        <f t="shared" si="22"/>
        <v>3844370.8268046877</v>
      </c>
    </row>
    <row r="154" spans="1:11" ht="18" customHeight="1" x14ac:dyDescent="0.4">
      <c r="A154" s="120" t="s">
        <v>168</v>
      </c>
      <c r="B154" s="117" t="s">
        <v>28</v>
      </c>
      <c r="F154" s="571">
        <f>K152/F121</f>
        <v>7.8020630301736546E-2</v>
      </c>
    </row>
    <row r="155" spans="1:11" ht="18" customHeight="1" x14ac:dyDescent="0.4">
      <c r="A155" s="120" t="s">
        <v>169</v>
      </c>
      <c r="B155" s="117" t="s">
        <v>72</v>
      </c>
      <c r="F155" s="571">
        <f>K152/F127</f>
        <v>0.58636008871496692</v>
      </c>
      <c r="G155" s="117"/>
    </row>
    <row r="156" spans="1:11" ht="18" customHeight="1" x14ac:dyDescent="0.4">
      <c r="G156" s="117"/>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56"/>
  <sheetViews>
    <sheetView zoomScale="80" zoomScaleNormal="80" workbookViewId="0">
      <selection activeCell="B3" sqref="B3"/>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427</v>
      </c>
      <c r="D5" s="962"/>
      <c r="E5" s="962"/>
      <c r="F5" s="962"/>
      <c r="G5" s="963"/>
    </row>
    <row r="6" spans="1:11" ht="18" customHeight="1" x14ac:dyDescent="0.4">
      <c r="B6" s="183" t="s">
        <v>3</v>
      </c>
      <c r="C6" s="1067">
        <v>210018</v>
      </c>
      <c r="D6" s="1059"/>
      <c r="E6" s="1059"/>
      <c r="F6" s="1059"/>
      <c r="G6" s="1060"/>
    </row>
    <row r="7" spans="1:11" ht="18" customHeight="1" x14ac:dyDescent="0.4">
      <c r="B7" s="183" t="s">
        <v>4</v>
      </c>
      <c r="C7" s="967">
        <v>1111</v>
      </c>
      <c r="D7" s="968"/>
      <c r="E7" s="968"/>
      <c r="F7" s="968"/>
      <c r="G7" s="969"/>
    </row>
    <row r="9" spans="1:11" ht="18" customHeight="1" x14ac:dyDescent="0.4">
      <c r="B9" s="183" t="s">
        <v>1</v>
      </c>
      <c r="C9" s="961" t="s">
        <v>469</v>
      </c>
      <c r="D9" s="962"/>
      <c r="E9" s="962"/>
      <c r="F9" s="962"/>
      <c r="G9" s="963"/>
    </row>
    <row r="10" spans="1:11" ht="18" customHeight="1" x14ac:dyDescent="0.4">
      <c r="B10" s="183" t="s">
        <v>2</v>
      </c>
      <c r="C10" s="970" t="s">
        <v>470</v>
      </c>
      <c r="D10" s="971"/>
      <c r="E10" s="971"/>
      <c r="F10" s="971"/>
      <c r="G10" s="972"/>
    </row>
    <row r="11" spans="1:11" ht="18" customHeight="1" x14ac:dyDescent="0.4">
      <c r="B11" s="183" t="s">
        <v>32</v>
      </c>
      <c r="C11" s="961" t="s">
        <v>471</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3491002</v>
      </c>
      <c r="I18" s="144">
        <v>0</v>
      </c>
      <c r="J18" s="556">
        <v>2902165</v>
      </c>
      <c r="K18" s="557">
        <v>588837</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444.5</v>
      </c>
      <c r="G21" s="555">
        <v>2822</v>
      </c>
      <c r="H21" s="556">
        <v>90393</v>
      </c>
      <c r="I21" s="144">
        <v>27810</v>
      </c>
      <c r="J21" s="556">
        <v>21769</v>
      </c>
      <c r="K21" s="557">
        <v>96434</v>
      </c>
    </row>
    <row r="22" spans="1:11" ht="18" customHeight="1" x14ac:dyDescent="0.4">
      <c r="A22" s="183" t="s">
        <v>76</v>
      </c>
      <c r="B22" s="189" t="s">
        <v>6</v>
      </c>
      <c r="F22" s="555"/>
      <c r="G22" s="555"/>
      <c r="H22" s="556"/>
      <c r="I22" s="144">
        <v>0</v>
      </c>
      <c r="J22" s="556"/>
      <c r="K22" s="557">
        <v>0</v>
      </c>
    </row>
    <row r="23" spans="1:11" ht="18" customHeight="1" x14ac:dyDescent="0.4">
      <c r="A23" s="183" t="s">
        <v>77</v>
      </c>
      <c r="B23" s="189" t="s">
        <v>43</v>
      </c>
      <c r="F23" s="555"/>
      <c r="G23" s="555"/>
      <c r="H23" s="556"/>
      <c r="I23" s="144">
        <v>0</v>
      </c>
      <c r="J23" s="556"/>
      <c r="K23" s="557">
        <v>0</v>
      </c>
    </row>
    <row r="24" spans="1:11" ht="18" customHeight="1" x14ac:dyDescent="0.4">
      <c r="A24" s="183" t="s">
        <v>78</v>
      </c>
      <c r="B24" s="189" t="s">
        <v>44</v>
      </c>
      <c r="F24" s="555">
        <v>12</v>
      </c>
      <c r="G24" s="555">
        <v>32</v>
      </c>
      <c r="H24" s="556">
        <v>892</v>
      </c>
      <c r="I24" s="144">
        <v>0</v>
      </c>
      <c r="J24" s="556">
        <v>0</v>
      </c>
      <c r="K24" s="557">
        <v>892</v>
      </c>
    </row>
    <row r="25" spans="1:11" ht="18" customHeight="1" x14ac:dyDescent="0.4">
      <c r="A25" s="183" t="s">
        <v>79</v>
      </c>
      <c r="B25" s="189" t="s">
        <v>5</v>
      </c>
      <c r="F25" s="555">
        <v>2127.6</v>
      </c>
      <c r="G25" s="555">
        <v>25531</v>
      </c>
      <c r="H25" s="556">
        <v>55396</v>
      </c>
      <c r="I25" s="144">
        <v>50244</v>
      </c>
      <c r="J25" s="556">
        <v>0</v>
      </c>
      <c r="K25" s="557">
        <v>105640</v>
      </c>
    </row>
    <row r="26" spans="1:11" ht="18" customHeight="1" x14ac:dyDescent="0.4">
      <c r="A26" s="183" t="s">
        <v>80</v>
      </c>
      <c r="B26" s="189" t="s">
        <v>45</v>
      </c>
      <c r="F26" s="555"/>
      <c r="G26" s="555"/>
      <c r="H26" s="556"/>
      <c r="I26" s="144">
        <v>0</v>
      </c>
      <c r="J26" s="556"/>
      <c r="K26" s="557">
        <v>0</v>
      </c>
    </row>
    <row r="27" spans="1:11" ht="18" customHeight="1" x14ac:dyDescent="0.4">
      <c r="A27" s="183" t="s">
        <v>81</v>
      </c>
      <c r="B27" s="189" t="s">
        <v>498</v>
      </c>
      <c r="F27" s="555"/>
      <c r="G27" s="555"/>
      <c r="H27" s="556"/>
      <c r="I27" s="144">
        <v>0</v>
      </c>
      <c r="J27" s="556"/>
      <c r="K27" s="557">
        <v>0</v>
      </c>
    </row>
    <row r="28" spans="1:11" ht="18" customHeight="1" x14ac:dyDescent="0.4">
      <c r="A28" s="183" t="s">
        <v>82</v>
      </c>
      <c r="B28" s="189" t="s">
        <v>47</v>
      </c>
      <c r="F28" s="555"/>
      <c r="G28" s="555"/>
      <c r="H28" s="556"/>
      <c r="I28" s="144">
        <v>0</v>
      </c>
      <c r="J28" s="556"/>
      <c r="K28" s="557">
        <v>0</v>
      </c>
    </row>
    <row r="29" spans="1:11" ht="18" customHeight="1" x14ac:dyDescent="0.4">
      <c r="A29" s="183" t="s">
        <v>83</v>
      </c>
      <c r="B29" s="189" t="s">
        <v>48</v>
      </c>
      <c r="F29" s="555">
        <v>500</v>
      </c>
      <c r="G29" s="555">
        <v>2378</v>
      </c>
      <c r="H29" s="556">
        <v>181576</v>
      </c>
      <c r="I29" s="144">
        <v>50917</v>
      </c>
      <c r="J29" s="556">
        <v>0</v>
      </c>
      <c r="K29" s="557">
        <v>232493</v>
      </c>
    </row>
    <row r="30" spans="1:11" ht="18" customHeight="1" x14ac:dyDescent="0.4">
      <c r="A30" s="183" t="s">
        <v>84</v>
      </c>
      <c r="B30" s="951"/>
      <c r="C30" s="952"/>
      <c r="D30" s="953"/>
      <c r="F30" s="555"/>
      <c r="G30" s="555"/>
      <c r="H30" s="556"/>
      <c r="I30" s="144">
        <v>0</v>
      </c>
      <c r="J30" s="556"/>
      <c r="K30" s="557">
        <v>0</v>
      </c>
    </row>
    <row r="31" spans="1:11" ht="18" customHeight="1" x14ac:dyDescent="0.4">
      <c r="A31" s="183" t="s">
        <v>133</v>
      </c>
      <c r="B31" s="951"/>
      <c r="C31" s="952"/>
      <c r="D31" s="953"/>
      <c r="F31" s="555"/>
      <c r="G31" s="555"/>
      <c r="H31" s="556"/>
      <c r="I31" s="144">
        <v>0</v>
      </c>
      <c r="J31" s="556"/>
      <c r="K31" s="557">
        <v>0</v>
      </c>
    </row>
    <row r="32" spans="1:11" ht="18" customHeight="1" x14ac:dyDescent="0.4">
      <c r="A32" s="183" t="s">
        <v>134</v>
      </c>
      <c r="B32" s="500"/>
      <c r="C32" s="501"/>
      <c r="D32" s="502"/>
      <c r="F32" s="555"/>
      <c r="G32" s="558" t="s">
        <v>85</v>
      </c>
      <c r="H32" s="556"/>
      <c r="I32" s="144">
        <v>0</v>
      </c>
      <c r="J32" s="556"/>
      <c r="K32" s="557">
        <v>0</v>
      </c>
    </row>
    <row r="33" spans="1:11" ht="18" customHeight="1" x14ac:dyDescent="0.4">
      <c r="A33" s="183" t="s">
        <v>135</v>
      </c>
      <c r="B33" s="500"/>
      <c r="C33" s="501"/>
      <c r="D33" s="502"/>
      <c r="F33" s="555"/>
      <c r="G33" s="558" t="s">
        <v>85</v>
      </c>
      <c r="H33" s="556"/>
      <c r="I33" s="144">
        <v>0</v>
      </c>
      <c r="J33" s="556"/>
      <c r="K33" s="557">
        <v>0</v>
      </c>
    </row>
    <row r="34" spans="1:11" ht="18" customHeight="1" x14ac:dyDescent="0.4">
      <c r="A34" s="183" t="s">
        <v>136</v>
      </c>
      <c r="B34" s="951"/>
      <c r="C34" s="952"/>
      <c r="D34" s="953"/>
      <c r="F34" s="555"/>
      <c r="G34" s="558" t="s">
        <v>85</v>
      </c>
      <c r="H34" s="556"/>
      <c r="I34" s="144">
        <v>0</v>
      </c>
      <c r="J34" s="556"/>
      <c r="K34" s="557">
        <v>0</v>
      </c>
    </row>
    <row r="35" spans="1:11" ht="18" customHeight="1" x14ac:dyDescent="0.35">
      <c r="K35" s="559"/>
    </row>
    <row r="36" spans="1:11" ht="18" customHeight="1" x14ac:dyDescent="0.4">
      <c r="A36" s="120" t="s">
        <v>137</v>
      </c>
      <c r="B36" s="117" t="s">
        <v>138</v>
      </c>
      <c r="E36" s="117" t="s">
        <v>7</v>
      </c>
      <c r="F36" s="560">
        <v>3084.1</v>
      </c>
      <c r="G36" s="560">
        <v>30763</v>
      </c>
      <c r="H36" s="560">
        <v>328257</v>
      </c>
      <c r="I36" s="557">
        <v>128971</v>
      </c>
      <c r="J36" s="557">
        <v>21769</v>
      </c>
      <c r="K36" s="557">
        <v>435459</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10</v>
      </c>
      <c r="G40" s="555">
        <v>30</v>
      </c>
      <c r="H40" s="556">
        <v>7535</v>
      </c>
      <c r="I40" s="144">
        <v>6834</v>
      </c>
      <c r="J40" s="556">
        <v>0</v>
      </c>
      <c r="K40" s="557">
        <v>14369</v>
      </c>
    </row>
    <row r="41" spans="1:11" ht="18" customHeight="1" x14ac:dyDescent="0.4">
      <c r="A41" s="183" t="s">
        <v>88</v>
      </c>
      <c r="B41" s="956" t="s">
        <v>50</v>
      </c>
      <c r="C41" s="957"/>
      <c r="F41" s="555">
        <v>88.3</v>
      </c>
      <c r="G41" s="555">
        <v>145</v>
      </c>
      <c r="H41" s="556">
        <v>4548</v>
      </c>
      <c r="I41" s="144">
        <v>4125</v>
      </c>
      <c r="J41" s="556">
        <v>0</v>
      </c>
      <c r="K41" s="557">
        <v>8673</v>
      </c>
    </row>
    <row r="42" spans="1:11" ht="18" customHeight="1" x14ac:dyDescent="0.4">
      <c r="A42" s="183" t="s">
        <v>89</v>
      </c>
      <c r="B42" s="116" t="s">
        <v>11</v>
      </c>
      <c r="F42" s="555">
        <v>1950.5</v>
      </c>
      <c r="G42" s="555">
        <v>53</v>
      </c>
      <c r="H42" s="556">
        <v>75051</v>
      </c>
      <c r="I42" s="144">
        <v>67067</v>
      </c>
      <c r="J42" s="556">
        <v>0</v>
      </c>
      <c r="K42" s="557">
        <v>142118</v>
      </c>
    </row>
    <row r="43" spans="1:11" ht="18" customHeight="1" x14ac:dyDescent="0.4">
      <c r="A43" s="183" t="s">
        <v>90</v>
      </c>
      <c r="B43" s="141" t="s">
        <v>10</v>
      </c>
      <c r="C43" s="123"/>
      <c r="D43" s="123"/>
      <c r="F43" s="555"/>
      <c r="G43" s="555"/>
      <c r="H43" s="556"/>
      <c r="I43" s="144"/>
      <c r="J43" s="556"/>
      <c r="K43" s="557"/>
    </row>
    <row r="44" spans="1:11" ht="18" customHeight="1" x14ac:dyDescent="0.4">
      <c r="A44" s="183" t="s">
        <v>91</v>
      </c>
      <c r="B44" s="951"/>
      <c r="C44" s="952"/>
      <c r="D44" s="953"/>
      <c r="F44" s="561"/>
      <c r="G44" s="561"/>
      <c r="H44" s="561"/>
      <c r="I44" s="146"/>
      <c r="J44" s="561"/>
      <c r="K44" s="562"/>
    </row>
    <row r="45" spans="1:11" ht="18" customHeight="1" x14ac:dyDescent="0.4">
      <c r="A45" s="183" t="s">
        <v>139</v>
      </c>
      <c r="B45" s="951"/>
      <c r="C45" s="952"/>
      <c r="D45" s="953"/>
      <c r="F45" s="555"/>
      <c r="G45" s="555"/>
      <c r="H45" s="556"/>
      <c r="I45" s="144"/>
      <c r="J45" s="556"/>
      <c r="K45" s="557"/>
    </row>
    <row r="46" spans="1:11" ht="18" customHeight="1" x14ac:dyDescent="0.4">
      <c r="A46" s="183" t="s">
        <v>140</v>
      </c>
      <c r="B46" s="951"/>
      <c r="C46" s="952"/>
      <c r="D46" s="953"/>
      <c r="F46" s="555"/>
      <c r="G46" s="555"/>
      <c r="H46" s="556"/>
      <c r="I46" s="144"/>
      <c r="J46" s="556"/>
      <c r="K46" s="557"/>
    </row>
    <row r="47" spans="1:11" ht="18" customHeight="1" x14ac:dyDescent="0.4">
      <c r="A47" s="183" t="s">
        <v>141</v>
      </c>
      <c r="B47" s="951"/>
      <c r="C47" s="952"/>
      <c r="D47" s="953"/>
      <c r="F47" s="555"/>
      <c r="G47" s="555"/>
      <c r="H47" s="556"/>
      <c r="I47" s="144"/>
      <c r="J47" s="556"/>
      <c r="K47" s="557"/>
    </row>
    <row r="49" spans="1:11" ht="18" customHeight="1" x14ac:dyDescent="0.4">
      <c r="A49" s="120" t="s">
        <v>142</v>
      </c>
      <c r="B49" s="117" t="s">
        <v>143</v>
      </c>
      <c r="E49" s="117" t="s">
        <v>7</v>
      </c>
      <c r="F49" s="563">
        <v>2048.8000000000002</v>
      </c>
      <c r="G49" s="563">
        <v>228</v>
      </c>
      <c r="H49" s="557">
        <v>87134</v>
      </c>
      <c r="I49" s="557">
        <v>78026</v>
      </c>
      <c r="J49" s="557">
        <v>0</v>
      </c>
      <c r="K49" s="557">
        <v>165160</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372</v>
      </c>
      <c r="C53" s="979"/>
      <c r="D53" s="975"/>
      <c r="F53" s="555">
        <v>0</v>
      </c>
      <c r="G53" s="555">
        <v>0</v>
      </c>
      <c r="H53" s="556">
        <v>4366709</v>
      </c>
      <c r="I53" s="144">
        <v>0</v>
      </c>
      <c r="J53" s="556">
        <v>3741689</v>
      </c>
      <c r="K53" s="557">
        <v>625020</v>
      </c>
    </row>
    <row r="54" spans="1:11" ht="18" customHeight="1" x14ac:dyDescent="0.4">
      <c r="A54" s="183" t="s">
        <v>93</v>
      </c>
      <c r="B54" s="503"/>
      <c r="C54" s="504"/>
      <c r="D54" s="505"/>
      <c r="F54" s="555"/>
      <c r="G54" s="555"/>
      <c r="H54" s="556"/>
      <c r="I54" s="144"/>
      <c r="J54" s="556"/>
      <c r="K54" s="557"/>
    </row>
    <row r="55" spans="1:11" ht="18" customHeight="1" x14ac:dyDescent="0.4">
      <c r="A55" s="183" t="s">
        <v>94</v>
      </c>
      <c r="B55" s="980"/>
      <c r="C55" s="974"/>
      <c r="D55" s="975"/>
      <c r="F55" s="555"/>
      <c r="G55" s="555"/>
      <c r="H55" s="556"/>
      <c r="I55" s="144"/>
      <c r="J55" s="556"/>
      <c r="K55" s="557"/>
    </row>
    <row r="56" spans="1:11" ht="18" customHeight="1" x14ac:dyDescent="0.4">
      <c r="A56" s="183" t="s">
        <v>95</v>
      </c>
      <c r="B56" s="980"/>
      <c r="C56" s="974"/>
      <c r="D56" s="975"/>
      <c r="F56" s="555"/>
      <c r="G56" s="555"/>
      <c r="H56" s="556"/>
      <c r="I56" s="144"/>
      <c r="J56" s="556"/>
      <c r="K56" s="557"/>
    </row>
    <row r="57" spans="1:11" ht="18" customHeight="1" x14ac:dyDescent="0.4">
      <c r="A57" s="183" t="s">
        <v>96</v>
      </c>
      <c r="B57" s="980" t="s">
        <v>590</v>
      </c>
      <c r="C57" s="974"/>
      <c r="D57" s="975"/>
      <c r="F57" s="555">
        <v>0</v>
      </c>
      <c r="G57" s="555">
        <v>0</v>
      </c>
      <c r="H57" s="556">
        <v>5763702</v>
      </c>
      <c r="I57" s="144">
        <v>0</v>
      </c>
      <c r="J57" s="556">
        <v>4060178</v>
      </c>
      <c r="K57" s="557">
        <v>1703524</v>
      </c>
    </row>
    <row r="58" spans="1:11" ht="18" customHeight="1" x14ac:dyDescent="0.4">
      <c r="A58" s="183" t="s">
        <v>97</v>
      </c>
      <c r="B58" s="503"/>
      <c r="C58" s="504"/>
      <c r="D58" s="505"/>
      <c r="F58" s="555"/>
      <c r="G58" s="555"/>
      <c r="H58" s="556"/>
      <c r="I58" s="144"/>
      <c r="J58" s="556"/>
      <c r="K58" s="557"/>
    </row>
    <row r="59" spans="1:11" ht="18" customHeight="1" x14ac:dyDescent="0.4">
      <c r="A59" s="183" t="s">
        <v>98</v>
      </c>
      <c r="B59" s="980" t="s">
        <v>591</v>
      </c>
      <c r="C59" s="974"/>
      <c r="D59" s="975"/>
      <c r="F59" s="555">
        <v>0</v>
      </c>
      <c r="G59" s="555">
        <v>0</v>
      </c>
      <c r="H59" s="556">
        <v>295808</v>
      </c>
      <c r="I59" s="144">
        <v>0</v>
      </c>
      <c r="J59" s="556">
        <v>98026</v>
      </c>
      <c r="K59" s="557">
        <v>197782</v>
      </c>
    </row>
    <row r="60" spans="1:11" ht="18" customHeight="1" x14ac:dyDescent="0.4">
      <c r="A60" s="183" t="s">
        <v>99</v>
      </c>
      <c r="B60" s="503"/>
      <c r="C60" s="504"/>
      <c r="D60" s="505"/>
      <c r="F60" s="555"/>
      <c r="G60" s="555"/>
      <c r="H60" s="556"/>
      <c r="I60" s="144"/>
      <c r="J60" s="556"/>
      <c r="K60" s="557"/>
    </row>
    <row r="61" spans="1:11" ht="18" customHeight="1" x14ac:dyDescent="0.4">
      <c r="A61" s="183" t="s">
        <v>100</v>
      </c>
      <c r="B61" s="503"/>
      <c r="C61" s="504"/>
      <c r="D61" s="505"/>
      <c r="F61" s="555"/>
      <c r="G61" s="555"/>
      <c r="H61" s="556"/>
      <c r="I61" s="144"/>
      <c r="J61" s="556"/>
      <c r="K61" s="557"/>
    </row>
    <row r="62" spans="1:11" ht="18" customHeight="1" x14ac:dyDescent="0.4">
      <c r="A62" s="183" t="s">
        <v>101</v>
      </c>
      <c r="B62" s="980"/>
      <c r="C62" s="974"/>
      <c r="D62" s="975"/>
      <c r="F62" s="555"/>
      <c r="G62" s="555"/>
      <c r="H62" s="556"/>
      <c r="I62" s="144"/>
      <c r="J62" s="556"/>
      <c r="K62" s="557"/>
    </row>
    <row r="63" spans="1:11" ht="18" customHeight="1" x14ac:dyDescent="0.4">
      <c r="A63" s="183"/>
      <c r="I63" s="140"/>
    </row>
    <row r="64" spans="1:11" ht="18" customHeight="1" x14ac:dyDescent="0.4">
      <c r="A64" s="183" t="s">
        <v>144</v>
      </c>
      <c r="B64" s="117" t="s">
        <v>145</v>
      </c>
      <c r="E64" s="117" t="s">
        <v>7</v>
      </c>
      <c r="F64" s="560">
        <v>0</v>
      </c>
      <c r="G64" s="560">
        <v>0</v>
      </c>
      <c r="H64" s="557">
        <v>10426219</v>
      </c>
      <c r="I64" s="557">
        <v>0</v>
      </c>
      <c r="J64" s="557">
        <v>7899893</v>
      </c>
      <c r="K64" s="557">
        <v>2526326</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v>0</v>
      </c>
    </row>
    <row r="69" spans="1:11" ht="18" customHeight="1" x14ac:dyDescent="0.4">
      <c r="A69" s="183" t="s">
        <v>104</v>
      </c>
      <c r="B69" s="116" t="s">
        <v>53</v>
      </c>
      <c r="F69" s="564"/>
      <c r="G69" s="564"/>
      <c r="H69" s="564"/>
      <c r="I69" s="144">
        <v>0</v>
      </c>
      <c r="J69" s="564"/>
      <c r="K69" s="557">
        <v>0</v>
      </c>
    </row>
    <row r="70" spans="1:11" ht="18" customHeight="1" x14ac:dyDescent="0.4">
      <c r="A70" s="183" t="s">
        <v>178</v>
      </c>
      <c r="B70" s="503"/>
      <c r="C70" s="504"/>
      <c r="D70" s="505"/>
      <c r="E70" s="117"/>
      <c r="F70" s="131"/>
      <c r="G70" s="131"/>
      <c r="H70" s="132"/>
      <c r="I70" s="144">
        <v>0</v>
      </c>
      <c r="J70" s="132"/>
      <c r="K70" s="557">
        <v>0</v>
      </c>
    </row>
    <row r="71" spans="1:11" ht="18" customHeight="1" x14ac:dyDescent="0.4">
      <c r="A71" s="183" t="s">
        <v>179</v>
      </c>
      <c r="B71" s="503"/>
      <c r="C71" s="504"/>
      <c r="D71" s="505"/>
      <c r="E71" s="117"/>
      <c r="F71" s="131"/>
      <c r="G71" s="131"/>
      <c r="H71" s="132"/>
      <c r="I71" s="144">
        <v>0</v>
      </c>
      <c r="J71" s="132"/>
      <c r="K71" s="557">
        <v>0</v>
      </c>
    </row>
    <row r="72" spans="1:11" ht="18" customHeight="1" x14ac:dyDescent="0.4">
      <c r="A72" s="183" t="s">
        <v>180</v>
      </c>
      <c r="B72" s="510"/>
      <c r="C72" s="508"/>
      <c r="D72" s="130"/>
      <c r="E72" s="117"/>
      <c r="F72" s="555"/>
      <c r="G72" s="555"/>
      <c r="H72" s="556"/>
      <c r="I72" s="144">
        <v>0</v>
      </c>
      <c r="J72" s="556"/>
      <c r="K72" s="557">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v>0</v>
      </c>
      <c r="G74" s="566">
        <v>0</v>
      </c>
      <c r="H74" s="566">
        <v>0</v>
      </c>
      <c r="I74" s="145">
        <v>0</v>
      </c>
      <c r="J74" s="566">
        <v>0</v>
      </c>
      <c r="K74" s="56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v>0</v>
      </c>
      <c r="G77" s="555">
        <v>108</v>
      </c>
      <c r="H77" s="556">
        <v>164262</v>
      </c>
      <c r="I77" s="144">
        <v>0</v>
      </c>
      <c r="J77" s="556">
        <v>0</v>
      </c>
      <c r="K77" s="557">
        <v>164262</v>
      </c>
    </row>
    <row r="78" spans="1:11" ht="18" customHeight="1" x14ac:dyDescent="0.4">
      <c r="A78" s="183" t="s">
        <v>108</v>
      </c>
      <c r="B78" s="116" t="s">
        <v>55</v>
      </c>
      <c r="F78" s="555"/>
      <c r="G78" s="555"/>
      <c r="H78" s="556"/>
      <c r="I78" s="144"/>
      <c r="J78" s="556"/>
      <c r="K78" s="557"/>
    </row>
    <row r="79" spans="1:11" ht="18" customHeight="1" x14ac:dyDescent="0.4">
      <c r="A79" s="183" t="s">
        <v>109</v>
      </c>
      <c r="B79" s="116" t="s">
        <v>13</v>
      </c>
      <c r="F79" s="555">
        <v>654</v>
      </c>
      <c r="G79" s="555">
        <v>585</v>
      </c>
      <c r="H79" s="556">
        <v>55941</v>
      </c>
      <c r="I79" s="144">
        <v>4075</v>
      </c>
      <c r="J79" s="556">
        <v>0</v>
      </c>
      <c r="K79" s="557">
        <v>60016</v>
      </c>
    </row>
    <row r="80" spans="1:11" ht="18" customHeight="1" x14ac:dyDescent="0.4">
      <c r="A80" s="183" t="s">
        <v>110</v>
      </c>
      <c r="B80" s="116" t="s">
        <v>56</v>
      </c>
      <c r="F80" s="555"/>
      <c r="G80" s="555"/>
      <c r="H80" s="556"/>
      <c r="I80" s="144"/>
      <c r="J80" s="556"/>
      <c r="K80" s="557"/>
    </row>
    <row r="81" spans="1:11" ht="18" customHeight="1" x14ac:dyDescent="0.4">
      <c r="A81" s="183"/>
      <c r="K81" s="568"/>
    </row>
    <row r="82" spans="1:11" ht="18" customHeight="1" x14ac:dyDescent="0.4">
      <c r="A82" s="183" t="s">
        <v>148</v>
      </c>
      <c r="B82" s="117" t="s">
        <v>149</v>
      </c>
      <c r="E82" s="117" t="s">
        <v>7</v>
      </c>
      <c r="F82" s="639">
        <v>654</v>
      </c>
      <c r="G82" s="639">
        <v>693</v>
      </c>
      <c r="H82" s="567">
        <v>220203</v>
      </c>
      <c r="I82" s="567">
        <v>4075</v>
      </c>
      <c r="J82" s="567">
        <v>0</v>
      </c>
      <c r="K82" s="567">
        <v>224278</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c r="J86" s="556"/>
      <c r="K86" s="557"/>
    </row>
    <row r="87" spans="1:11" ht="18" customHeight="1" x14ac:dyDescent="0.4">
      <c r="A87" s="183" t="s">
        <v>114</v>
      </c>
      <c r="B87" s="116" t="s">
        <v>14</v>
      </c>
      <c r="F87" s="555"/>
      <c r="G87" s="555"/>
      <c r="H87" s="556"/>
      <c r="I87" s="144"/>
      <c r="J87" s="556"/>
      <c r="K87" s="557"/>
    </row>
    <row r="88" spans="1:11" ht="18" customHeight="1" x14ac:dyDescent="0.4">
      <c r="A88" s="183" t="s">
        <v>115</v>
      </c>
      <c r="B88" s="116" t="s">
        <v>116</v>
      </c>
      <c r="F88" s="555">
        <v>900</v>
      </c>
      <c r="G88" s="555">
        <v>0</v>
      </c>
      <c r="H88" s="556">
        <v>23109</v>
      </c>
      <c r="I88" s="144">
        <v>20960</v>
      </c>
      <c r="J88" s="556">
        <v>0</v>
      </c>
      <c r="K88" s="557">
        <v>44069</v>
      </c>
    </row>
    <row r="89" spans="1:11" ht="18" customHeight="1" x14ac:dyDescent="0.4">
      <c r="A89" s="183" t="s">
        <v>117</v>
      </c>
      <c r="B89" s="116" t="s">
        <v>58</v>
      </c>
      <c r="F89" s="555"/>
      <c r="G89" s="555"/>
      <c r="H89" s="556"/>
      <c r="I89" s="144"/>
      <c r="J89" s="556"/>
      <c r="K89" s="557"/>
    </row>
    <row r="90" spans="1:11" ht="18" customHeight="1" x14ac:dyDescent="0.4">
      <c r="A90" s="183" t="s">
        <v>118</v>
      </c>
      <c r="B90" s="956" t="s">
        <v>59</v>
      </c>
      <c r="C90" s="957"/>
      <c r="F90" s="555"/>
      <c r="G90" s="555"/>
      <c r="H90" s="556"/>
      <c r="I90" s="144"/>
      <c r="J90" s="556"/>
      <c r="K90" s="557"/>
    </row>
    <row r="91" spans="1:11" ht="18" customHeight="1" x14ac:dyDescent="0.4">
      <c r="A91" s="183" t="s">
        <v>119</v>
      </c>
      <c r="B91" s="116" t="s">
        <v>60</v>
      </c>
      <c r="F91" s="555">
        <v>157</v>
      </c>
      <c r="G91" s="555">
        <v>0</v>
      </c>
      <c r="H91" s="556">
        <v>11788</v>
      </c>
      <c r="I91" s="144">
        <v>471</v>
      </c>
      <c r="J91" s="556">
        <v>0</v>
      </c>
      <c r="K91" s="557">
        <v>12259</v>
      </c>
    </row>
    <row r="92" spans="1:11" ht="18" customHeight="1" x14ac:dyDescent="0.4">
      <c r="A92" s="183" t="s">
        <v>120</v>
      </c>
      <c r="B92" s="116" t="s">
        <v>121</v>
      </c>
      <c r="F92" s="134">
        <v>49.5</v>
      </c>
      <c r="G92" s="134">
        <v>0</v>
      </c>
      <c r="H92" s="135">
        <v>29242</v>
      </c>
      <c r="I92" s="144">
        <v>2590</v>
      </c>
      <c r="J92" s="135">
        <v>0</v>
      </c>
      <c r="K92" s="557">
        <v>31832</v>
      </c>
    </row>
    <row r="93" spans="1:11" ht="18" customHeight="1" x14ac:dyDescent="0.4">
      <c r="A93" s="183" t="s">
        <v>122</v>
      </c>
      <c r="B93" s="116" t="s">
        <v>123</v>
      </c>
      <c r="F93" s="555">
        <v>51.8</v>
      </c>
      <c r="G93" s="555">
        <v>30</v>
      </c>
      <c r="H93" s="556">
        <v>3255</v>
      </c>
      <c r="I93" s="144">
        <v>0</v>
      </c>
      <c r="J93" s="556">
        <v>0</v>
      </c>
      <c r="K93" s="557">
        <v>3255</v>
      </c>
    </row>
    <row r="94" spans="1:11" ht="18" customHeight="1" x14ac:dyDescent="0.4">
      <c r="A94" s="183" t="s">
        <v>124</v>
      </c>
      <c r="B94" s="980"/>
      <c r="C94" s="974"/>
      <c r="D94" s="975"/>
      <c r="F94" s="555"/>
      <c r="G94" s="555"/>
      <c r="H94" s="556"/>
      <c r="I94" s="144"/>
      <c r="J94" s="556"/>
      <c r="K94" s="557"/>
    </row>
    <row r="95" spans="1:11" ht="18" customHeight="1" x14ac:dyDescent="0.4">
      <c r="A95" s="183" t="s">
        <v>125</v>
      </c>
      <c r="B95" s="980"/>
      <c r="C95" s="974"/>
      <c r="D95" s="975"/>
      <c r="F95" s="555"/>
      <c r="G95" s="555"/>
      <c r="H95" s="556"/>
      <c r="I95" s="144"/>
      <c r="J95" s="556"/>
      <c r="K95" s="557"/>
    </row>
    <row r="96" spans="1:11" ht="18" customHeight="1" x14ac:dyDescent="0.4">
      <c r="A96" s="183" t="s">
        <v>126</v>
      </c>
      <c r="B96" s="980"/>
      <c r="C96" s="974"/>
      <c r="D96" s="975"/>
      <c r="F96" s="555"/>
      <c r="G96" s="555"/>
      <c r="H96" s="556"/>
      <c r="I96" s="144"/>
      <c r="J96" s="556"/>
      <c r="K96" s="557"/>
    </row>
    <row r="97" spans="1:11" ht="18" customHeight="1" x14ac:dyDescent="0.4">
      <c r="A97" s="183"/>
      <c r="B97" s="116"/>
    </row>
    <row r="98" spans="1:11" ht="18" customHeight="1" x14ac:dyDescent="0.4">
      <c r="A98" s="120" t="s">
        <v>150</v>
      </c>
      <c r="B98" s="117" t="s">
        <v>151</v>
      </c>
      <c r="E98" s="117" t="s">
        <v>7</v>
      </c>
      <c r="F98" s="560">
        <v>1158.3</v>
      </c>
      <c r="G98" s="560">
        <v>30</v>
      </c>
      <c r="H98" s="560">
        <v>67394</v>
      </c>
      <c r="I98" s="560">
        <v>24021</v>
      </c>
      <c r="J98" s="560">
        <v>0</v>
      </c>
      <c r="K98" s="560">
        <v>91415</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0</v>
      </c>
      <c r="G102" s="555">
        <v>0</v>
      </c>
      <c r="H102" s="556">
        <v>82118</v>
      </c>
      <c r="I102" s="144">
        <v>28116</v>
      </c>
      <c r="J102" s="556">
        <v>0</v>
      </c>
      <c r="K102" s="557">
        <v>110234</v>
      </c>
    </row>
    <row r="103" spans="1:11" ht="18" customHeight="1" x14ac:dyDescent="0.4">
      <c r="A103" s="183" t="s">
        <v>132</v>
      </c>
      <c r="B103" s="956" t="s">
        <v>62</v>
      </c>
      <c r="C103" s="956"/>
      <c r="F103" s="555"/>
      <c r="G103" s="555"/>
      <c r="H103" s="556"/>
      <c r="I103" s="144"/>
      <c r="J103" s="556"/>
      <c r="K103" s="557"/>
    </row>
    <row r="104" spans="1:11" ht="18" customHeight="1" x14ac:dyDescent="0.4">
      <c r="A104" s="183" t="s">
        <v>128</v>
      </c>
      <c r="B104" s="980"/>
      <c r="C104" s="974"/>
      <c r="D104" s="975"/>
      <c r="F104" s="555"/>
      <c r="G104" s="555"/>
      <c r="H104" s="556"/>
      <c r="I104" s="144"/>
      <c r="J104" s="556"/>
      <c r="K104" s="557"/>
    </row>
    <row r="105" spans="1:11" ht="18" customHeight="1" x14ac:dyDescent="0.4">
      <c r="A105" s="183" t="s">
        <v>127</v>
      </c>
      <c r="B105" s="980"/>
      <c r="C105" s="974"/>
      <c r="D105" s="975"/>
      <c r="F105" s="555"/>
      <c r="G105" s="555"/>
      <c r="H105" s="556"/>
      <c r="I105" s="144"/>
      <c r="J105" s="556"/>
      <c r="K105" s="557"/>
    </row>
    <row r="106" spans="1:11" ht="18" customHeight="1" x14ac:dyDescent="0.4">
      <c r="A106" s="183" t="s">
        <v>129</v>
      </c>
      <c r="B106" s="980"/>
      <c r="C106" s="974"/>
      <c r="D106" s="975"/>
      <c r="F106" s="555"/>
      <c r="G106" s="555"/>
      <c r="H106" s="556"/>
      <c r="I106" s="144"/>
      <c r="J106" s="556"/>
      <c r="K106" s="557"/>
    </row>
    <row r="107" spans="1:11" ht="18" customHeight="1" x14ac:dyDescent="0.4">
      <c r="B107" s="117"/>
      <c r="H107" s="185"/>
    </row>
    <row r="108" spans="1:11" s="123" customFormat="1" ht="18" customHeight="1" x14ac:dyDescent="0.4">
      <c r="A108" s="120" t="s">
        <v>153</v>
      </c>
      <c r="B108" s="153" t="s">
        <v>154</v>
      </c>
      <c r="C108" s="189"/>
      <c r="D108" s="189"/>
      <c r="E108" s="117" t="s">
        <v>7</v>
      </c>
      <c r="F108" s="560">
        <v>0</v>
      </c>
      <c r="G108" s="560">
        <v>0</v>
      </c>
      <c r="H108" s="557">
        <v>82118</v>
      </c>
      <c r="I108" s="557">
        <v>28116</v>
      </c>
      <c r="J108" s="557">
        <v>0</v>
      </c>
      <c r="K108" s="557">
        <v>110234</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2495103.73</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640">
        <v>0.90659999999999996</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166033301</v>
      </c>
    </row>
    <row r="118" spans="1:6" ht="18" customHeight="1" x14ac:dyDescent="0.4">
      <c r="A118" s="183" t="s">
        <v>173</v>
      </c>
      <c r="B118" s="189" t="s">
        <v>18</v>
      </c>
      <c r="F118" s="556">
        <v>3352680</v>
      </c>
    </row>
    <row r="119" spans="1:6" ht="18" customHeight="1" x14ac:dyDescent="0.4">
      <c r="A119" s="183" t="s">
        <v>174</v>
      </c>
      <c r="B119" s="117" t="s">
        <v>19</v>
      </c>
      <c r="F119" s="567">
        <v>169385981</v>
      </c>
    </row>
    <row r="120" spans="1:6" ht="18" customHeight="1" x14ac:dyDescent="0.4">
      <c r="A120" s="183"/>
      <c r="B120" s="117"/>
    </row>
    <row r="121" spans="1:6" ht="18" customHeight="1" x14ac:dyDescent="0.4">
      <c r="A121" s="183" t="s">
        <v>167</v>
      </c>
      <c r="B121" s="117" t="s">
        <v>36</v>
      </c>
      <c r="F121" s="556">
        <v>164980014</v>
      </c>
    </row>
    <row r="122" spans="1:6" ht="18" customHeight="1" x14ac:dyDescent="0.4">
      <c r="A122" s="183"/>
    </row>
    <row r="123" spans="1:6" ht="18" customHeight="1" x14ac:dyDescent="0.4">
      <c r="A123" s="183" t="s">
        <v>175</v>
      </c>
      <c r="B123" s="117" t="s">
        <v>20</v>
      </c>
      <c r="F123" s="556">
        <v>4405967</v>
      </c>
    </row>
    <row r="124" spans="1:6" ht="18" customHeight="1" x14ac:dyDescent="0.4">
      <c r="A124" s="183"/>
    </row>
    <row r="125" spans="1:6" ht="18" customHeight="1" x14ac:dyDescent="0.4">
      <c r="A125" s="183" t="s">
        <v>176</v>
      </c>
      <c r="B125" s="117" t="s">
        <v>21</v>
      </c>
      <c r="F125" s="556">
        <v>257220</v>
      </c>
    </row>
    <row r="126" spans="1:6" ht="18" customHeight="1" x14ac:dyDescent="0.4">
      <c r="A126" s="183"/>
    </row>
    <row r="127" spans="1:6" ht="18" customHeight="1" x14ac:dyDescent="0.4">
      <c r="A127" s="183" t="s">
        <v>177</v>
      </c>
      <c r="B127" s="117" t="s">
        <v>22</v>
      </c>
      <c r="F127" s="556">
        <v>4663187</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v>0</v>
      </c>
    </row>
    <row r="132" spans="1:11" ht="18" customHeight="1" x14ac:dyDescent="0.4">
      <c r="A132" s="183" t="s">
        <v>159</v>
      </c>
      <c r="B132" s="189" t="s">
        <v>25</v>
      </c>
      <c r="F132" s="555"/>
      <c r="G132" s="555"/>
      <c r="H132" s="556"/>
      <c r="I132" s="144">
        <v>0</v>
      </c>
      <c r="J132" s="556"/>
      <c r="K132" s="557">
        <v>0</v>
      </c>
    </row>
    <row r="133" spans="1:11" ht="18" customHeight="1" x14ac:dyDescent="0.4">
      <c r="A133" s="183" t="s">
        <v>160</v>
      </c>
      <c r="B133" s="951"/>
      <c r="C133" s="952"/>
      <c r="D133" s="953"/>
      <c r="F133" s="555"/>
      <c r="G133" s="555"/>
      <c r="H133" s="556"/>
      <c r="I133" s="144">
        <v>0</v>
      </c>
      <c r="J133" s="556"/>
      <c r="K133" s="557">
        <v>0</v>
      </c>
    </row>
    <row r="134" spans="1:11" ht="18" customHeight="1" x14ac:dyDescent="0.4">
      <c r="A134" s="183" t="s">
        <v>161</v>
      </c>
      <c r="B134" s="951"/>
      <c r="C134" s="952"/>
      <c r="D134" s="953"/>
      <c r="F134" s="555"/>
      <c r="G134" s="555"/>
      <c r="H134" s="556"/>
      <c r="I134" s="144">
        <v>0</v>
      </c>
      <c r="J134" s="556"/>
      <c r="K134" s="557">
        <v>0</v>
      </c>
    </row>
    <row r="135" spans="1:11" ht="18" customHeight="1" x14ac:dyDescent="0.4">
      <c r="A135" s="183" t="s">
        <v>162</v>
      </c>
      <c r="B135" s="951"/>
      <c r="C135" s="952"/>
      <c r="D135" s="953"/>
      <c r="F135" s="555"/>
      <c r="G135" s="555"/>
      <c r="H135" s="556"/>
      <c r="I135" s="144">
        <v>0</v>
      </c>
      <c r="J135" s="556"/>
      <c r="K135" s="557">
        <v>0</v>
      </c>
    </row>
    <row r="136" spans="1:11" ht="18" customHeight="1" x14ac:dyDescent="0.4">
      <c r="A136" s="120"/>
    </row>
    <row r="137" spans="1:11" ht="18" customHeight="1" x14ac:dyDescent="0.4">
      <c r="A137" s="120" t="s">
        <v>163</v>
      </c>
      <c r="B137" s="117" t="s">
        <v>27</v>
      </c>
      <c r="F137" s="560">
        <v>0</v>
      </c>
      <c r="G137" s="560">
        <v>0</v>
      </c>
      <c r="H137" s="557">
        <v>0</v>
      </c>
      <c r="I137" s="557">
        <v>0</v>
      </c>
      <c r="J137" s="557">
        <v>0</v>
      </c>
      <c r="K137" s="557">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v>3084.1</v>
      </c>
      <c r="G141" s="136">
        <v>30763</v>
      </c>
      <c r="H141" s="136">
        <v>328257</v>
      </c>
      <c r="I141" s="136">
        <v>128971</v>
      </c>
      <c r="J141" s="136">
        <v>21769</v>
      </c>
      <c r="K141" s="136">
        <v>435459</v>
      </c>
    </row>
    <row r="142" spans="1:11" ht="18" customHeight="1" x14ac:dyDescent="0.4">
      <c r="A142" s="183" t="s">
        <v>142</v>
      </c>
      <c r="B142" s="117" t="s">
        <v>65</v>
      </c>
      <c r="F142" s="136">
        <v>2048.8000000000002</v>
      </c>
      <c r="G142" s="136">
        <v>228</v>
      </c>
      <c r="H142" s="136">
        <v>87134</v>
      </c>
      <c r="I142" s="136">
        <v>78026</v>
      </c>
      <c r="J142" s="136">
        <v>0</v>
      </c>
      <c r="K142" s="136">
        <v>165160</v>
      </c>
    </row>
    <row r="143" spans="1:11" ht="18" customHeight="1" x14ac:dyDescent="0.4">
      <c r="A143" s="183" t="s">
        <v>144</v>
      </c>
      <c r="B143" s="117" t="s">
        <v>66</v>
      </c>
      <c r="F143" s="136">
        <v>0</v>
      </c>
      <c r="G143" s="136">
        <v>0</v>
      </c>
      <c r="H143" s="136">
        <v>10426219</v>
      </c>
      <c r="I143" s="136">
        <v>0</v>
      </c>
      <c r="J143" s="136">
        <v>7899893</v>
      </c>
      <c r="K143" s="136">
        <v>2526326</v>
      </c>
    </row>
    <row r="144" spans="1:11" ht="18" customHeight="1" x14ac:dyDescent="0.4">
      <c r="A144" s="183" t="s">
        <v>146</v>
      </c>
      <c r="B144" s="117" t="s">
        <v>67</v>
      </c>
      <c r="F144" s="136">
        <v>0</v>
      </c>
      <c r="G144" s="136">
        <v>0</v>
      </c>
      <c r="H144" s="136">
        <v>0</v>
      </c>
      <c r="I144" s="136">
        <v>0</v>
      </c>
      <c r="J144" s="136">
        <v>0</v>
      </c>
      <c r="K144" s="136">
        <v>0</v>
      </c>
    </row>
    <row r="145" spans="1:11" ht="18" customHeight="1" x14ac:dyDescent="0.4">
      <c r="A145" s="183" t="s">
        <v>148</v>
      </c>
      <c r="B145" s="117" t="s">
        <v>68</v>
      </c>
      <c r="F145" s="136">
        <v>654</v>
      </c>
      <c r="G145" s="136">
        <v>693</v>
      </c>
      <c r="H145" s="136">
        <v>220203</v>
      </c>
      <c r="I145" s="136">
        <v>4075</v>
      </c>
      <c r="J145" s="136">
        <v>0</v>
      </c>
      <c r="K145" s="136">
        <v>224278</v>
      </c>
    </row>
    <row r="146" spans="1:11" ht="18" customHeight="1" x14ac:dyDescent="0.4">
      <c r="A146" s="183" t="s">
        <v>150</v>
      </c>
      <c r="B146" s="117" t="s">
        <v>69</v>
      </c>
      <c r="F146" s="136">
        <v>1158.3</v>
      </c>
      <c r="G146" s="136">
        <v>30</v>
      </c>
      <c r="H146" s="136">
        <v>67394</v>
      </c>
      <c r="I146" s="136">
        <v>24021</v>
      </c>
      <c r="J146" s="136">
        <v>0</v>
      </c>
      <c r="K146" s="136">
        <v>91415</v>
      </c>
    </row>
    <row r="147" spans="1:11" ht="18" customHeight="1" x14ac:dyDescent="0.4">
      <c r="A147" s="183" t="s">
        <v>153</v>
      </c>
      <c r="B147" s="117" t="s">
        <v>61</v>
      </c>
      <c r="F147" s="560">
        <v>0</v>
      </c>
      <c r="G147" s="560">
        <v>0</v>
      </c>
      <c r="H147" s="560">
        <v>82118</v>
      </c>
      <c r="I147" s="560">
        <v>28116</v>
      </c>
      <c r="J147" s="560">
        <v>0</v>
      </c>
      <c r="K147" s="560">
        <v>110234</v>
      </c>
    </row>
    <row r="148" spans="1:11" ht="18" customHeight="1" x14ac:dyDescent="0.4">
      <c r="A148" s="183" t="s">
        <v>155</v>
      </c>
      <c r="B148" s="117" t="s">
        <v>70</v>
      </c>
      <c r="F148" s="641"/>
      <c r="G148" s="641"/>
      <c r="H148" s="642"/>
      <c r="I148" s="642"/>
      <c r="J148" s="642"/>
      <c r="K148" s="133">
        <v>2495103.73</v>
      </c>
    </row>
    <row r="149" spans="1:11" ht="18" customHeight="1" x14ac:dyDescent="0.4">
      <c r="A149" s="183" t="s">
        <v>163</v>
      </c>
      <c r="B149" s="117" t="s">
        <v>71</v>
      </c>
      <c r="F149" s="643">
        <v>0</v>
      </c>
      <c r="G149" s="643">
        <v>0</v>
      </c>
      <c r="H149" s="643">
        <v>0</v>
      </c>
      <c r="I149" s="643">
        <v>0</v>
      </c>
      <c r="J149" s="643">
        <v>0</v>
      </c>
      <c r="K149" s="560">
        <v>0</v>
      </c>
    </row>
    <row r="150" spans="1:11" ht="18" customHeight="1" x14ac:dyDescent="0.4">
      <c r="A150" s="183" t="s">
        <v>185</v>
      </c>
      <c r="B150" s="117" t="s">
        <v>186</v>
      </c>
      <c r="F150" s="641" t="s">
        <v>73</v>
      </c>
      <c r="G150" s="641" t="s">
        <v>73</v>
      </c>
      <c r="H150" s="282">
        <v>3491002</v>
      </c>
      <c r="I150" s="282">
        <v>0</v>
      </c>
      <c r="J150" s="282">
        <v>2902165</v>
      </c>
      <c r="K150" s="282">
        <v>588837</v>
      </c>
    </row>
    <row r="151" spans="1:11" ht="18" customHeight="1" x14ac:dyDescent="0.4">
      <c r="B151" s="117"/>
      <c r="F151" s="142"/>
      <c r="G151" s="142"/>
      <c r="H151" s="142"/>
      <c r="I151" s="142"/>
      <c r="J151" s="142"/>
      <c r="K151" s="142"/>
    </row>
    <row r="152" spans="1:11" ht="18" customHeight="1" x14ac:dyDescent="0.4">
      <c r="A152" s="120" t="s">
        <v>165</v>
      </c>
      <c r="B152" s="117" t="s">
        <v>26</v>
      </c>
      <c r="F152" s="143">
        <v>6945.2</v>
      </c>
      <c r="G152" s="143">
        <v>31714</v>
      </c>
      <c r="H152" s="143">
        <v>14702327</v>
      </c>
      <c r="I152" s="143">
        <v>263209</v>
      </c>
      <c r="J152" s="143">
        <v>10823827</v>
      </c>
      <c r="K152" s="143">
        <v>6636812.7300000004</v>
      </c>
    </row>
    <row r="154" spans="1:11" ht="18" customHeight="1" x14ac:dyDescent="0.4">
      <c r="A154" s="120" t="s">
        <v>168</v>
      </c>
      <c r="B154" s="117" t="s">
        <v>28</v>
      </c>
      <c r="F154" s="571">
        <v>4.0227980160069572E-2</v>
      </c>
    </row>
    <row r="155" spans="1:11" ht="18" customHeight="1" x14ac:dyDescent="0.4">
      <c r="A155" s="120" t="s">
        <v>169</v>
      </c>
      <c r="B155" s="117" t="s">
        <v>72</v>
      </c>
      <c r="F155" s="571">
        <v>1.4232353817249876</v>
      </c>
      <c r="G155" s="117"/>
    </row>
    <row r="156" spans="1:11" ht="18" customHeight="1" x14ac:dyDescent="0.4">
      <c r="G156" s="117"/>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pageMargins left="0.7" right="0.7" top="0.75" bottom="0.75" header="0.3" footer="0.3"/>
  <pageSetup paperSize="5"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156"/>
  <sheetViews>
    <sheetView showGridLines="0" zoomScale="80" zoomScaleNormal="80" zoomScaleSheetLayoutView="80" workbookViewId="0">
      <selection activeCell="A2" sqref="A2"/>
    </sheetView>
  </sheetViews>
  <sheetFormatPr defaultColWidth="9" defaultRowHeight="18" customHeight="1" x14ac:dyDescent="0.35"/>
  <cols>
    <col min="1" max="1" width="8.265625" style="115" customWidth="1"/>
    <col min="2" max="2" width="54.73046875" style="189"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2" ht="18" customHeight="1" x14ac:dyDescent="0.4">
      <c r="C1" s="119"/>
      <c r="D1" s="118"/>
      <c r="E1" s="119"/>
      <c r="F1" s="119"/>
      <c r="G1" s="119"/>
      <c r="H1" s="119"/>
      <c r="I1" s="119"/>
      <c r="J1" s="119"/>
      <c r="K1" s="119"/>
    </row>
    <row r="2" spans="1:12" ht="18" customHeight="1" x14ac:dyDescent="0.4">
      <c r="D2" s="949" t="s">
        <v>700</v>
      </c>
      <c r="E2" s="950"/>
      <c r="F2" s="950"/>
      <c r="G2" s="950"/>
      <c r="H2" s="950"/>
    </row>
    <row r="3" spans="1:12" ht="18" customHeight="1" x14ac:dyDescent="0.4">
      <c r="B3" s="117" t="s">
        <v>0</v>
      </c>
    </row>
    <row r="5" spans="1:12" ht="18" customHeight="1" x14ac:dyDescent="0.4">
      <c r="B5" s="183" t="s">
        <v>40</v>
      </c>
      <c r="C5" s="961" t="s">
        <v>428</v>
      </c>
      <c r="D5" s="962"/>
      <c r="E5" s="962"/>
      <c r="F5" s="962"/>
      <c r="G5" s="963"/>
    </row>
    <row r="6" spans="1:12" ht="18" customHeight="1" x14ac:dyDescent="0.4">
      <c r="B6" s="183" t="s">
        <v>3</v>
      </c>
      <c r="C6" s="964">
        <v>210019</v>
      </c>
      <c r="D6" s="965"/>
      <c r="E6" s="965"/>
      <c r="F6" s="965"/>
      <c r="G6" s="966"/>
    </row>
    <row r="7" spans="1:12" ht="18" customHeight="1" x14ac:dyDescent="0.4">
      <c r="B7" s="183" t="s">
        <v>4</v>
      </c>
      <c r="C7" s="1014">
        <v>2774</v>
      </c>
      <c r="D7" s="1015"/>
      <c r="E7" s="1015"/>
      <c r="F7" s="1015"/>
      <c r="G7" s="1016"/>
      <c r="H7" s="186"/>
    </row>
    <row r="9" spans="1:12" ht="18" customHeight="1" x14ac:dyDescent="0.4">
      <c r="B9" s="183" t="s">
        <v>1</v>
      </c>
      <c r="C9" s="961" t="s">
        <v>625</v>
      </c>
      <c r="D9" s="962"/>
      <c r="E9" s="962"/>
      <c r="F9" s="962"/>
      <c r="G9" s="963"/>
    </row>
    <row r="10" spans="1:12" ht="18" customHeight="1" x14ac:dyDescent="0.4">
      <c r="B10" s="183" t="s">
        <v>2</v>
      </c>
      <c r="C10" s="970" t="s">
        <v>626</v>
      </c>
      <c r="D10" s="971"/>
      <c r="E10" s="971"/>
      <c r="F10" s="971"/>
      <c r="G10" s="972"/>
    </row>
    <row r="11" spans="1:12" ht="18" customHeight="1" x14ac:dyDescent="0.4">
      <c r="B11" s="183" t="s">
        <v>32</v>
      </c>
      <c r="C11" s="954" t="s">
        <v>627</v>
      </c>
      <c r="D11" s="955"/>
      <c r="E11" s="955"/>
      <c r="F11" s="955"/>
      <c r="G11" s="955"/>
    </row>
    <row r="12" spans="1:12" ht="18" customHeight="1" x14ac:dyDescent="0.4">
      <c r="B12" s="183"/>
      <c r="C12" s="183"/>
      <c r="D12" s="183"/>
      <c r="E12" s="183"/>
      <c r="F12" s="183"/>
      <c r="G12" s="183"/>
    </row>
    <row r="13" spans="1:12" ht="24.6" customHeight="1" x14ac:dyDescent="0.35">
      <c r="B13" s="958"/>
      <c r="C13" s="959"/>
      <c r="D13" s="959"/>
      <c r="E13" s="959"/>
      <c r="F13" s="959"/>
      <c r="G13" s="959"/>
      <c r="H13" s="960"/>
      <c r="I13" s="119"/>
    </row>
    <row r="14" spans="1:12" ht="18" customHeight="1" x14ac:dyDescent="0.35">
      <c r="B14" s="121"/>
    </row>
    <row r="15" spans="1:12" ht="18" customHeight="1" x14ac:dyDescent="0.35">
      <c r="B15" s="121"/>
    </row>
    <row r="16" spans="1:12" ht="45" customHeight="1" x14ac:dyDescent="0.4">
      <c r="A16" s="118" t="s">
        <v>181</v>
      </c>
      <c r="B16" s="119"/>
      <c r="C16" s="119"/>
      <c r="D16" s="119"/>
      <c r="E16" s="119"/>
      <c r="F16" s="122" t="s">
        <v>9</v>
      </c>
      <c r="G16" s="122" t="s">
        <v>37</v>
      </c>
      <c r="H16" s="122" t="s">
        <v>29</v>
      </c>
      <c r="I16" s="122" t="s">
        <v>30</v>
      </c>
      <c r="J16" s="122" t="s">
        <v>33</v>
      </c>
      <c r="K16" s="122" t="s">
        <v>34</v>
      </c>
      <c r="L16" s="186"/>
    </row>
    <row r="17" spans="1:12" ht="18" customHeight="1" x14ac:dyDescent="0.4">
      <c r="A17" s="120" t="s">
        <v>184</v>
      </c>
      <c r="B17" s="117" t="s">
        <v>182</v>
      </c>
      <c r="L17" s="186"/>
    </row>
    <row r="18" spans="1:12" ht="18" customHeight="1" x14ac:dyDescent="0.4">
      <c r="A18" s="183" t="s">
        <v>185</v>
      </c>
      <c r="B18" s="116" t="s">
        <v>183</v>
      </c>
      <c r="F18" s="555" t="s">
        <v>73</v>
      </c>
      <c r="G18" s="555" t="s">
        <v>73</v>
      </c>
      <c r="H18" s="556">
        <v>8718641</v>
      </c>
      <c r="I18" s="144">
        <v>0</v>
      </c>
      <c r="J18" s="556">
        <v>7248043</v>
      </c>
      <c r="K18" s="557">
        <f>(H18+I18)-J18</f>
        <v>1470598</v>
      </c>
      <c r="L18" s="186"/>
    </row>
    <row r="19" spans="1:12" ht="45" customHeight="1" x14ac:dyDescent="0.4">
      <c r="A19" s="118" t="s">
        <v>8</v>
      </c>
      <c r="B19" s="119"/>
      <c r="C19" s="119"/>
      <c r="D19" s="119"/>
      <c r="E19" s="119"/>
      <c r="F19" s="122" t="s">
        <v>9</v>
      </c>
      <c r="G19" s="122" t="s">
        <v>37</v>
      </c>
      <c r="H19" s="122" t="s">
        <v>29</v>
      </c>
      <c r="I19" s="122" t="s">
        <v>30</v>
      </c>
      <c r="J19" s="122" t="s">
        <v>33</v>
      </c>
      <c r="K19" s="122" t="s">
        <v>34</v>
      </c>
      <c r="L19" s="186"/>
    </row>
    <row r="20" spans="1:12" ht="18" customHeight="1" x14ac:dyDescent="0.4">
      <c r="A20" s="120" t="s">
        <v>74</v>
      </c>
      <c r="B20" s="117" t="s">
        <v>41</v>
      </c>
      <c r="L20" s="186"/>
    </row>
    <row r="21" spans="1:12" ht="18" customHeight="1" x14ac:dyDescent="0.4">
      <c r="A21" s="183" t="s">
        <v>75</v>
      </c>
      <c r="B21" s="116" t="s">
        <v>42</v>
      </c>
      <c r="F21" s="555">
        <v>2103</v>
      </c>
      <c r="G21" s="555">
        <v>6478</v>
      </c>
      <c r="H21" s="556">
        <v>93360</v>
      </c>
      <c r="I21" s="144">
        <f t="shared" ref="I21:I34" si="0">H21*F$114</f>
        <v>55922.64</v>
      </c>
      <c r="J21" s="556">
        <v>0</v>
      </c>
      <c r="K21" s="557">
        <f t="shared" ref="K21:K34" si="1">(H21+I21)-J21</f>
        <v>149282.64000000001</v>
      </c>
      <c r="L21" s="186"/>
    </row>
    <row r="22" spans="1:12" ht="18" customHeight="1" x14ac:dyDescent="0.4">
      <c r="A22" s="183" t="s">
        <v>76</v>
      </c>
      <c r="B22" s="189" t="s">
        <v>6</v>
      </c>
      <c r="F22" s="555">
        <v>481</v>
      </c>
      <c r="G22" s="555">
        <v>1205</v>
      </c>
      <c r="H22" s="556">
        <v>29432</v>
      </c>
      <c r="I22" s="144">
        <f t="shared" si="0"/>
        <v>17629.768</v>
      </c>
      <c r="J22" s="556">
        <v>0</v>
      </c>
      <c r="K22" s="557">
        <f t="shared" si="1"/>
        <v>47061.767999999996</v>
      </c>
      <c r="L22" s="186"/>
    </row>
    <row r="23" spans="1:12" ht="18" customHeight="1" x14ac:dyDescent="0.4">
      <c r="A23" s="183" t="s">
        <v>77</v>
      </c>
      <c r="B23" s="189" t="s">
        <v>43</v>
      </c>
      <c r="F23" s="555">
        <v>9011</v>
      </c>
      <c r="G23" s="555">
        <v>41101</v>
      </c>
      <c r="H23" s="556">
        <v>372679</v>
      </c>
      <c r="I23" s="144">
        <f t="shared" si="0"/>
        <v>223234.72099999999</v>
      </c>
      <c r="J23" s="556">
        <v>265489</v>
      </c>
      <c r="K23" s="557">
        <f t="shared" si="1"/>
        <v>330424.72100000002</v>
      </c>
      <c r="L23" s="186"/>
    </row>
    <row r="24" spans="1:12" ht="18" customHeight="1" x14ac:dyDescent="0.4">
      <c r="A24" s="183" t="s">
        <v>78</v>
      </c>
      <c r="B24" s="189" t="s">
        <v>44</v>
      </c>
      <c r="F24" s="555">
        <v>0</v>
      </c>
      <c r="G24" s="555">
        <v>0</v>
      </c>
      <c r="H24" s="556">
        <v>0</v>
      </c>
      <c r="I24" s="144">
        <f t="shared" si="0"/>
        <v>0</v>
      </c>
      <c r="J24" s="556">
        <v>0</v>
      </c>
      <c r="K24" s="557">
        <f t="shared" si="1"/>
        <v>0</v>
      </c>
      <c r="L24" s="186"/>
    </row>
    <row r="25" spans="1:12" ht="18" customHeight="1" x14ac:dyDescent="0.4">
      <c r="A25" s="183" t="s">
        <v>79</v>
      </c>
      <c r="B25" s="189" t="s">
        <v>5</v>
      </c>
      <c r="F25" s="555">
        <v>443</v>
      </c>
      <c r="G25" s="555">
        <v>1317</v>
      </c>
      <c r="H25" s="556">
        <v>16104</v>
      </c>
      <c r="I25" s="144">
        <f t="shared" si="0"/>
        <v>9646.2960000000003</v>
      </c>
      <c r="J25" s="556">
        <v>0</v>
      </c>
      <c r="K25" s="557">
        <f t="shared" si="1"/>
        <v>25750.296000000002</v>
      </c>
      <c r="L25" s="186"/>
    </row>
    <row r="26" spans="1:12" ht="18" customHeight="1" x14ac:dyDescent="0.4">
      <c r="A26" s="183" t="s">
        <v>80</v>
      </c>
      <c r="B26" s="189" t="s">
        <v>45</v>
      </c>
      <c r="F26" s="555">
        <v>737</v>
      </c>
      <c r="G26" s="555">
        <v>2604</v>
      </c>
      <c r="H26" s="556">
        <v>75285</v>
      </c>
      <c r="I26" s="144">
        <f t="shared" si="0"/>
        <v>45095.714999999997</v>
      </c>
      <c r="J26" s="556">
        <v>0</v>
      </c>
      <c r="K26" s="557">
        <f t="shared" si="1"/>
        <v>120380.715</v>
      </c>
      <c r="L26" s="186"/>
    </row>
    <row r="27" spans="1:12" ht="18" customHeight="1" x14ac:dyDescent="0.4">
      <c r="A27" s="183" t="s">
        <v>81</v>
      </c>
      <c r="B27" s="189" t="s">
        <v>498</v>
      </c>
      <c r="F27" s="555">
        <v>0</v>
      </c>
      <c r="G27" s="555">
        <v>0</v>
      </c>
      <c r="H27" s="556">
        <v>0</v>
      </c>
      <c r="I27" s="144">
        <f t="shared" si="0"/>
        <v>0</v>
      </c>
      <c r="J27" s="556">
        <v>0</v>
      </c>
      <c r="K27" s="557">
        <f t="shared" si="1"/>
        <v>0</v>
      </c>
      <c r="L27" s="186"/>
    </row>
    <row r="28" spans="1:12" ht="18" customHeight="1" x14ac:dyDescent="0.4">
      <c r="A28" s="183" t="s">
        <v>82</v>
      </c>
      <c r="B28" s="189" t="s">
        <v>47</v>
      </c>
      <c r="F28" s="555">
        <v>0</v>
      </c>
      <c r="G28" s="555">
        <v>0</v>
      </c>
      <c r="H28" s="556">
        <v>0</v>
      </c>
      <c r="I28" s="144">
        <f t="shared" si="0"/>
        <v>0</v>
      </c>
      <c r="J28" s="556">
        <v>0</v>
      </c>
      <c r="K28" s="557">
        <f t="shared" si="1"/>
        <v>0</v>
      </c>
      <c r="L28" s="186"/>
    </row>
    <row r="29" spans="1:12" ht="18" customHeight="1" x14ac:dyDescent="0.4">
      <c r="A29" s="183" t="s">
        <v>83</v>
      </c>
      <c r="B29" s="189" t="s">
        <v>48</v>
      </c>
      <c r="F29" s="555">
        <v>5297</v>
      </c>
      <c r="G29" s="555">
        <v>2261</v>
      </c>
      <c r="H29" s="556">
        <v>461818</v>
      </c>
      <c r="I29" s="144">
        <f t="shared" si="0"/>
        <v>276628.98200000002</v>
      </c>
      <c r="J29" s="556">
        <v>0</v>
      </c>
      <c r="K29" s="557">
        <f t="shared" si="1"/>
        <v>738446.98200000008</v>
      </c>
      <c r="L29" s="186"/>
    </row>
    <row r="30" spans="1:12" ht="18" customHeight="1" x14ac:dyDescent="0.4">
      <c r="A30" s="183" t="s">
        <v>84</v>
      </c>
      <c r="B30" s="951"/>
      <c r="C30" s="952"/>
      <c r="D30" s="953"/>
      <c r="F30" s="555"/>
      <c r="G30" s="555"/>
      <c r="H30" s="556"/>
      <c r="I30" s="144">
        <f t="shared" si="0"/>
        <v>0</v>
      </c>
      <c r="J30" s="556"/>
      <c r="K30" s="557">
        <f t="shared" si="1"/>
        <v>0</v>
      </c>
      <c r="L30" s="186"/>
    </row>
    <row r="31" spans="1:12" ht="18" customHeight="1" x14ac:dyDescent="0.4">
      <c r="A31" s="183" t="s">
        <v>133</v>
      </c>
      <c r="B31" s="951"/>
      <c r="C31" s="952"/>
      <c r="D31" s="953"/>
      <c r="F31" s="555"/>
      <c r="G31" s="555"/>
      <c r="H31" s="556"/>
      <c r="I31" s="144">
        <f t="shared" si="0"/>
        <v>0</v>
      </c>
      <c r="J31" s="556"/>
      <c r="K31" s="557">
        <f t="shared" si="1"/>
        <v>0</v>
      </c>
      <c r="L31" s="186"/>
    </row>
    <row r="32" spans="1:12" ht="18" customHeight="1" x14ac:dyDescent="0.4">
      <c r="A32" s="183" t="s">
        <v>134</v>
      </c>
      <c r="B32" s="500"/>
      <c r="C32" s="501"/>
      <c r="D32" s="502"/>
      <c r="F32" s="555"/>
      <c r="G32" s="558" t="s">
        <v>85</v>
      </c>
      <c r="H32" s="556"/>
      <c r="I32" s="144">
        <f t="shared" si="0"/>
        <v>0</v>
      </c>
      <c r="J32" s="556"/>
      <c r="K32" s="557">
        <f t="shared" si="1"/>
        <v>0</v>
      </c>
      <c r="L32" s="186"/>
    </row>
    <row r="33" spans="1:12" ht="18" customHeight="1" x14ac:dyDescent="0.4">
      <c r="A33" s="183" t="s">
        <v>135</v>
      </c>
      <c r="B33" s="500"/>
      <c r="C33" s="501"/>
      <c r="D33" s="502"/>
      <c r="F33" s="555"/>
      <c r="G33" s="558" t="s">
        <v>85</v>
      </c>
      <c r="H33" s="556"/>
      <c r="I33" s="144">
        <f t="shared" si="0"/>
        <v>0</v>
      </c>
      <c r="J33" s="556"/>
      <c r="K33" s="557">
        <f t="shared" si="1"/>
        <v>0</v>
      </c>
      <c r="L33" s="186"/>
    </row>
    <row r="34" spans="1:12" ht="18" customHeight="1" x14ac:dyDescent="0.4">
      <c r="A34" s="183" t="s">
        <v>136</v>
      </c>
      <c r="B34" s="951"/>
      <c r="C34" s="952"/>
      <c r="D34" s="953"/>
      <c r="F34" s="555"/>
      <c r="G34" s="558" t="s">
        <v>85</v>
      </c>
      <c r="H34" s="556"/>
      <c r="I34" s="144">
        <f t="shared" si="0"/>
        <v>0</v>
      </c>
      <c r="J34" s="556"/>
      <c r="K34" s="557">
        <f t="shared" si="1"/>
        <v>0</v>
      </c>
    </row>
    <row r="35" spans="1:12" ht="18" customHeight="1" x14ac:dyDescent="0.35">
      <c r="K35" s="559"/>
    </row>
    <row r="36" spans="1:12" ht="18" customHeight="1" x14ac:dyDescent="0.4">
      <c r="A36" s="120" t="s">
        <v>137</v>
      </c>
      <c r="B36" s="117" t="s">
        <v>138</v>
      </c>
      <c r="E36" s="117" t="s">
        <v>7</v>
      </c>
      <c r="F36" s="560">
        <f t="shared" ref="F36:K36" si="2">SUM(F21:F34)</f>
        <v>18072</v>
      </c>
      <c r="G36" s="560">
        <f t="shared" si="2"/>
        <v>54966</v>
      </c>
      <c r="H36" s="560">
        <f t="shared" si="2"/>
        <v>1048678</v>
      </c>
      <c r="I36" s="557">
        <f t="shared" si="2"/>
        <v>628158.12199999997</v>
      </c>
      <c r="J36" s="557">
        <f t="shared" si="2"/>
        <v>265489</v>
      </c>
      <c r="K36" s="557">
        <f t="shared" si="2"/>
        <v>1411347.122</v>
      </c>
    </row>
    <row r="37" spans="1:12" ht="18" customHeight="1" thickBot="1" x14ac:dyDescent="0.45">
      <c r="B37" s="117"/>
      <c r="F37" s="127"/>
      <c r="G37" s="127"/>
      <c r="H37" s="128"/>
      <c r="I37" s="128"/>
      <c r="J37" s="128"/>
      <c r="K37" s="139"/>
    </row>
    <row r="38" spans="1:12" ht="42.75" customHeight="1" x14ac:dyDescent="0.4">
      <c r="F38" s="122" t="s">
        <v>9</v>
      </c>
      <c r="G38" s="122" t="s">
        <v>37</v>
      </c>
      <c r="H38" s="122" t="s">
        <v>29</v>
      </c>
      <c r="I38" s="122" t="s">
        <v>30</v>
      </c>
      <c r="J38" s="122" t="s">
        <v>33</v>
      </c>
      <c r="K38" s="122" t="s">
        <v>34</v>
      </c>
      <c r="L38" s="186"/>
    </row>
    <row r="39" spans="1:12" ht="18.75" customHeight="1" x14ac:dyDescent="0.4">
      <c r="A39" s="120" t="s">
        <v>86</v>
      </c>
      <c r="B39" s="117" t="s">
        <v>49</v>
      </c>
      <c r="L39" s="186"/>
    </row>
    <row r="40" spans="1:12" ht="18" customHeight="1" x14ac:dyDescent="0.4">
      <c r="A40" s="183" t="s">
        <v>87</v>
      </c>
      <c r="B40" s="189" t="s">
        <v>31</v>
      </c>
      <c r="F40" s="555">
        <v>0</v>
      </c>
      <c r="G40" s="555">
        <v>0</v>
      </c>
      <c r="H40" s="556">
        <v>0</v>
      </c>
      <c r="I40" s="144">
        <v>0</v>
      </c>
      <c r="J40" s="556">
        <v>0</v>
      </c>
      <c r="K40" s="557">
        <f t="shared" ref="K40:K47" si="3">(H40+I40)-J40</f>
        <v>0</v>
      </c>
      <c r="L40" s="186"/>
    </row>
    <row r="41" spans="1:12" ht="18" customHeight="1" x14ac:dyDescent="0.4">
      <c r="A41" s="183" t="s">
        <v>88</v>
      </c>
      <c r="B41" s="956" t="s">
        <v>50</v>
      </c>
      <c r="C41" s="957"/>
      <c r="F41" s="555">
        <v>14713</v>
      </c>
      <c r="G41" s="555">
        <v>291</v>
      </c>
      <c r="H41" s="556">
        <v>581616</v>
      </c>
      <c r="I41" s="144">
        <f t="shared" ref="I41:I47" si="4">H41*F$114</f>
        <v>348387.984</v>
      </c>
      <c r="J41" s="556">
        <v>0</v>
      </c>
      <c r="K41" s="557">
        <f t="shared" si="3"/>
        <v>930003.98399999994</v>
      </c>
      <c r="L41" s="186"/>
    </row>
    <row r="42" spans="1:12" ht="18" customHeight="1" x14ac:dyDescent="0.4">
      <c r="A42" s="183" t="s">
        <v>89</v>
      </c>
      <c r="B42" s="116" t="s">
        <v>11</v>
      </c>
      <c r="F42" s="555">
        <v>18647</v>
      </c>
      <c r="G42" s="555">
        <v>297</v>
      </c>
      <c r="H42" s="556">
        <v>1842112</v>
      </c>
      <c r="I42" s="144">
        <f t="shared" si="4"/>
        <v>1103425.088</v>
      </c>
      <c r="J42" s="556">
        <v>46200</v>
      </c>
      <c r="K42" s="557">
        <f t="shared" si="3"/>
        <v>2899337.088</v>
      </c>
      <c r="L42" s="186"/>
    </row>
    <row r="43" spans="1:12" ht="18" customHeight="1" x14ac:dyDescent="0.4">
      <c r="A43" s="183" t="s">
        <v>90</v>
      </c>
      <c r="B43" s="141" t="s">
        <v>10</v>
      </c>
      <c r="C43" s="123"/>
      <c r="D43" s="123"/>
      <c r="F43" s="555"/>
      <c r="G43" s="555"/>
      <c r="H43" s="556"/>
      <c r="I43" s="144">
        <f t="shared" si="4"/>
        <v>0</v>
      </c>
      <c r="J43" s="556"/>
      <c r="K43" s="557">
        <f t="shared" si="3"/>
        <v>0</v>
      </c>
      <c r="L43" s="186"/>
    </row>
    <row r="44" spans="1:12" ht="18" customHeight="1" x14ac:dyDescent="0.4">
      <c r="A44" s="183" t="s">
        <v>91</v>
      </c>
      <c r="B44" s="951"/>
      <c r="C44" s="952"/>
      <c r="D44" s="953"/>
      <c r="F44" s="561"/>
      <c r="G44" s="561"/>
      <c r="H44" s="561"/>
      <c r="I44" s="144">
        <f t="shared" si="4"/>
        <v>0</v>
      </c>
      <c r="J44" s="561"/>
      <c r="K44" s="562">
        <f t="shared" si="3"/>
        <v>0</v>
      </c>
      <c r="L44" s="186"/>
    </row>
    <row r="45" spans="1:12" ht="18" customHeight="1" x14ac:dyDescent="0.4">
      <c r="A45" s="183" t="s">
        <v>139</v>
      </c>
      <c r="B45" s="951"/>
      <c r="C45" s="952"/>
      <c r="D45" s="953"/>
      <c r="F45" s="555"/>
      <c r="G45" s="555"/>
      <c r="H45" s="556"/>
      <c r="I45" s="144">
        <f t="shared" si="4"/>
        <v>0</v>
      </c>
      <c r="J45" s="556"/>
      <c r="K45" s="557">
        <f t="shared" si="3"/>
        <v>0</v>
      </c>
      <c r="L45" s="186"/>
    </row>
    <row r="46" spans="1:12" ht="18" customHeight="1" x14ac:dyDescent="0.4">
      <c r="A46" s="183" t="s">
        <v>140</v>
      </c>
      <c r="B46" s="951"/>
      <c r="C46" s="952"/>
      <c r="D46" s="953"/>
      <c r="F46" s="555"/>
      <c r="G46" s="555"/>
      <c r="H46" s="556"/>
      <c r="I46" s="144">
        <f t="shared" si="4"/>
        <v>0</v>
      </c>
      <c r="J46" s="556"/>
      <c r="K46" s="557">
        <f t="shared" si="3"/>
        <v>0</v>
      </c>
      <c r="L46" s="186"/>
    </row>
    <row r="47" spans="1:12" ht="18" customHeight="1" x14ac:dyDescent="0.4">
      <c r="A47" s="183" t="s">
        <v>141</v>
      </c>
      <c r="B47" s="951"/>
      <c r="C47" s="952"/>
      <c r="D47" s="953"/>
      <c r="F47" s="555"/>
      <c r="G47" s="555"/>
      <c r="H47" s="556"/>
      <c r="I47" s="144">
        <f t="shared" si="4"/>
        <v>0</v>
      </c>
      <c r="J47" s="556"/>
      <c r="K47" s="557">
        <f t="shared" si="3"/>
        <v>0</v>
      </c>
      <c r="L47" s="186"/>
    </row>
    <row r="48" spans="1:12" ht="18" customHeight="1" x14ac:dyDescent="0.35">
      <c r="L48" s="186"/>
    </row>
    <row r="49" spans="1:12" ht="18" customHeight="1" x14ac:dyDescent="0.4">
      <c r="A49" s="120" t="s">
        <v>142</v>
      </c>
      <c r="B49" s="117" t="s">
        <v>143</v>
      </c>
      <c r="E49" s="117" t="s">
        <v>7</v>
      </c>
      <c r="F49" s="563">
        <f t="shared" ref="F49:K49" si="5">SUM(F40:F47)</f>
        <v>33360</v>
      </c>
      <c r="G49" s="563">
        <f t="shared" si="5"/>
        <v>588</v>
      </c>
      <c r="H49" s="557">
        <f t="shared" si="5"/>
        <v>2423728</v>
      </c>
      <c r="I49" s="557">
        <f t="shared" si="5"/>
        <v>1451813.0719999999</v>
      </c>
      <c r="J49" s="557">
        <f t="shared" si="5"/>
        <v>46200</v>
      </c>
      <c r="K49" s="557">
        <f t="shared" si="5"/>
        <v>3829341.0719999997</v>
      </c>
      <c r="L49" s="186"/>
    </row>
    <row r="50" spans="1:12" ht="18" customHeight="1" thickBot="1" x14ac:dyDescent="0.4">
      <c r="G50" s="129"/>
      <c r="H50" s="129"/>
      <c r="I50" s="129"/>
      <c r="J50" s="129"/>
      <c r="K50" s="129"/>
      <c r="L50" s="186"/>
    </row>
    <row r="51" spans="1:12" ht="42.75" customHeight="1" x14ac:dyDescent="0.4">
      <c r="F51" s="122" t="s">
        <v>9</v>
      </c>
      <c r="G51" s="122" t="s">
        <v>37</v>
      </c>
      <c r="H51" s="122" t="s">
        <v>29</v>
      </c>
      <c r="I51" s="122" t="s">
        <v>30</v>
      </c>
      <c r="J51" s="122" t="s">
        <v>33</v>
      </c>
      <c r="K51" s="122" t="s">
        <v>34</v>
      </c>
      <c r="L51" s="186"/>
    </row>
    <row r="52" spans="1:12" ht="18" customHeight="1" x14ac:dyDescent="0.4">
      <c r="A52" s="120" t="s">
        <v>92</v>
      </c>
      <c r="B52" s="976" t="s">
        <v>38</v>
      </c>
      <c r="C52" s="977"/>
      <c r="L52" s="186"/>
    </row>
    <row r="53" spans="1:12" ht="18" customHeight="1" x14ac:dyDescent="0.4">
      <c r="A53" s="183" t="s">
        <v>95</v>
      </c>
      <c r="B53" s="510" t="s">
        <v>629</v>
      </c>
      <c r="C53" s="508"/>
      <c r="D53" s="505"/>
      <c r="F53" s="555">
        <v>75600</v>
      </c>
      <c r="G53" s="555">
        <v>56007</v>
      </c>
      <c r="H53" s="556">
        <v>12193184</v>
      </c>
      <c r="I53" s="144">
        <v>1917371</v>
      </c>
      <c r="J53" s="556">
        <v>5612</v>
      </c>
      <c r="K53" s="557">
        <f t="shared" ref="K53:K61" si="6">(H53+I53)-J53</f>
        <v>14104943</v>
      </c>
      <c r="L53" s="186"/>
    </row>
    <row r="54" spans="1:12" ht="18" customHeight="1" x14ac:dyDescent="0.4">
      <c r="A54" s="183" t="s">
        <v>97</v>
      </c>
      <c r="B54" s="503" t="s">
        <v>628</v>
      </c>
      <c r="C54" s="504"/>
      <c r="D54" s="505"/>
      <c r="F54" s="555">
        <v>66321</v>
      </c>
      <c r="G54" s="555">
        <v>30534</v>
      </c>
      <c r="H54" s="556">
        <v>24351650</v>
      </c>
      <c r="I54" s="144">
        <v>2769857</v>
      </c>
      <c r="J54" s="556">
        <v>21035182</v>
      </c>
      <c r="K54" s="557">
        <f t="shared" si="6"/>
        <v>6086325</v>
      </c>
      <c r="L54" s="186"/>
    </row>
    <row r="55" spans="1:12" ht="18" customHeight="1" x14ac:dyDescent="0.4">
      <c r="A55" s="183" t="s">
        <v>512</v>
      </c>
      <c r="B55" s="503" t="s">
        <v>513</v>
      </c>
      <c r="C55" s="504"/>
      <c r="D55" s="505"/>
      <c r="F55" s="555">
        <v>31038</v>
      </c>
      <c r="G55" s="555">
        <v>2495</v>
      </c>
      <c r="H55" s="556">
        <v>6334851</v>
      </c>
      <c r="I55" s="144">
        <v>1244914</v>
      </c>
      <c r="J55" s="556">
        <v>1558737</v>
      </c>
      <c r="K55" s="557">
        <f t="shared" si="6"/>
        <v>6021028</v>
      </c>
      <c r="L55" s="186"/>
    </row>
    <row r="56" spans="1:12" ht="18" customHeight="1" x14ac:dyDescent="0.4">
      <c r="A56" s="183" t="s">
        <v>94</v>
      </c>
      <c r="B56" s="503" t="s">
        <v>335</v>
      </c>
      <c r="C56" s="504"/>
      <c r="D56" s="505"/>
      <c r="F56" s="555">
        <v>0</v>
      </c>
      <c r="G56" s="555">
        <v>0</v>
      </c>
      <c r="H56" s="556">
        <v>5786309</v>
      </c>
      <c r="I56" s="144">
        <v>0</v>
      </c>
      <c r="J56" s="556">
        <v>791495</v>
      </c>
      <c r="K56" s="557">
        <f t="shared" si="6"/>
        <v>4994814</v>
      </c>
      <c r="L56" s="186"/>
    </row>
    <row r="57" spans="1:12" ht="18" customHeight="1" x14ac:dyDescent="0.4">
      <c r="A57" s="183" t="s">
        <v>240</v>
      </c>
      <c r="B57" s="503" t="s">
        <v>514</v>
      </c>
      <c r="C57" s="504"/>
      <c r="D57" s="505"/>
      <c r="F57" s="555">
        <v>55076</v>
      </c>
      <c r="G57" s="555">
        <v>17696</v>
      </c>
      <c r="H57" s="556">
        <v>6439273</v>
      </c>
      <c r="I57" s="144">
        <v>1275469</v>
      </c>
      <c r="J57" s="556">
        <v>3275859</v>
      </c>
      <c r="K57" s="557">
        <f t="shared" si="6"/>
        <v>4438883</v>
      </c>
      <c r="L57" s="186"/>
    </row>
    <row r="58" spans="1:12" ht="18" customHeight="1" x14ac:dyDescent="0.4">
      <c r="A58" s="183" t="s">
        <v>429</v>
      </c>
      <c r="B58" s="503" t="s">
        <v>515</v>
      </c>
      <c r="C58" s="504"/>
      <c r="D58" s="505"/>
      <c r="F58" s="555">
        <v>30366</v>
      </c>
      <c r="G58" s="555">
        <v>6625</v>
      </c>
      <c r="H58" s="556">
        <v>4417918</v>
      </c>
      <c r="I58" s="144">
        <v>968872</v>
      </c>
      <c r="J58" s="556">
        <v>1803451</v>
      </c>
      <c r="K58" s="557">
        <f t="shared" si="6"/>
        <v>3583339</v>
      </c>
      <c r="L58" s="186"/>
    </row>
    <row r="59" spans="1:12" ht="18" customHeight="1" x14ac:dyDescent="0.4">
      <c r="A59" s="183" t="s">
        <v>751</v>
      </c>
      <c r="B59" s="503" t="s">
        <v>432</v>
      </c>
      <c r="C59" s="504"/>
      <c r="D59" s="505"/>
      <c r="F59" s="555">
        <v>7973</v>
      </c>
      <c r="G59" s="555">
        <v>4136</v>
      </c>
      <c r="H59" s="556">
        <v>2045336</v>
      </c>
      <c r="I59" s="144">
        <v>152290</v>
      </c>
      <c r="J59" s="556">
        <v>0</v>
      </c>
      <c r="K59" s="557">
        <f t="shared" si="6"/>
        <v>2197626</v>
      </c>
      <c r="L59" s="186"/>
    </row>
    <row r="60" spans="1:12" ht="18" customHeight="1" x14ac:dyDescent="0.4">
      <c r="A60" s="183" t="s">
        <v>630</v>
      </c>
      <c r="B60" s="503" t="s">
        <v>631</v>
      </c>
      <c r="C60" s="504"/>
      <c r="D60" s="505"/>
      <c r="F60" s="555">
        <v>31773</v>
      </c>
      <c r="G60" s="555">
        <v>10138</v>
      </c>
      <c r="H60" s="556">
        <v>1929337</v>
      </c>
      <c r="I60" s="144">
        <v>414551</v>
      </c>
      <c r="J60" s="556">
        <v>1249853</v>
      </c>
      <c r="K60" s="557">
        <f t="shared" si="6"/>
        <v>1094035</v>
      </c>
      <c r="L60" s="186"/>
    </row>
    <row r="61" spans="1:12" ht="18" customHeight="1" x14ac:dyDescent="0.4">
      <c r="A61" s="183" t="s">
        <v>473</v>
      </c>
      <c r="B61" s="503" t="s">
        <v>511</v>
      </c>
      <c r="C61" s="504"/>
      <c r="D61" s="505"/>
      <c r="F61" s="555">
        <v>28554</v>
      </c>
      <c r="G61" s="555">
        <v>6912</v>
      </c>
      <c r="H61" s="556">
        <v>1520961</v>
      </c>
      <c r="I61" s="144">
        <v>278004</v>
      </c>
      <c r="J61" s="556">
        <v>816975</v>
      </c>
      <c r="K61" s="557">
        <f t="shared" si="6"/>
        <v>981990</v>
      </c>
      <c r="L61" s="186"/>
    </row>
    <row r="62" spans="1:12" ht="18" customHeight="1" x14ac:dyDescent="0.35">
      <c r="B62" s="644" t="s">
        <v>233</v>
      </c>
      <c r="C62" s="644"/>
      <c r="D62" s="644"/>
      <c r="F62" s="555">
        <v>71747</v>
      </c>
      <c r="G62" s="555">
        <v>16861</v>
      </c>
      <c r="H62" s="556">
        <v>2034666</v>
      </c>
      <c r="I62" s="144">
        <v>504472.27</v>
      </c>
      <c r="J62" s="556">
        <v>720147</v>
      </c>
      <c r="K62" s="557">
        <v>1818991.27</v>
      </c>
      <c r="L62" s="186"/>
    </row>
    <row r="63" spans="1:12" ht="18" customHeight="1" x14ac:dyDescent="0.4">
      <c r="A63" s="183"/>
      <c r="I63" s="140"/>
      <c r="L63" s="186"/>
    </row>
    <row r="64" spans="1:12" ht="18" customHeight="1" x14ac:dyDescent="0.4">
      <c r="A64" s="183" t="s">
        <v>144</v>
      </c>
      <c r="B64" s="117" t="s">
        <v>145</v>
      </c>
      <c r="E64" s="117" t="s">
        <v>7</v>
      </c>
      <c r="F64" s="560">
        <f>SUM(F53:F62)</f>
        <v>398448</v>
      </c>
      <c r="G64" s="560">
        <f t="shared" ref="G64:K64" si="7">SUM(G53:G62)</f>
        <v>151404</v>
      </c>
      <c r="H64" s="556">
        <f t="shared" si="7"/>
        <v>67053485</v>
      </c>
      <c r="I64" s="144">
        <f t="shared" si="7"/>
        <v>9525800.2699999996</v>
      </c>
      <c r="J64" s="556">
        <f t="shared" si="7"/>
        <v>31257311</v>
      </c>
      <c r="K64" s="557">
        <f t="shared" si="7"/>
        <v>45321974.270000003</v>
      </c>
      <c r="L64" s="186"/>
    </row>
    <row r="65" spans="1:12" ht="18" customHeight="1" x14ac:dyDescent="0.35">
      <c r="F65" s="142"/>
      <c r="G65" s="142"/>
      <c r="H65" s="142"/>
      <c r="I65" s="142"/>
      <c r="J65" s="142"/>
      <c r="K65" s="142"/>
      <c r="L65" s="186"/>
    </row>
    <row r="66" spans="1:12" ht="42.75" customHeight="1" x14ac:dyDescent="0.4">
      <c r="F66" s="147" t="s">
        <v>9</v>
      </c>
      <c r="G66" s="147" t="s">
        <v>37</v>
      </c>
      <c r="H66" s="147" t="s">
        <v>29</v>
      </c>
      <c r="I66" s="147" t="s">
        <v>30</v>
      </c>
      <c r="J66" s="147" t="s">
        <v>33</v>
      </c>
      <c r="K66" s="147" t="s">
        <v>34</v>
      </c>
      <c r="L66" s="186"/>
    </row>
    <row r="67" spans="1:12" ht="18" customHeight="1" x14ac:dyDescent="0.4">
      <c r="A67" s="120" t="s">
        <v>102</v>
      </c>
      <c r="B67" s="117" t="s">
        <v>12</v>
      </c>
      <c r="F67" s="148"/>
      <c r="G67" s="148"/>
      <c r="H67" s="148"/>
      <c r="I67" s="149"/>
      <c r="J67" s="148"/>
      <c r="K67" s="150"/>
      <c r="L67" s="186"/>
    </row>
    <row r="68" spans="1:12" ht="18" customHeight="1" x14ac:dyDescent="0.4">
      <c r="A68" s="183" t="s">
        <v>103</v>
      </c>
      <c r="B68" s="189" t="s">
        <v>52</v>
      </c>
      <c r="F68" s="564">
        <v>0</v>
      </c>
      <c r="G68" s="564">
        <v>0</v>
      </c>
      <c r="H68" s="564">
        <v>0</v>
      </c>
      <c r="I68" s="144">
        <v>0</v>
      </c>
      <c r="J68" s="564">
        <v>0</v>
      </c>
      <c r="K68" s="557">
        <f>(H68+I68)-J68</f>
        <v>0</v>
      </c>
      <c r="L68" s="186"/>
    </row>
    <row r="69" spans="1:12" ht="18" customHeight="1" x14ac:dyDescent="0.4">
      <c r="A69" s="183" t="s">
        <v>104</v>
      </c>
      <c r="B69" s="116" t="s">
        <v>53</v>
      </c>
      <c r="F69" s="564"/>
      <c r="G69" s="564"/>
      <c r="H69" s="564"/>
      <c r="I69" s="144">
        <v>0</v>
      </c>
      <c r="J69" s="564"/>
      <c r="K69" s="557">
        <f>(H69+I69)-J69</f>
        <v>0</v>
      </c>
      <c r="L69" s="186"/>
    </row>
    <row r="70" spans="1:12" ht="18" customHeight="1" x14ac:dyDescent="0.4">
      <c r="A70" s="183" t="s">
        <v>178</v>
      </c>
      <c r="B70" s="503"/>
      <c r="C70" s="504"/>
      <c r="D70" s="505"/>
      <c r="E70" s="117"/>
      <c r="F70" s="131"/>
      <c r="G70" s="131"/>
      <c r="H70" s="132"/>
      <c r="I70" s="144">
        <v>0</v>
      </c>
      <c r="J70" s="132"/>
      <c r="K70" s="557">
        <f>(H70+I70)-J70</f>
        <v>0</v>
      </c>
      <c r="L70" s="186"/>
    </row>
    <row r="71" spans="1:12" ht="18" customHeight="1" x14ac:dyDescent="0.4">
      <c r="A71" s="183" t="s">
        <v>179</v>
      </c>
      <c r="B71" s="503"/>
      <c r="C71" s="504"/>
      <c r="D71" s="505"/>
      <c r="E71" s="117"/>
      <c r="F71" s="131"/>
      <c r="G71" s="131"/>
      <c r="H71" s="132"/>
      <c r="I71" s="144">
        <v>0</v>
      </c>
      <c r="J71" s="132"/>
      <c r="K71" s="557">
        <f>(H71+I71)-J71</f>
        <v>0</v>
      </c>
      <c r="L71" s="186"/>
    </row>
    <row r="72" spans="1:12" ht="18" customHeight="1" x14ac:dyDescent="0.4">
      <c r="A72" s="183" t="s">
        <v>180</v>
      </c>
      <c r="B72" s="510"/>
      <c r="C72" s="508"/>
      <c r="D72" s="130"/>
      <c r="E72" s="117"/>
      <c r="F72" s="555"/>
      <c r="G72" s="555"/>
      <c r="H72" s="556"/>
      <c r="I72" s="144">
        <v>0</v>
      </c>
      <c r="J72" s="556"/>
      <c r="K72" s="557">
        <f>(H72+I72)-J72</f>
        <v>0</v>
      </c>
      <c r="L72" s="186"/>
    </row>
    <row r="73" spans="1:12" ht="18" customHeight="1" x14ac:dyDescent="0.4">
      <c r="A73" s="183"/>
      <c r="B73" s="116"/>
      <c r="E73" s="117"/>
      <c r="F73" s="151"/>
      <c r="G73" s="151"/>
      <c r="H73" s="152"/>
      <c r="I73" s="149"/>
      <c r="J73" s="152"/>
      <c r="K73" s="150"/>
      <c r="L73" s="186"/>
    </row>
    <row r="74" spans="1:12" ht="18" customHeight="1" x14ac:dyDescent="0.4">
      <c r="A74" s="120" t="s">
        <v>146</v>
      </c>
      <c r="B74" s="117" t="s">
        <v>147</v>
      </c>
      <c r="E74" s="117" t="s">
        <v>7</v>
      </c>
      <c r="F74" s="566">
        <f t="shared" ref="F74:K74" si="8">SUM(F68:F72)</f>
        <v>0</v>
      </c>
      <c r="G74" s="566">
        <f t="shared" si="8"/>
        <v>0</v>
      </c>
      <c r="H74" s="566">
        <f t="shared" si="8"/>
        <v>0</v>
      </c>
      <c r="I74" s="145">
        <f t="shared" si="8"/>
        <v>0</v>
      </c>
      <c r="J74" s="566">
        <f t="shared" si="8"/>
        <v>0</v>
      </c>
      <c r="K74" s="567">
        <f t="shared" si="8"/>
        <v>0</v>
      </c>
      <c r="L74" s="186"/>
    </row>
    <row r="75" spans="1:12" ht="42.75" customHeight="1" x14ac:dyDescent="0.4">
      <c r="F75" s="122" t="s">
        <v>9</v>
      </c>
      <c r="G75" s="122" t="s">
        <v>37</v>
      </c>
      <c r="H75" s="122" t="s">
        <v>29</v>
      </c>
      <c r="I75" s="122" t="s">
        <v>30</v>
      </c>
      <c r="J75" s="122" t="s">
        <v>33</v>
      </c>
      <c r="K75" s="122" t="s">
        <v>34</v>
      </c>
      <c r="L75" s="186"/>
    </row>
    <row r="76" spans="1:12" ht="18" customHeight="1" x14ac:dyDescent="0.4">
      <c r="A76" s="120" t="s">
        <v>105</v>
      </c>
      <c r="B76" s="117" t="s">
        <v>106</v>
      </c>
      <c r="L76" s="186"/>
    </row>
    <row r="77" spans="1:12" ht="18" customHeight="1" x14ac:dyDescent="0.4">
      <c r="A77" s="183" t="s">
        <v>107</v>
      </c>
      <c r="B77" s="116" t="s">
        <v>54</v>
      </c>
      <c r="F77" s="555">
        <v>0</v>
      </c>
      <c r="G77" s="555">
        <v>0</v>
      </c>
      <c r="H77" s="556">
        <v>83805</v>
      </c>
      <c r="I77" s="144">
        <v>0</v>
      </c>
      <c r="J77" s="556">
        <v>0</v>
      </c>
      <c r="K77" s="557">
        <f>(H77+I77)-J77</f>
        <v>83805</v>
      </c>
      <c r="L77" s="186"/>
    </row>
    <row r="78" spans="1:12" ht="18" customHeight="1" x14ac:dyDescent="0.4">
      <c r="A78" s="183" t="s">
        <v>108</v>
      </c>
      <c r="B78" s="116" t="s">
        <v>55</v>
      </c>
      <c r="F78" s="555">
        <v>0</v>
      </c>
      <c r="G78" s="555">
        <v>0</v>
      </c>
      <c r="H78" s="556">
        <v>0</v>
      </c>
      <c r="I78" s="144">
        <v>0</v>
      </c>
      <c r="J78" s="556">
        <v>0</v>
      </c>
      <c r="K78" s="557">
        <f>(H78+I78)-J78</f>
        <v>0</v>
      </c>
      <c r="L78" s="186"/>
    </row>
    <row r="79" spans="1:12" ht="18" customHeight="1" x14ac:dyDescent="0.4">
      <c r="A79" s="183" t="s">
        <v>109</v>
      </c>
      <c r="B79" s="116" t="s">
        <v>13</v>
      </c>
      <c r="F79" s="555">
        <v>2047</v>
      </c>
      <c r="G79" s="555">
        <v>2628</v>
      </c>
      <c r="H79" s="556">
        <v>85051</v>
      </c>
      <c r="I79" s="144">
        <v>0</v>
      </c>
      <c r="J79" s="556">
        <v>0</v>
      </c>
      <c r="K79" s="557">
        <f>(H79+I79)-J79</f>
        <v>85051</v>
      </c>
      <c r="L79" s="186"/>
    </row>
    <row r="80" spans="1:12" ht="18" customHeight="1" x14ac:dyDescent="0.4">
      <c r="A80" s="183" t="s">
        <v>110</v>
      </c>
      <c r="B80" s="116" t="s">
        <v>56</v>
      </c>
      <c r="F80" s="555"/>
      <c r="G80" s="555"/>
      <c r="H80" s="556"/>
      <c r="I80" s="144">
        <v>0</v>
      </c>
      <c r="J80" s="556"/>
      <c r="K80" s="557">
        <f>(H80+I80)-J80</f>
        <v>0</v>
      </c>
      <c r="L80" s="186"/>
    </row>
    <row r="81" spans="1:12" ht="18" customHeight="1" x14ac:dyDescent="0.4">
      <c r="A81" s="183"/>
      <c r="K81" s="568"/>
      <c r="L81" s="186"/>
    </row>
    <row r="82" spans="1:12" ht="18" customHeight="1" x14ac:dyDescent="0.4">
      <c r="A82" s="183" t="s">
        <v>148</v>
      </c>
      <c r="B82" s="117" t="s">
        <v>149</v>
      </c>
      <c r="E82" s="117" t="s">
        <v>7</v>
      </c>
      <c r="F82" s="566">
        <f t="shared" ref="F82:K82" si="9">SUM(F77:F80)</f>
        <v>2047</v>
      </c>
      <c r="G82" s="566">
        <f t="shared" si="9"/>
        <v>2628</v>
      </c>
      <c r="H82" s="567">
        <f t="shared" si="9"/>
        <v>168856</v>
      </c>
      <c r="I82" s="567">
        <f t="shared" si="9"/>
        <v>0</v>
      </c>
      <c r="J82" s="567">
        <f t="shared" si="9"/>
        <v>0</v>
      </c>
      <c r="K82" s="567">
        <f t="shared" si="9"/>
        <v>168856</v>
      </c>
      <c r="L82" s="186"/>
    </row>
    <row r="83" spans="1:12" ht="18" customHeight="1" thickBot="1" x14ac:dyDescent="0.45">
      <c r="A83" s="183"/>
      <c r="F83" s="129"/>
      <c r="G83" s="129"/>
      <c r="H83" s="129"/>
      <c r="I83" s="129"/>
      <c r="J83" s="129"/>
      <c r="K83" s="129"/>
      <c r="L83" s="186"/>
    </row>
    <row r="84" spans="1:12" ht="42.75" customHeight="1" x14ac:dyDescent="0.4">
      <c r="F84" s="122" t="s">
        <v>9</v>
      </c>
      <c r="G84" s="122" t="s">
        <v>37</v>
      </c>
      <c r="H84" s="122" t="s">
        <v>29</v>
      </c>
      <c r="I84" s="122" t="s">
        <v>30</v>
      </c>
      <c r="J84" s="122" t="s">
        <v>33</v>
      </c>
      <c r="K84" s="122" t="s">
        <v>34</v>
      </c>
      <c r="L84" s="186"/>
    </row>
    <row r="85" spans="1:12" ht="18" customHeight="1" x14ac:dyDescent="0.4">
      <c r="A85" s="120" t="s">
        <v>111</v>
      </c>
      <c r="B85" s="117" t="s">
        <v>57</v>
      </c>
      <c r="L85" s="186"/>
    </row>
    <row r="86" spans="1:12" ht="18" customHeight="1" x14ac:dyDescent="0.4">
      <c r="A86" s="183" t="s">
        <v>112</v>
      </c>
      <c r="B86" s="116" t="s">
        <v>113</v>
      </c>
      <c r="F86" s="555">
        <v>0</v>
      </c>
      <c r="G86" s="555">
        <v>0</v>
      </c>
      <c r="H86" s="556">
        <v>0</v>
      </c>
      <c r="I86" s="144">
        <f t="shared" ref="I86:I96" si="10">H86*F$114</f>
        <v>0</v>
      </c>
      <c r="J86" s="556">
        <v>0</v>
      </c>
      <c r="K86" s="557">
        <f t="shared" ref="K86:K96" si="11">(H86+I86)-J86</f>
        <v>0</v>
      </c>
      <c r="L86" s="186"/>
    </row>
    <row r="87" spans="1:12" ht="18" customHeight="1" x14ac:dyDescent="0.4">
      <c r="A87" s="183" t="s">
        <v>114</v>
      </c>
      <c r="B87" s="116" t="s">
        <v>14</v>
      </c>
      <c r="F87" s="555">
        <v>37</v>
      </c>
      <c r="G87" s="555">
        <v>1</v>
      </c>
      <c r="H87" s="556">
        <v>648</v>
      </c>
      <c r="I87" s="144">
        <f t="shared" si="10"/>
        <v>388.15199999999999</v>
      </c>
      <c r="J87" s="556">
        <v>0</v>
      </c>
      <c r="K87" s="557">
        <f t="shared" si="11"/>
        <v>1036.152</v>
      </c>
      <c r="L87" s="186"/>
    </row>
    <row r="88" spans="1:12" ht="18" customHeight="1" x14ac:dyDescent="0.4">
      <c r="A88" s="183" t="s">
        <v>115</v>
      </c>
      <c r="B88" s="116" t="s">
        <v>116</v>
      </c>
      <c r="F88" s="555">
        <v>209</v>
      </c>
      <c r="G88" s="555">
        <v>359</v>
      </c>
      <c r="H88" s="556">
        <v>193613</v>
      </c>
      <c r="I88" s="144">
        <f t="shared" si="10"/>
        <v>115974.18699999999</v>
      </c>
      <c r="J88" s="556">
        <v>0</v>
      </c>
      <c r="K88" s="557">
        <f t="shared" si="11"/>
        <v>309587.18699999998</v>
      </c>
      <c r="L88" s="186"/>
    </row>
    <row r="89" spans="1:12" ht="18" customHeight="1" x14ac:dyDescent="0.4">
      <c r="A89" s="183" t="s">
        <v>117</v>
      </c>
      <c r="B89" s="116" t="s">
        <v>58</v>
      </c>
      <c r="F89" s="555">
        <v>0</v>
      </c>
      <c r="G89" s="555">
        <v>0</v>
      </c>
      <c r="H89" s="556">
        <v>225780</v>
      </c>
      <c r="I89" s="144">
        <f t="shared" si="10"/>
        <v>135242.22</v>
      </c>
      <c r="J89" s="556">
        <v>0</v>
      </c>
      <c r="K89" s="557">
        <f t="shared" si="11"/>
        <v>361022.22</v>
      </c>
      <c r="L89" s="186"/>
    </row>
    <row r="90" spans="1:12" ht="18" customHeight="1" x14ac:dyDescent="0.4">
      <c r="A90" s="183" t="s">
        <v>118</v>
      </c>
      <c r="B90" s="956" t="s">
        <v>59</v>
      </c>
      <c r="C90" s="957"/>
      <c r="F90" s="555">
        <v>0</v>
      </c>
      <c r="G90" s="555">
        <v>0</v>
      </c>
      <c r="H90" s="556">
        <v>0</v>
      </c>
      <c r="I90" s="144">
        <f t="shared" si="10"/>
        <v>0</v>
      </c>
      <c r="J90" s="556">
        <v>0</v>
      </c>
      <c r="K90" s="557">
        <f t="shared" si="11"/>
        <v>0</v>
      </c>
      <c r="L90" s="186"/>
    </row>
    <row r="91" spans="1:12" ht="18" customHeight="1" x14ac:dyDescent="0.4">
      <c r="A91" s="183" t="s">
        <v>119</v>
      </c>
      <c r="B91" s="116" t="s">
        <v>60</v>
      </c>
      <c r="F91" s="555">
        <v>751</v>
      </c>
      <c r="G91" s="555">
        <v>147</v>
      </c>
      <c r="H91" s="556">
        <v>1334656</v>
      </c>
      <c r="I91" s="144">
        <f t="shared" si="10"/>
        <v>799458.94400000002</v>
      </c>
      <c r="J91" s="556">
        <v>0</v>
      </c>
      <c r="K91" s="557">
        <f t="shared" si="11"/>
        <v>2134114.9440000001</v>
      </c>
      <c r="L91" s="186"/>
    </row>
    <row r="92" spans="1:12" ht="18" customHeight="1" x14ac:dyDescent="0.4">
      <c r="A92" s="183" t="s">
        <v>120</v>
      </c>
      <c r="B92" s="116" t="s">
        <v>121</v>
      </c>
      <c r="F92" s="134"/>
      <c r="G92" s="134"/>
      <c r="H92" s="135"/>
      <c r="I92" s="144">
        <f t="shared" si="10"/>
        <v>0</v>
      </c>
      <c r="J92" s="135"/>
      <c r="K92" s="557">
        <f t="shared" si="11"/>
        <v>0</v>
      </c>
      <c r="L92" s="186"/>
    </row>
    <row r="93" spans="1:12" ht="18" customHeight="1" x14ac:dyDescent="0.4">
      <c r="A93" s="183" t="s">
        <v>122</v>
      </c>
      <c r="B93" s="116" t="s">
        <v>123</v>
      </c>
      <c r="F93" s="555"/>
      <c r="G93" s="555"/>
      <c r="H93" s="556"/>
      <c r="I93" s="144">
        <f t="shared" si="10"/>
        <v>0</v>
      </c>
      <c r="J93" s="556"/>
      <c r="K93" s="557">
        <f t="shared" si="11"/>
        <v>0</v>
      </c>
      <c r="L93" s="186"/>
    </row>
    <row r="94" spans="1:12" ht="18" customHeight="1" x14ac:dyDescent="0.4">
      <c r="A94" s="183" t="s">
        <v>124</v>
      </c>
      <c r="B94" s="980"/>
      <c r="C94" s="974"/>
      <c r="D94" s="975"/>
      <c r="F94" s="555"/>
      <c r="G94" s="555"/>
      <c r="H94" s="556"/>
      <c r="I94" s="144">
        <f t="shared" si="10"/>
        <v>0</v>
      </c>
      <c r="J94" s="556"/>
      <c r="K94" s="557">
        <f t="shared" si="11"/>
        <v>0</v>
      </c>
      <c r="L94" s="186"/>
    </row>
    <row r="95" spans="1:12" ht="18" customHeight="1" x14ac:dyDescent="0.4">
      <c r="A95" s="183" t="s">
        <v>125</v>
      </c>
      <c r="B95" s="980"/>
      <c r="C95" s="974"/>
      <c r="D95" s="975"/>
      <c r="F95" s="555"/>
      <c r="G95" s="555"/>
      <c r="H95" s="556"/>
      <c r="I95" s="144">
        <f t="shared" si="10"/>
        <v>0</v>
      </c>
      <c r="J95" s="556"/>
      <c r="K95" s="557">
        <f t="shared" si="11"/>
        <v>0</v>
      </c>
      <c r="L95" s="186"/>
    </row>
    <row r="96" spans="1:12" ht="18" customHeight="1" x14ac:dyDescent="0.4">
      <c r="A96" s="183" t="s">
        <v>126</v>
      </c>
      <c r="B96" s="980"/>
      <c r="C96" s="974"/>
      <c r="D96" s="975"/>
      <c r="F96" s="555"/>
      <c r="G96" s="555"/>
      <c r="H96" s="556"/>
      <c r="I96" s="144">
        <f t="shared" si="10"/>
        <v>0</v>
      </c>
      <c r="J96" s="556"/>
      <c r="K96" s="557">
        <f t="shared" si="11"/>
        <v>0</v>
      </c>
      <c r="L96" s="186"/>
    </row>
    <row r="97" spans="1:12" ht="18" customHeight="1" x14ac:dyDescent="0.4">
      <c r="A97" s="183"/>
      <c r="B97" s="116"/>
      <c r="L97" s="186"/>
    </row>
    <row r="98" spans="1:12" ht="18" customHeight="1" x14ac:dyDescent="0.4">
      <c r="A98" s="120" t="s">
        <v>150</v>
      </c>
      <c r="B98" s="117" t="s">
        <v>151</v>
      </c>
      <c r="E98" s="117" t="s">
        <v>7</v>
      </c>
      <c r="F98" s="560">
        <f t="shared" ref="F98:K98" si="12">SUM(F86:F96)</f>
        <v>997</v>
      </c>
      <c r="G98" s="560">
        <f t="shared" si="12"/>
        <v>507</v>
      </c>
      <c r="H98" s="560">
        <f t="shared" si="12"/>
        <v>1754697</v>
      </c>
      <c r="I98" s="560">
        <f t="shared" si="12"/>
        <v>1051063.503</v>
      </c>
      <c r="J98" s="560">
        <f t="shared" si="12"/>
        <v>0</v>
      </c>
      <c r="K98" s="560">
        <f t="shared" si="12"/>
        <v>2805760.503</v>
      </c>
      <c r="L98" s="186"/>
    </row>
    <row r="99" spans="1:12" ht="18" customHeight="1" thickBot="1" x14ac:dyDescent="0.45">
      <c r="B99" s="117"/>
      <c r="F99" s="129"/>
      <c r="G99" s="129"/>
      <c r="H99" s="129"/>
      <c r="I99" s="129"/>
      <c r="J99" s="129"/>
      <c r="K99" s="129"/>
      <c r="L99" s="186"/>
    </row>
    <row r="100" spans="1:12" ht="42.75" customHeight="1" x14ac:dyDescent="0.4">
      <c r="F100" s="122" t="s">
        <v>9</v>
      </c>
      <c r="G100" s="122" t="s">
        <v>37</v>
      </c>
      <c r="H100" s="122" t="s">
        <v>29</v>
      </c>
      <c r="I100" s="122" t="s">
        <v>30</v>
      </c>
      <c r="J100" s="122" t="s">
        <v>33</v>
      </c>
      <c r="K100" s="122" t="s">
        <v>34</v>
      </c>
      <c r="L100" s="186"/>
    </row>
    <row r="101" spans="1:12" ht="18" customHeight="1" x14ac:dyDescent="0.4">
      <c r="A101" s="120" t="s">
        <v>130</v>
      </c>
      <c r="B101" s="117" t="s">
        <v>63</v>
      </c>
      <c r="L101" s="186"/>
    </row>
    <row r="102" spans="1:12" ht="18" customHeight="1" x14ac:dyDescent="0.4">
      <c r="A102" s="183" t="s">
        <v>131</v>
      </c>
      <c r="B102" s="116" t="s">
        <v>152</v>
      </c>
      <c r="F102" s="555">
        <v>445</v>
      </c>
      <c r="G102" s="555">
        <v>233</v>
      </c>
      <c r="H102" s="556">
        <v>29846</v>
      </c>
      <c r="I102" s="144">
        <f>H102*F$114</f>
        <v>17877.754000000001</v>
      </c>
      <c r="J102" s="556">
        <v>0</v>
      </c>
      <c r="K102" s="557">
        <f>(H102+I102)-J102</f>
        <v>47723.754000000001</v>
      </c>
      <c r="L102" s="186"/>
    </row>
    <row r="103" spans="1:12" ht="18" customHeight="1" x14ac:dyDescent="0.4">
      <c r="A103" s="183" t="s">
        <v>132</v>
      </c>
      <c r="B103" s="956" t="s">
        <v>62</v>
      </c>
      <c r="C103" s="956"/>
      <c r="F103" s="555"/>
      <c r="G103" s="555"/>
      <c r="H103" s="556"/>
      <c r="I103" s="144">
        <f>H103*F$114</f>
        <v>0</v>
      </c>
      <c r="J103" s="556">
        <v>0</v>
      </c>
      <c r="K103" s="557">
        <f>(H103+I103)-J103</f>
        <v>0</v>
      </c>
      <c r="L103" s="186"/>
    </row>
    <row r="104" spans="1:12" ht="18" customHeight="1" x14ac:dyDescent="0.4">
      <c r="A104" s="183" t="s">
        <v>128</v>
      </c>
      <c r="B104" s="980"/>
      <c r="C104" s="974"/>
      <c r="D104" s="975"/>
      <c r="F104" s="555"/>
      <c r="G104" s="555"/>
      <c r="H104" s="556"/>
      <c r="I104" s="144">
        <f>H104*F$114</f>
        <v>0</v>
      </c>
      <c r="J104" s="556"/>
      <c r="K104" s="557">
        <f>(H104+I104)-J104</f>
        <v>0</v>
      </c>
      <c r="L104" s="186"/>
    </row>
    <row r="105" spans="1:12" ht="18" customHeight="1" x14ac:dyDescent="0.4">
      <c r="A105" s="183" t="s">
        <v>127</v>
      </c>
      <c r="B105" s="980"/>
      <c r="C105" s="974"/>
      <c r="D105" s="975"/>
      <c r="F105" s="555"/>
      <c r="G105" s="555"/>
      <c r="H105" s="556"/>
      <c r="I105" s="144">
        <f>H105*F$114</f>
        <v>0</v>
      </c>
      <c r="J105" s="556"/>
      <c r="K105" s="557">
        <f>(H105+I105)-J105</f>
        <v>0</v>
      </c>
      <c r="L105" s="186"/>
    </row>
    <row r="106" spans="1:12" ht="18" customHeight="1" x14ac:dyDescent="0.4">
      <c r="A106" s="183" t="s">
        <v>129</v>
      </c>
      <c r="B106" s="980"/>
      <c r="C106" s="974"/>
      <c r="D106" s="975"/>
      <c r="F106" s="555"/>
      <c r="G106" s="555"/>
      <c r="H106" s="556"/>
      <c r="I106" s="144">
        <f>H106*F$114</f>
        <v>0</v>
      </c>
      <c r="J106" s="556"/>
      <c r="K106" s="557">
        <f>(H106+I106)-J106</f>
        <v>0</v>
      </c>
      <c r="L106" s="186"/>
    </row>
    <row r="107" spans="1:12" ht="18" customHeight="1" x14ac:dyDescent="0.4">
      <c r="B107" s="117"/>
      <c r="L107" s="186"/>
    </row>
    <row r="108" spans="1:12" s="123" customFormat="1" ht="18" customHeight="1" x14ac:dyDescent="0.4">
      <c r="A108" s="120" t="s">
        <v>153</v>
      </c>
      <c r="B108" s="153" t="s">
        <v>154</v>
      </c>
      <c r="C108" s="189"/>
      <c r="D108" s="189"/>
      <c r="E108" s="117" t="s">
        <v>7</v>
      </c>
      <c r="F108" s="560">
        <f t="shared" ref="F108:K108" si="13">SUM(F102:F106)</f>
        <v>445</v>
      </c>
      <c r="G108" s="560">
        <f t="shared" si="13"/>
        <v>233</v>
      </c>
      <c r="H108" s="557">
        <f t="shared" si="13"/>
        <v>29846</v>
      </c>
      <c r="I108" s="557">
        <f t="shared" si="13"/>
        <v>17877.754000000001</v>
      </c>
      <c r="J108" s="557">
        <f t="shared" si="13"/>
        <v>0</v>
      </c>
      <c r="K108" s="557">
        <f t="shared" si="13"/>
        <v>47723.754000000001</v>
      </c>
      <c r="L108" s="184"/>
    </row>
    <row r="109" spans="1:12" s="123" customFormat="1" ht="18" customHeight="1" thickBot="1" x14ac:dyDescent="0.45">
      <c r="A109" s="124"/>
      <c r="B109" s="125"/>
      <c r="C109" s="126"/>
      <c r="D109" s="126"/>
      <c r="E109" s="126"/>
      <c r="F109" s="129"/>
      <c r="G109" s="129"/>
      <c r="H109" s="129"/>
      <c r="I109" s="129"/>
      <c r="J109" s="129"/>
      <c r="K109" s="129"/>
      <c r="L109" s="184"/>
    </row>
    <row r="110" spans="1:12" s="123" customFormat="1" ht="18" customHeight="1" x14ac:dyDescent="0.4">
      <c r="A110" s="120" t="s">
        <v>156</v>
      </c>
      <c r="B110" s="117" t="s">
        <v>39</v>
      </c>
      <c r="C110" s="189"/>
      <c r="D110" s="189"/>
      <c r="E110" s="189"/>
      <c r="F110" s="189"/>
      <c r="G110" s="186"/>
      <c r="H110" s="189"/>
      <c r="I110" s="189"/>
      <c r="J110" s="189"/>
      <c r="K110" s="189"/>
    </row>
    <row r="111" spans="1:12" ht="18" customHeight="1" x14ac:dyDescent="0.4">
      <c r="A111" s="120" t="s">
        <v>155</v>
      </c>
      <c r="B111" s="117" t="s">
        <v>164</v>
      </c>
      <c r="E111" s="117" t="s">
        <v>7</v>
      </c>
      <c r="F111" s="556">
        <v>10436200</v>
      </c>
      <c r="G111" s="186"/>
    </row>
    <row r="112" spans="1:12" ht="18" customHeight="1" x14ac:dyDescent="0.4">
      <c r="B112" s="117"/>
      <c r="E112" s="117"/>
      <c r="F112" s="184"/>
      <c r="G112" s="186"/>
    </row>
    <row r="113" spans="1:7" ht="18" customHeight="1" x14ac:dyDescent="0.4">
      <c r="A113" s="120"/>
      <c r="B113" s="117" t="s">
        <v>15</v>
      </c>
      <c r="G113" s="186"/>
    </row>
    <row r="114" spans="1:7" ht="18" customHeight="1" x14ac:dyDescent="0.4">
      <c r="A114" s="183" t="s">
        <v>171</v>
      </c>
      <c r="B114" s="116" t="s">
        <v>35</v>
      </c>
      <c r="F114" s="570">
        <v>0.59899999999999998</v>
      </c>
      <c r="G114" s="186"/>
    </row>
    <row r="115" spans="1:7" ht="18" customHeight="1" x14ac:dyDescent="0.4">
      <c r="A115" s="183"/>
      <c r="B115" s="117"/>
      <c r="G115" s="186"/>
    </row>
    <row r="116" spans="1:7" ht="18" customHeight="1" x14ac:dyDescent="0.4">
      <c r="A116" s="183" t="s">
        <v>170</v>
      </c>
      <c r="B116" s="117" t="s">
        <v>16</v>
      </c>
      <c r="G116" s="186"/>
    </row>
    <row r="117" spans="1:7" ht="18" customHeight="1" x14ac:dyDescent="0.4">
      <c r="A117" s="183" t="s">
        <v>172</v>
      </c>
      <c r="B117" s="116" t="s">
        <v>17</v>
      </c>
      <c r="F117" s="556">
        <v>452372394</v>
      </c>
      <c r="G117" s="186"/>
    </row>
    <row r="118" spans="1:7" ht="18" customHeight="1" x14ac:dyDescent="0.4">
      <c r="A118" s="183" t="s">
        <v>173</v>
      </c>
      <c r="B118" s="189" t="s">
        <v>18</v>
      </c>
      <c r="F118" s="556">
        <v>3625224</v>
      </c>
      <c r="G118" s="186"/>
    </row>
    <row r="119" spans="1:7" ht="18" customHeight="1" x14ac:dyDescent="0.4">
      <c r="A119" s="183" t="s">
        <v>174</v>
      </c>
      <c r="B119" s="117" t="s">
        <v>19</v>
      </c>
      <c r="F119" s="567">
        <f>SUM(F117:F118)</f>
        <v>455997618</v>
      </c>
      <c r="G119" s="186"/>
    </row>
    <row r="120" spans="1:7" ht="18" customHeight="1" x14ac:dyDescent="0.4">
      <c r="A120" s="183"/>
      <c r="B120" s="117"/>
      <c r="G120" s="186"/>
    </row>
    <row r="121" spans="1:7" ht="18" customHeight="1" x14ac:dyDescent="0.4">
      <c r="A121" s="183" t="s">
        <v>167</v>
      </c>
      <c r="B121" s="117" t="s">
        <v>36</v>
      </c>
      <c r="F121" s="556">
        <v>451254859</v>
      </c>
      <c r="G121" s="186"/>
    </row>
    <row r="122" spans="1:7" ht="18" customHeight="1" x14ac:dyDescent="0.4">
      <c r="A122" s="183"/>
      <c r="G122" s="186"/>
    </row>
    <row r="123" spans="1:7" ht="18" customHeight="1" x14ac:dyDescent="0.4">
      <c r="A123" s="183" t="s">
        <v>175</v>
      </c>
      <c r="B123" s="117" t="s">
        <v>20</v>
      </c>
      <c r="F123" s="556">
        <v>4742759</v>
      </c>
      <c r="G123" s="186"/>
    </row>
    <row r="124" spans="1:7" ht="18" customHeight="1" x14ac:dyDescent="0.4">
      <c r="A124" s="183"/>
      <c r="G124" s="186"/>
    </row>
    <row r="125" spans="1:7" ht="18" customHeight="1" x14ac:dyDescent="0.4">
      <c r="A125" s="183" t="s">
        <v>176</v>
      </c>
      <c r="B125" s="117" t="s">
        <v>21</v>
      </c>
      <c r="F125" s="556">
        <v>37214671</v>
      </c>
      <c r="G125" s="186"/>
    </row>
    <row r="126" spans="1:7" ht="18" customHeight="1" x14ac:dyDescent="0.4">
      <c r="A126" s="183"/>
      <c r="G126" s="186"/>
    </row>
    <row r="127" spans="1:7" ht="18" customHeight="1" x14ac:dyDescent="0.4">
      <c r="A127" s="183" t="s">
        <v>177</v>
      </c>
      <c r="B127" s="117" t="s">
        <v>22</v>
      </c>
      <c r="F127" s="556">
        <v>41957430</v>
      </c>
      <c r="G127" s="186"/>
    </row>
    <row r="128" spans="1:7" ht="18" customHeight="1" x14ac:dyDescent="0.4">
      <c r="A128" s="183"/>
      <c r="G128" s="186"/>
    </row>
    <row r="129" spans="1:12" ht="42.75" customHeight="1" x14ac:dyDescent="0.4">
      <c r="F129" s="122" t="s">
        <v>9</v>
      </c>
      <c r="G129" s="122" t="s">
        <v>37</v>
      </c>
      <c r="H129" s="122" t="s">
        <v>29</v>
      </c>
      <c r="I129" s="122" t="s">
        <v>30</v>
      </c>
      <c r="J129" s="122" t="s">
        <v>33</v>
      </c>
      <c r="K129" s="122" t="s">
        <v>34</v>
      </c>
    </row>
    <row r="130" spans="1:12" ht="18" customHeight="1" x14ac:dyDescent="0.4">
      <c r="A130" s="120" t="s">
        <v>157</v>
      </c>
      <c r="B130" s="117" t="s">
        <v>23</v>
      </c>
      <c r="L130" s="186"/>
    </row>
    <row r="131" spans="1:12" ht="18" customHeight="1" x14ac:dyDescent="0.4">
      <c r="A131" s="183" t="s">
        <v>158</v>
      </c>
      <c r="B131" s="189" t="s">
        <v>24</v>
      </c>
      <c r="F131" s="555"/>
      <c r="G131" s="555"/>
      <c r="H131" s="556"/>
      <c r="I131" s="144">
        <v>0</v>
      </c>
      <c r="J131" s="556"/>
      <c r="K131" s="557">
        <f>(H131+I131)-J131</f>
        <v>0</v>
      </c>
      <c r="L131" s="186"/>
    </row>
    <row r="132" spans="1:12" ht="18" customHeight="1" x14ac:dyDescent="0.4">
      <c r="A132" s="183" t="s">
        <v>159</v>
      </c>
      <c r="B132" s="189" t="s">
        <v>25</v>
      </c>
      <c r="F132" s="555"/>
      <c r="G132" s="555"/>
      <c r="H132" s="556"/>
      <c r="I132" s="144">
        <v>0</v>
      </c>
      <c r="J132" s="556"/>
      <c r="K132" s="557">
        <f>(H132+I132)-J132</f>
        <v>0</v>
      </c>
      <c r="L132" s="186"/>
    </row>
    <row r="133" spans="1:12" ht="18" customHeight="1" x14ac:dyDescent="0.4">
      <c r="A133" s="183" t="s">
        <v>160</v>
      </c>
      <c r="B133" s="951"/>
      <c r="C133" s="952"/>
      <c r="D133" s="953"/>
      <c r="F133" s="555"/>
      <c r="G133" s="555"/>
      <c r="H133" s="556"/>
      <c r="I133" s="144">
        <v>0</v>
      </c>
      <c r="J133" s="556"/>
      <c r="K133" s="557">
        <f>(H133+I133)-J133</f>
        <v>0</v>
      </c>
      <c r="L133" s="186"/>
    </row>
    <row r="134" spans="1:12" ht="18" customHeight="1" x14ac:dyDescent="0.4">
      <c r="A134" s="183" t="s">
        <v>161</v>
      </c>
      <c r="B134" s="951"/>
      <c r="C134" s="952"/>
      <c r="D134" s="953"/>
      <c r="F134" s="555"/>
      <c r="G134" s="555"/>
      <c r="H134" s="556"/>
      <c r="I134" s="144">
        <v>0</v>
      </c>
      <c r="J134" s="556"/>
      <c r="K134" s="557">
        <f>(H134+I134)-J134</f>
        <v>0</v>
      </c>
      <c r="L134" s="186"/>
    </row>
    <row r="135" spans="1:12" ht="18" customHeight="1" x14ac:dyDescent="0.4">
      <c r="A135" s="183" t="s">
        <v>162</v>
      </c>
      <c r="B135" s="951"/>
      <c r="C135" s="952"/>
      <c r="D135" s="953"/>
      <c r="F135" s="555"/>
      <c r="G135" s="555"/>
      <c r="H135" s="556"/>
      <c r="I135" s="144">
        <v>0</v>
      </c>
      <c r="J135" s="556"/>
      <c r="K135" s="557">
        <f>(H135+I135)-J135</f>
        <v>0</v>
      </c>
      <c r="L135" s="186"/>
    </row>
    <row r="136" spans="1:12" ht="18" customHeight="1" x14ac:dyDescent="0.4">
      <c r="A136" s="120"/>
      <c r="L136" s="186"/>
    </row>
    <row r="137" spans="1:12" ht="18" customHeight="1" x14ac:dyDescent="0.4">
      <c r="A137" s="120" t="s">
        <v>163</v>
      </c>
      <c r="B137" s="117" t="s">
        <v>27</v>
      </c>
      <c r="F137" s="560">
        <f t="shared" ref="F137:K137" si="14">SUM(F131:F135)</f>
        <v>0</v>
      </c>
      <c r="G137" s="560">
        <f t="shared" si="14"/>
        <v>0</v>
      </c>
      <c r="H137" s="557">
        <f t="shared" si="14"/>
        <v>0</v>
      </c>
      <c r="I137" s="557">
        <f t="shared" si="14"/>
        <v>0</v>
      </c>
      <c r="J137" s="557">
        <f t="shared" si="14"/>
        <v>0</v>
      </c>
      <c r="K137" s="557">
        <f t="shared" si="14"/>
        <v>0</v>
      </c>
      <c r="L137" s="186"/>
    </row>
    <row r="138" spans="1:12" ht="18" customHeight="1" x14ac:dyDescent="0.35">
      <c r="A138" s="189"/>
      <c r="L138" s="186"/>
    </row>
    <row r="139" spans="1:12" ht="42.75" customHeight="1" x14ac:dyDescent="0.4">
      <c r="F139" s="122" t="s">
        <v>9</v>
      </c>
      <c r="G139" s="122" t="s">
        <v>37</v>
      </c>
      <c r="H139" s="122" t="s">
        <v>29</v>
      </c>
      <c r="I139" s="122" t="s">
        <v>30</v>
      </c>
      <c r="J139" s="122" t="s">
        <v>33</v>
      </c>
      <c r="K139" s="122" t="s">
        <v>34</v>
      </c>
      <c r="L139" s="186"/>
    </row>
    <row r="140" spans="1:12" ht="18" customHeight="1" x14ac:dyDescent="0.4">
      <c r="A140" s="120" t="s">
        <v>166</v>
      </c>
      <c r="B140" s="117" t="s">
        <v>26</v>
      </c>
    </row>
    <row r="141" spans="1:12" ht="18" customHeight="1" x14ac:dyDescent="0.4">
      <c r="A141" s="183" t="s">
        <v>137</v>
      </c>
      <c r="B141" s="117" t="s">
        <v>64</v>
      </c>
      <c r="F141" s="136">
        <f t="shared" ref="F141:K141" si="15">F36</f>
        <v>18072</v>
      </c>
      <c r="G141" s="136">
        <f t="shared" si="15"/>
        <v>54966</v>
      </c>
      <c r="H141" s="136">
        <f t="shared" si="15"/>
        <v>1048678</v>
      </c>
      <c r="I141" s="136">
        <f t="shared" si="15"/>
        <v>628158.12199999997</v>
      </c>
      <c r="J141" s="136">
        <f t="shared" si="15"/>
        <v>265489</v>
      </c>
      <c r="K141" s="136">
        <f t="shared" si="15"/>
        <v>1411347.122</v>
      </c>
    </row>
    <row r="142" spans="1:12" ht="18" customHeight="1" x14ac:dyDescent="0.4">
      <c r="A142" s="183" t="s">
        <v>142</v>
      </c>
      <c r="B142" s="117" t="s">
        <v>65</v>
      </c>
      <c r="F142" s="136">
        <f t="shared" ref="F142:K142" si="16">F49</f>
        <v>33360</v>
      </c>
      <c r="G142" s="136">
        <f t="shared" si="16"/>
        <v>588</v>
      </c>
      <c r="H142" s="136">
        <f t="shared" si="16"/>
        <v>2423728</v>
      </c>
      <c r="I142" s="136">
        <f t="shared" si="16"/>
        <v>1451813.0719999999</v>
      </c>
      <c r="J142" s="136">
        <f t="shared" si="16"/>
        <v>46200</v>
      </c>
      <c r="K142" s="136">
        <f t="shared" si="16"/>
        <v>3829341.0719999997</v>
      </c>
    </row>
    <row r="143" spans="1:12" ht="18" customHeight="1" x14ac:dyDescent="0.4">
      <c r="A143" s="183" t="s">
        <v>144</v>
      </c>
      <c r="B143" s="117" t="s">
        <v>66</v>
      </c>
      <c r="F143" s="136">
        <f t="shared" ref="F143:K143" si="17">F64</f>
        <v>398448</v>
      </c>
      <c r="G143" s="136">
        <f t="shared" si="17"/>
        <v>151404</v>
      </c>
      <c r="H143" s="136">
        <f t="shared" si="17"/>
        <v>67053485</v>
      </c>
      <c r="I143" s="136">
        <f t="shared" si="17"/>
        <v>9525800.2699999996</v>
      </c>
      <c r="J143" s="136">
        <f t="shared" si="17"/>
        <v>31257311</v>
      </c>
      <c r="K143" s="136">
        <f t="shared" si="17"/>
        <v>45321974.270000003</v>
      </c>
    </row>
    <row r="144" spans="1:12" ht="18" customHeight="1" x14ac:dyDescent="0.4">
      <c r="A144" s="183" t="s">
        <v>146</v>
      </c>
      <c r="B144" s="117" t="s">
        <v>67</v>
      </c>
      <c r="F144" s="136">
        <f t="shared" ref="F144:K144" si="18">F74</f>
        <v>0</v>
      </c>
      <c r="G144" s="136">
        <f t="shared" si="18"/>
        <v>0</v>
      </c>
      <c r="H144" s="136">
        <f t="shared" si="18"/>
        <v>0</v>
      </c>
      <c r="I144" s="136">
        <f t="shared" si="18"/>
        <v>0</v>
      </c>
      <c r="J144" s="136">
        <f t="shared" si="18"/>
        <v>0</v>
      </c>
      <c r="K144" s="136">
        <f t="shared" si="18"/>
        <v>0</v>
      </c>
    </row>
    <row r="145" spans="1:11" ht="18" customHeight="1" x14ac:dyDescent="0.4">
      <c r="A145" s="183" t="s">
        <v>148</v>
      </c>
      <c r="B145" s="117" t="s">
        <v>68</v>
      </c>
      <c r="F145" s="136">
        <f t="shared" ref="F145:K145" si="19">F82</f>
        <v>2047</v>
      </c>
      <c r="G145" s="136">
        <f t="shared" si="19"/>
        <v>2628</v>
      </c>
      <c r="H145" s="136">
        <f t="shared" si="19"/>
        <v>168856</v>
      </c>
      <c r="I145" s="136">
        <f t="shared" si="19"/>
        <v>0</v>
      </c>
      <c r="J145" s="136">
        <f t="shared" si="19"/>
        <v>0</v>
      </c>
      <c r="K145" s="136">
        <f t="shared" si="19"/>
        <v>168856</v>
      </c>
    </row>
    <row r="146" spans="1:11" ht="18" customHeight="1" x14ac:dyDescent="0.4">
      <c r="A146" s="183" t="s">
        <v>150</v>
      </c>
      <c r="B146" s="117" t="s">
        <v>69</v>
      </c>
      <c r="F146" s="136">
        <f t="shared" ref="F146:K146" si="20">F98</f>
        <v>997</v>
      </c>
      <c r="G146" s="136">
        <f t="shared" si="20"/>
        <v>507</v>
      </c>
      <c r="H146" s="136">
        <f t="shared" si="20"/>
        <v>1754697</v>
      </c>
      <c r="I146" s="136">
        <f t="shared" si="20"/>
        <v>1051063.503</v>
      </c>
      <c r="J146" s="136">
        <f t="shared" si="20"/>
        <v>0</v>
      </c>
      <c r="K146" s="136">
        <f t="shared" si="20"/>
        <v>2805760.503</v>
      </c>
    </row>
    <row r="147" spans="1:11" ht="18" customHeight="1" x14ac:dyDescent="0.4">
      <c r="A147" s="183" t="s">
        <v>153</v>
      </c>
      <c r="B147" s="117" t="s">
        <v>61</v>
      </c>
      <c r="F147" s="560">
        <f t="shared" ref="F147:K147" si="21">F108</f>
        <v>445</v>
      </c>
      <c r="G147" s="560">
        <f t="shared" si="21"/>
        <v>233</v>
      </c>
      <c r="H147" s="560">
        <f t="shared" si="21"/>
        <v>29846</v>
      </c>
      <c r="I147" s="560">
        <f t="shared" si="21"/>
        <v>17877.754000000001</v>
      </c>
      <c r="J147" s="560">
        <f t="shared" si="21"/>
        <v>0</v>
      </c>
      <c r="K147" s="560">
        <f t="shared" si="21"/>
        <v>47723.754000000001</v>
      </c>
    </row>
    <row r="148" spans="1:11" ht="18" customHeight="1" x14ac:dyDescent="0.4">
      <c r="A148" s="183" t="s">
        <v>155</v>
      </c>
      <c r="B148" s="117" t="s">
        <v>70</v>
      </c>
      <c r="F148" s="137" t="s">
        <v>73</v>
      </c>
      <c r="G148" s="137" t="s">
        <v>73</v>
      </c>
      <c r="H148" s="138" t="s">
        <v>73</v>
      </c>
      <c r="I148" s="138" t="s">
        <v>73</v>
      </c>
      <c r="J148" s="138" t="s">
        <v>73</v>
      </c>
      <c r="K148" s="133">
        <f>F111</f>
        <v>10436200</v>
      </c>
    </row>
    <row r="149" spans="1:11" ht="18" customHeight="1" x14ac:dyDescent="0.4">
      <c r="A149" s="183" t="s">
        <v>163</v>
      </c>
      <c r="B149" s="117" t="s">
        <v>71</v>
      </c>
      <c r="F149" s="560">
        <f t="shared" ref="F149:K149" si="22">F137</f>
        <v>0</v>
      </c>
      <c r="G149" s="560">
        <f t="shared" si="22"/>
        <v>0</v>
      </c>
      <c r="H149" s="560">
        <f t="shared" si="22"/>
        <v>0</v>
      </c>
      <c r="I149" s="560">
        <f t="shared" si="22"/>
        <v>0</v>
      </c>
      <c r="J149" s="560">
        <f t="shared" si="22"/>
        <v>0</v>
      </c>
      <c r="K149" s="560">
        <f t="shared" si="22"/>
        <v>0</v>
      </c>
    </row>
    <row r="150" spans="1:11" ht="18" customHeight="1" x14ac:dyDescent="0.4">
      <c r="A150" s="183" t="s">
        <v>185</v>
      </c>
      <c r="B150" s="117" t="s">
        <v>186</v>
      </c>
      <c r="F150" s="137" t="s">
        <v>73</v>
      </c>
      <c r="G150" s="137" t="s">
        <v>73</v>
      </c>
      <c r="H150" s="560">
        <f>H18</f>
        <v>8718641</v>
      </c>
      <c r="I150" s="560">
        <f>I18</f>
        <v>0</v>
      </c>
      <c r="J150" s="560">
        <f>J18</f>
        <v>7248043</v>
      </c>
      <c r="K150" s="560">
        <f>K18</f>
        <v>1470598</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3">SUM(F141:F150)</f>
        <v>453369</v>
      </c>
      <c r="G152" s="143">
        <f t="shared" si="23"/>
        <v>210326</v>
      </c>
      <c r="H152" s="143">
        <f t="shared" si="23"/>
        <v>81197931</v>
      </c>
      <c r="I152" s="143">
        <f t="shared" si="23"/>
        <v>12674712.721000001</v>
      </c>
      <c r="J152" s="143">
        <f t="shared" si="23"/>
        <v>38817043</v>
      </c>
      <c r="K152" s="143">
        <f t="shared" si="23"/>
        <v>65491800.721000001</v>
      </c>
    </row>
    <row r="154" spans="1:11" ht="18" customHeight="1" x14ac:dyDescent="0.4">
      <c r="A154" s="120" t="s">
        <v>168</v>
      </c>
      <c r="B154" s="117" t="s">
        <v>28</v>
      </c>
      <c r="F154" s="571">
        <f>K152/F121</f>
        <v>0.14513262165449614</v>
      </c>
      <c r="G154" s="186"/>
    </row>
    <row r="155" spans="1:11" ht="18" customHeight="1" x14ac:dyDescent="0.4">
      <c r="A155" s="120" t="s">
        <v>169</v>
      </c>
      <c r="B155" s="117" t="s">
        <v>72</v>
      </c>
      <c r="F155" s="571">
        <f>K152/F127</f>
        <v>1.5609106830661459</v>
      </c>
      <c r="G155" s="425"/>
    </row>
    <row r="156" spans="1:11" ht="18" customHeight="1" x14ac:dyDescent="0.4">
      <c r="G156" s="117"/>
    </row>
  </sheetData>
  <mergeCells count="28">
    <mergeCell ref="B135:D135"/>
    <mergeCell ref="B95:D95"/>
    <mergeCell ref="B96:D96"/>
    <mergeCell ref="B103:C103"/>
    <mergeCell ref="B104:D104"/>
    <mergeCell ref="B105:D105"/>
    <mergeCell ref="B106:D106"/>
    <mergeCell ref="B133:D133"/>
    <mergeCell ref="B134:D134"/>
    <mergeCell ref="B90:C90"/>
    <mergeCell ref="B94:D94"/>
    <mergeCell ref="C10:G10"/>
    <mergeCell ref="B30:D30"/>
    <mergeCell ref="B52:C52"/>
    <mergeCell ref="D2:H2"/>
    <mergeCell ref="B45:D45"/>
    <mergeCell ref="B46:D46"/>
    <mergeCell ref="B47:D47"/>
    <mergeCell ref="B34:D34"/>
    <mergeCell ref="C11:G11"/>
    <mergeCell ref="B41:C41"/>
    <mergeCell ref="B44:D44"/>
    <mergeCell ref="B13:H13"/>
    <mergeCell ref="C5:G5"/>
    <mergeCell ref="C6:G6"/>
    <mergeCell ref="C7:G7"/>
    <mergeCell ref="B31:D31"/>
    <mergeCell ref="C9:G9"/>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64" max="16383" man="1"/>
    <brk id="99" max="16383" man="1"/>
    <brk id="12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0"/>
    <pageSetUpPr fitToPage="1"/>
  </sheetPr>
  <dimension ref="A1:K156"/>
  <sheetViews>
    <sheetView showGridLines="0" topLeftCell="A51" zoomScale="80" zoomScaleNormal="80" zoomScaleSheetLayoutView="85" workbookViewId="0">
      <selection activeCell="H64" sqref="H64"/>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1328125" style="189" customWidth="1"/>
    <col min="5" max="5" width="12.3984375" style="189" customWidth="1"/>
    <col min="6" max="6" width="18.59765625" style="189" customWidth="1"/>
    <col min="7" max="7" width="23.59765625" style="189" customWidth="1"/>
    <col min="8" max="8" width="17.1328125" style="281" customWidth="1"/>
    <col min="9" max="9" width="21.1328125" style="333" customWidth="1"/>
    <col min="10" max="10" width="19.86328125" style="333" customWidth="1"/>
    <col min="11" max="11" width="17.59765625" style="333" customWidth="1"/>
    <col min="12" max="12" width="9.1328125" style="189" customWidth="1"/>
    <col min="13" max="16384" width="9" style="189"/>
  </cols>
  <sheetData>
    <row r="1" spans="1:11" ht="18" customHeight="1" x14ac:dyDescent="0.4">
      <c r="C1" s="119"/>
      <c r="D1" s="118"/>
      <c r="E1" s="119"/>
      <c r="F1" s="119"/>
      <c r="G1" s="119"/>
      <c r="H1" s="421"/>
      <c r="I1" s="332"/>
      <c r="J1" s="332"/>
      <c r="K1" s="332"/>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227</v>
      </c>
      <c r="D5" s="962"/>
      <c r="E5" s="962"/>
      <c r="F5" s="962"/>
      <c r="G5" s="963"/>
    </row>
    <row r="6" spans="1:11" ht="18" customHeight="1" x14ac:dyDescent="0.4">
      <c r="B6" s="183" t="s">
        <v>3</v>
      </c>
      <c r="C6" s="964" t="s">
        <v>353</v>
      </c>
      <c r="D6" s="965"/>
      <c r="E6" s="965"/>
      <c r="F6" s="965"/>
      <c r="G6" s="966"/>
    </row>
    <row r="7" spans="1:11" ht="18" customHeight="1" x14ac:dyDescent="0.4">
      <c r="B7" s="183" t="s">
        <v>4</v>
      </c>
      <c r="C7" s="982">
        <v>1786</v>
      </c>
      <c r="D7" s="983"/>
      <c r="E7" s="983"/>
      <c r="F7" s="983"/>
      <c r="G7" s="984"/>
    </row>
    <row r="9" spans="1:11" ht="18" customHeight="1" x14ac:dyDescent="0.4">
      <c r="B9" s="183" t="s">
        <v>1</v>
      </c>
      <c r="C9" s="961" t="s">
        <v>354</v>
      </c>
      <c r="D9" s="962"/>
      <c r="E9" s="962"/>
      <c r="F9" s="962"/>
      <c r="G9" s="963"/>
    </row>
    <row r="10" spans="1:11" ht="18" customHeight="1" x14ac:dyDescent="0.4">
      <c r="B10" s="183" t="s">
        <v>2</v>
      </c>
      <c r="C10" s="970" t="s">
        <v>355</v>
      </c>
      <c r="D10" s="971"/>
      <c r="E10" s="971"/>
      <c r="F10" s="971"/>
      <c r="G10" s="972"/>
    </row>
    <row r="11" spans="1:11" ht="18" customHeight="1" x14ac:dyDescent="0.4">
      <c r="B11" s="183" t="s">
        <v>32</v>
      </c>
      <c r="C11" s="961" t="s">
        <v>516</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332"/>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422" t="s">
        <v>29</v>
      </c>
      <c r="I16" s="110" t="s">
        <v>30</v>
      </c>
      <c r="J16" s="110" t="s">
        <v>33</v>
      </c>
      <c r="K16" s="110" t="s">
        <v>34</v>
      </c>
    </row>
    <row r="17" spans="1:11" ht="18" customHeight="1" x14ac:dyDescent="0.4">
      <c r="A17" s="120" t="s">
        <v>184</v>
      </c>
      <c r="B17" s="117" t="s">
        <v>182</v>
      </c>
    </row>
    <row r="18" spans="1:11" ht="18" customHeight="1" x14ac:dyDescent="0.4">
      <c r="A18" s="183" t="s">
        <v>185</v>
      </c>
      <c r="B18" s="116" t="s">
        <v>183</v>
      </c>
      <c r="F18" s="645" t="s">
        <v>73</v>
      </c>
      <c r="G18" s="645" t="s">
        <v>73</v>
      </c>
      <c r="H18" s="646">
        <v>6377425</v>
      </c>
      <c r="I18" s="335">
        <v>0</v>
      </c>
      <c r="J18" s="603">
        <v>5301727</v>
      </c>
      <c r="K18" s="621">
        <v>1075698</v>
      </c>
    </row>
    <row r="19" spans="1:11" ht="45" customHeight="1" x14ac:dyDescent="0.4">
      <c r="A19" s="118" t="s">
        <v>8</v>
      </c>
      <c r="B19" s="119"/>
      <c r="C19" s="119"/>
      <c r="D19" s="119"/>
      <c r="E19" s="119"/>
      <c r="F19" s="122" t="s">
        <v>9</v>
      </c>
      <c r="G19" s="122" t="s">
        <v>37</v>
      </c>
      <c r="H19" s="647" t="s">
        <v>29</v>
      </c>
      <c r="I19" s="110" t="s">
        <v>30</v>
      </c>
      <c r="J19" s="110" t="s">
        <v>33</v>
      </c>
      <c r="K19" s="110" t="s">
        <v>34</v>
      </c>
    </row>
    <row r="20" spans="1:11" ht="18" customHeight="1" x14ac:dyDescent="0.4">
      <c r="A20" s="120" t="s">
        <v>74</v>
      </c>
      <c r="B20" s="117" t="s">
        <v>41</v>
      </c>
      <c r="H20" s="648"/>
    </row>
    <row r="21" spans="1:11" ht="18" customHeight="1" x14ac:dyDescent="0.4">
      <c r="A21" s="183" t="s">
        <v>75</v>
      </c>
      <c r="B21" s="116" t="s">
        <v>42</v>
      </c>
      <c r="F21" s="649">
        <v>4177.5</v>
      </c>
      <c r="G21" s="649">
        <v>30750</v>
      </c>
      <c r="H21" s="646">
        <v>411145</v>
      </c>
      <c r="I21" s="423">
        <v>243722</v>
      </c>
      <c r="J21" s="650">
        <v>73472</v>
      </c>
      <c r="K21" s="651">
        <f>H21+I21-J21</f>
        <v>581395</v>
      </c>
    </row>
    <row r="22" spans="1:11" ht="18" customHeight="1" x14ac:dyDescent="0.4">
      <c r="A22" s="183" t="s">
        <v>76</v>
      </c>
      <c r="B22" s="189" t="s">
        <v>6</v>
      </c>
      <c r="F22" s="649">
        <v>1052</v>
      </c>
      <c r="G22" s="649">
        <v>1468</v>
      </c>
      <c r="H22" s="646">
        <v>50362</v>
      </c>
      <c r="I22" s="423">
        <v>29917</v>
      </c>
      <c r="J22" s="650">
        <v>1653</v>
      </c>
      <c r="K22" s="651">
        <f t="shared" ref="K22:K34" si="0">H22+I22-J22</f>
        <v>78626</v>
      </c>
    </row>
    <row r="23" spans="1:11" ht="18" customHeight="1" x14ac:dyDescent="0.4">
      <c r="A23" s="183" t="s">
        <v>77</v>
      </c>
      <c r="B23" s="189" t="s">
        <v>43</v>
      </c>
      <c r="F23" s="649">
        <v>570.5</v>
      </c>
      <c r="G23" s="649">
        <v>37947</v>
      </c>
      <c r="H23" s="646">
        <v>31901</v>
      </c>
      <c r="I23" s="423">
        <v>18062</v>
      </c>
      <c r="J23" s="650">
        <v>2204</v>
      </c>
      <c r="K23" s="651">
        <f>H23+I23-J23</f>
        <v>47759</v>
      </c>
    </row>
    <row r="24" spans="1:11" ht="18" customHeight="1" x14ac:dyDescent="0.4">
      <c r="A24" s="183" t="s">
        <v>78</v>
      </c>
      <c r="B24" s="189" t="s">
        <v>44</v>
      </c>
      <c r="F24" s="649">
        <v>3328</v>
      </c>
      <c r="G24" s="649">
        <v>0</v>
      </c>
      <c r="H24" s="646">
        <v>317542</v>
      </c>
      <c r="I24" s="423">
        <v>188620</v>
      </c>
      <c r="J24" s="650">
        <v>72366</v>
      </c>
      <c r="K24" s="651">
        <f t="shared" si="0"/>
        <v>433796</v>
      </c>
    </row>
    <row r="25" spans="1:11" ht="18" customHeight="1" x14ac:dyDescent="0.4">
      <c r="A25" s="183" t="s">
        <v>79</v>
      </c>
      <c r="B25" s="189" t="s">
        <v>5</v>
      </c>
      <c r="F25" s="649">
        <v>14</v>
      </c>
      <c r="G25" s="649">
        <v>2636</v>
      </c>
      <c r="H25" s="646">
        <v>1989</v>
      </c>
      <c r="I25" s="423">
        <v>1181</v>
      </c>
      <c r="J25" s="650">
        <v>0</v>
      </c>
      <c r="K25" s="651">
        <f t="shared" si="0"/>
        <v>3170</v>
      </c>
    </row>
    <row r="26" spans="1:11" ht="18" customHeight="1" x14ac:dyDescent="0.4">
      <c r="A26" s="183" t="s">
        <v>80</v>
      </c>
      <c r="B26" s="189" t="s">
        <v>45</v>
      </c>
      <c r="F26" s="649">
        <v>135</v>
      </c>
      <c r="G26" s="649">
        <v>157</v>
      </c>
      <c r="H26" s="646">
        <v>7543</v>
      </c>
      <c r="I26" s="423">
        <v>4481</v>
      </c>
      <c r="J26" s="650">
        <v>551</v>
      </c>
      <c r="K26" s="651">
        <f t="shared" si="0"/>
        <v>11473</v>
      </c>
    </row>
    <row r="27" spans="1:11" ht="18" customHeight="1" x14ac:dyDescent="0.4">
      <c r="A27" s="183" t="s">
        <v>81</v>
      </c>
      <c r="B27" s="189" t="s">
        <v>498</v>
      </c>
      <c r="F27" s="649">
        <v>1952</v>
      </c>
      <c r="G27" s="649">
        <v>5199</v>
      </c>
      <c r="H27" s="646">
        <v>356521</v>
      </c>
      <c r="I27" s="423">
        <v>209013</v>
      </c>
      <c r="J27" s="650">
        <v>1543</v>
      </c>
      <c r="K27" s="651">
        <f t="shared" si="0"/>
        <v>563991</v>
      </c>
    </row>
    <row r="28" spans="1:11" ht="18" customHeight="1" x14ac:dyDescent="0.4">
      <c r="A28" s="183" t="s">
        <v>82</v>
      </c>
      <c r="B28" s="189" t="s">
        <v>47</v>
      </c>
      <c r="F28" s="649">
        <v>0</v>
      </c>
      <c r="G28" s="649">
        <v>0</v>
      </c>
      <c r="H28" s="646">
        <v>0</v>
      </c>
      <c r="I28" s="423">
        <v>0</v>
      </c>
      <c r="J28" s="650">
        <v>0</v>
      </c>
      <c r="K28" s="651">
        <f t="shared" si="0"/>
        <v>0</v>
      </c>
    </row>
    <row r="29" spans="1:11" ht="18" customHeight="1" x14ac:dyDescent="0.4">
      <c r="A29" s="183" t="s">
        <v>83</v>
      </c>
      <c r="B29" s="189" t="s">
        <v>48</v>
      </c>
      <c r="F29" s="649">
        <v>18527</v>
      </c>
      <c r="G29" s="649">
        <v>11158</v>
      </c>
      <c r="H29" s="646">
        <v>1313655</v>
      </c>
      <c r="I29" s="423">
        <v>663244</v>
      </c>
      <c r="J29" s="650">
        <v>0</v>
      </c>
      <c r="K29" s="651">
        <f t="shared" si="0"/>
        <v>1976899</v>
      </c>
    </row>
    <row r="30" spans="1:11" ht="18" customHeight="1" x14ac:dyDescent="0.4">
      <c r="A30" s="183" t="s">
        <v>84</v>
      </c>
      <c r="B30" s="951"/>
      <c r="C30" s="952"/>
      <c r="D30" s="953"/>
      <c r="F30" s="555"/>
      <c r="G30" s="652"/>
      <c r="H30" s="646"/>
      <c r="I30" s="423"/>
      <c r="J30" s="650"/>
      <c r="K30" s="621">
        <f t="shared" si="0"/>
        <v>0</v>
      </c>
    </row>
    <row r="31" spans="1:11" ht="18" customHeight="1" x14ac:dyDescent="0.4">
      <c r="A31" s="183" t="s">
        <v>133</v>
      </c>
      <c r="B31" s="951"/>
      <c r="C31" s="952"/>
      <c r="D31" s="953"/>
      <c r="F31" s="555"/>
      <c r="G31" s="652"/>
      <c r="H31" s="646"/>
      <c r="I31" s="423"/>
      <c r="J31" s="650"/>
      <c r="K31" s="621">
        <f t="shared" si="0"/>
        <v>0</v>
      </c>
    </row>
    <row r="32" spans="1:11" ht="18" customHeight="1" x14ac:dyDescent="0.4">
      <c r="A32" s="183" t="s">
        <v>134</v>
      </c>
      <c r="B32" s="500"/>
      <c r="C32" s="501"/>
      <c r="D32" s="502"/>
      <c r="F32" s="555"/>
      <c r="G32" s="653"/>
      <c r="H32" s="646"/>
      <c r="I32" s="423"/>
      <c r="J32" s="650"/>
      <c r="K32" s="621">
        <f t="shared" si="0"/>
        <v>0</v>
      </c>
    </row>
    <row r="33" spans="1:11" ht="18" customHeight="1" x14ac:dyDescent="0.4">
      <c r="A33" s="183" t="s">
        <v>135</v>
      </c>
      <c r="B33" s="500"/>
      <c r="C33" s="501"/>
      <c r="D33" s="502"/>
      <c r="F33" s="555"/>
      <c r="G33" s="653"/>
      <c r="H33" s="646"/>
      <c r="I33" s="423"/>
      <c r="J33" s="650"/>
      <c r="K33" s="621">
        <f t="shared" si="0"/>
        <v>0</v>
      </c>
    </row>
    <row r="34" spans="1:11" ht="18" customHeight="1" x14ac:dyDescent="0.4">
      <c r="A34" s="183" t="s">
        <v>136</v>
      </c>
      <c r="B34" s="951"/>
      <c r="C34" s="952"/>
      <c r="D34" s="953"/>
      <c r="F34" s="555"/>
      <c r="G34" s="653"/>
      <c r="H34" s="646"/>
      <c r="I34" s="423"/>
      <c r="J34" s="650"/>
      <c r="K34" s="621">
        <f t="shared" si="0"/>
        <v>0</v>
      </c>
    </row>
    <row r="35" spans="1:11" ht="18" customHeight="1" x14ac:dyDescent="0.35">
      <c r="G35" s="654"/>
      <c r="H35" s="655"/>
      <c r="K35" s="622"/>
    </row>
    <row r="36" spans="1:11" ht="18" customHeight="1" x14ac:dyDescent="0.4">
      <c r="A36" s="120" t="s">
        <v>137</v>
      </c>
      <c r="B36" s="117" t="s">
        <v>138</v>
      </c>
      <c r="E36" s="117" t="s">
        <v>7</v>
      </c>
      <c r="F36" s="656">
        <f t="shared" ref="F36:K36" si="1">SUM(F21:F34)</f>
        <v>29756</v>
      </c>
      <c r="G36" s="656">
        <f t="shared" si="1"/>
        <v>89315</v>
      </c>
      <c r="H36" s="657">
        <f t="shared" si="1"/>
        <v>2490658</v>
      </c>
      <c r="I36" s="651">
        <f t="shared" si="1"/>
        <v>1358240</v>
      </c>
      <c r="J36" s="651">
        <f t="shared" si="1"/>
        <v>151789</v>
      </c>
      <c r="K36" s="651">
        <f t="shared" si="1"/>
        <v>3697109</v>
      </c>
    </row>
    <row r="37" spans="1:11" s="186" customFormat="1" ht="18" customHeight="1" x14ac:dyDescent="0.4">
      <c r="A37" s="424"/>
      <c r="B37" s="425"/>
      <c r="E37" s="425"/>
      <c r="F37" s="426"/>
      <c r="G37" s="426"/>
      <c r="H37" s="658"/>
      <c r="I37" s="427"/>
      <c r="J37" s="428"/>
      <c r="K37" s="659"/>
    </row>
    <row r="38" spans="1:11" ht="18" customHeight="1" x14ac:dyDescent="0.4">
      <c r="B38" s="117"/>
      <c r="F38" s="429"/>
      <c r="G38" s="429"/>
      <c r="H38" s="660"/>
      <c r="I38" s="430"/>
      <c r="J38" s="431"/>
      <c r="K38" s="340"/>
    </row>
    <row r="39" spans="1:11" ht="42.75" customHeight="1" x14ac:dyDescent="0.4">
      <c r="F39" s="122" t="s">
        <v>9</v>
      </c>
      <c r="G39" s="122" t="s">
        <v>37</v>
      </c>
      <c r="H39" s="647" t="s">
        <v>29</v>
      </c>
      <c r="I39" s="110" t="s">
        <v>30</v>
      </c>
      <c r="J39" s="110" t="s">
        <v>33</v>
      </c>
      <c r="K39" s="110" t="s">
        <v>34</v>
      </c>
    </row>
    <row r="40" spans="1:11" ht="18.75" customHeight="1" x14ac:dyDescent="0.4">
      <c r="A40" s="120" t="s">
        <v>86</v>
      </c>
      <c r="B40" s="117" t="s">
        <v>49</v>
      </c>
      <c r="H40" s="648"/>
      <c r="I40" s="661"/>
    </row>
    <row r="41" spans="1:11" ht="18" customHeight="1" x14ac:dyDescent="0.4">
      <c r="A41" s="183" t="s">
        <v>87</v>
      </c>
      <c r="B41" s="189" t="s">
        <v>31</v>
      </c>
      <c r="F41" s="649">
        <v>6159</v>
      </c>
      <c r="G41" s="649">
        <v>1528</v>
      </c>
      <c r="H41" s="646">
        <v>517043</v>
      </c>
      <c r="I41" s="662">
        <v>293293</v>
      </c>
      <c r="J41" s="650">
        <v>0</v>
      </c>
      <c r="K41" s="651">
        <f>H41+I41-J41</f>
        <v>810336</v>
      </c>
    </row>
    <row r="42" spans="1:11" ht="18" customHeight="1" x14ac:dyDescent="0.4">
      <c r="A42" s="183" t="s">
        <v>88</v>
      </c>
      <c r="B42" s="956" t="s">
        <v>50</v>
      </c>
      <c r="C42" s="957"/>
      <c r="F42" s="649">
        <v>25968</v>
      </c>
      <c r="G42" s="649">
        <v>336</v>
      </c>
      <c r="H42" s="646">
        <v>2016048</v>
      </c>
      <c r="I42" s="663">
        <v>1197437</v>
      </c>
      <c r="J42" s="650">
        <v>0</v>
      </c>
      <c r="K42" s="651">
        <f t="shared" ref="K42:K45" si="2">H42+I42-J42</f>
        <v>3213485</v>
      </c>
    </row>
    <row r="43" spans="1:11" ht="18" customHeight="1" x14ac:dyDescent="0.4">
      <c r="A43" s="183" t="s">
        <v>89</v>
      </c>
      <c r="B43" s="116" t="s">
        <v>11</v>
      </c>
      <c r="F43" s="649">
        <v>4478</v>
      </c>
      <c r="G43" s="649">
        <v>183</v>
      </c>
      <c r="H43" s="646">
        <v>237307</v>
      </c>
      <c r="I43" s="663">
        <v>140962</v>
      </c>
      <c r="J43" s="650">
        <v>6784</v>
      </c>
      <c r="K43" s="651">
        <f t="shared" si="2"/>
        <v>371485</v>
      </c>
    </row>
    <row r="44" spans="1:11" ht="18" customHeight="1" x14ac:dyDescent="0.4">
      <c r="A44" s="183" t="s">
        <v>90</v>
      </c>
      <c r="B44" s="141" t="s">
        <v>10</v>
      </c>
      <c r="C44" s="123"/>
      <c r="D44" s="123"/>
      <c r="F44" s="649">
        <v>96.3</v>
      </c>
      <c r="G44" s="649">
        <v>31</v>
      </c>
      <c r="H44" s="646">
        <v>5636</v>
      </c>
      <c r="I44" s="663">
        <v>3347</v>
      </c>
      <c r="J44" s="650">
        <v>0</v>
      </c>
      <c r="K44" s="651">
        <f t="shared" si="2"/>
        <v>8983</v>
      </c>
    </row>
    <row r="45" spans="1:11" ht="18" customHeight="1" x14ac:dyDescent="0.4">
      <c r="A45" s="183" t="s">
        <v>91</v>
      </c>
      <c r="B45" s="973" t="s">
        <v>233</v>
      </c>
      <c r="C45" s="1061"/>
      <c r="D45" s="1062"/>
      <c r="F45" s="664">
        <v>9863</v>
      </c>
      <c r="G45" s="664">
        <v>126</v>
      </c>
      <c r="H45" s="646">
        <v>446553</v>
      </c>
      <c r="I45" s="662">
        <v>133663</v>
      </c>
      <c r="J45" s="650">
        <v>0</v>
      </c>
      <c r="K45" s="651">
        <f t="shared" si="2"/>
        <v>580216</v>
      </c>
    </row>
    <row r="46" spans="1:11" ht="18" customHeight="1" x14ac:dyDescent="0.4">
      <c r="A46" s="183" t="s">
        <v>139</v>
      </c>
      <c r="B46" s="951"/>
      <c r="C46" s="952"/>
      <c r="D46" s="953"/>
      <c r="F46" s="649"/>
      <c r="G46" s="649"/>
      <c r="H46" s="646"/>
      <c r="I46" s="423"/>
      <c r="J46" s="650"/>
      <c r="K46" s="651">
        <f t="shared" ref="K46:K47" si="3">(H46+I46)-J46</f>
        <v>0</v>
      </c>
    </row>
    <row r="47" spans="1:11" ht="18" customHeight="1" x14ac:dyDescent="0.4">
      <c r="A47" s="183" t="s">
        <v>140</v>
      </c>
      <c r="B47" s="951"/>
      <c r="C47" s="952"/>
      <c r="D47" s="953"/>
      <c r="F47" s="649"/>
      <c r="G47" s="649"/>
      <c r="H47" s="646"/>
      <c r="I47" s="423"/>
      <c r="J47" s="650"/>
      <c r="K47" s="651">
        <f t="shared" si="3"/>
        <v>0</v>
      </c>
    </row>
    <row r="48" spans="1:11" ht="18" customHeight="1" x14ac:dyDescent="0.35">
      <c r="F48" s="665"/>
      <c r="G48" s="665"/>
      <c r="H48" s="655"/>
    </row>
    <row r="49" spans="1:11" ht="18" customHeight="1" x14ac:dyDescent="0.4">
      <c r="A49" s="120" t="s">
        <v>142</v>
      </c>
      <c r="B49" s="117" t="s">
        <v>143</v>
      </c>
      <c r="E49" s="117" t="s">
        <v>7</v>
      </c>
      <c r="F49" s="656">
        <f t="shared" ref="F49:K49" si="4">SUM(F41:F47)</f>
        <v>46564.3</v>
      </c>
      <c r="G49" s="656">
        <f t="shared" si="4"/>
        <v>2204</v>
      </c>
      <c r="H49" s="657">
        <f t="shared" si="4"/>
        <v>3222587</v>
      </c>
      <c r="I49" s="651">
        <f t="shared" si="4"/>
        <v>1768702</v>
      </c>
      <c r="J49" s="651">
        <f t="shared" si="4"/>
        <v>6784</v>
      </c>
      <c r="K49" s="651">
        <f t="shared" si="4"/>
        <v>4984505</v>
      </c>
    </row>
    <row r="50" spans="1:11" s="186" customFormat="1" ht="18" customHeight="1" x14ac:dyDescent="0.4">
      <c r="A50" s="424"/>
      <c r="B50" s="425"/>
      <c r="E50" s="425"/>
      <c r="F50" s="432"/>
      <c r="G50" s="433"/>
      <c r="H50" s="658"/>
      <c r="I50" s="427"/>
      <c r="J50" s="428"/>
      <c r="K50" s="428"/>
    </row>
    <row r="51" spans="1:11" s="184" customFormat="1" ht="18" customHeight="1" x14ac:dyDescent="0.4">
      <c r="A51" s="666"/>
      <c r="H51" s="660"/>
      <c r="I51" s="430"/>
      <c r="J51" s="431"/>
      <c r="K51" s="431"/>
    </row>
    <row r="52" spans="1:11" ht="18" customHeight="1" x14ac:dyDescent="0.4">
      <c r="A52" s="120" t="s">
        <v>92</v>
      </c>
      <c r="B52" s="976" t="s">
        <v>38</v>
      </c>
      <c r="C52" s="977"/>
      <c r="H52" s="648"/>
    </row>
    <row r="53" spans="1:11" ht="18" customHeight="1" x14ac:dyDescent="0.4">
      <c r="A53" s="183" t="s">
        <v>51</v>
      </c>
      <c r="B53" s="978" t="s">
        <v>652</v>
      </c>
      <c r="C53" s="979"/>
      <c r="D53" s="975"/>
      <c r="F53" s="649">
        <v>0</v>
      </c>
      <c r="G53" s="649">
        <v>0</v>
      </c>
      <c r="H53" s="646">
        <v>2223809</v>
      </c>
      <c r="I53" s="423">
        <v>0</v>
      </c>
      <c r="J53" s="650">
        <v>863077</v>
      </c>
      <c r="K53" s="651">
        <f t="shared" ref="K53:K61" si="5">(H53+I53)-J53</f>
        <v>1360732</v>
      </c>
    </row>
    <row r="54" spans="1:11" ht="18" customHeight="1" x14ac:dyDescent="0.4">
      <c r="A54" s="183" t="s">
        <v>93</v>
      </c>
      <c r="B54" s="503" t="s">
        <v>356</v>
      </c>
      <c r="C54" s="504"/>
      <c r="D54" s="505"/>
      <c r="F54" s="649">
        <v>0</v>
      </c>
      <c r="G54" s="649">
        <v>60</v>
      </c>
      <c r="H54" s="646">
        <v>791114</v>
      </c>
      <c r="I54" s="423"/>
      <c r="J54" s="650">
        <v>0</v>
      </c>
      <c r="K54" s="651">
        <f t="shared" si="5"/>
        <v>791114</v>
      </c>
    </row>
    <row r="55" spans="1:11" ht="18" customHeight="1" x14ac:dyDescent="0.4">
      <c r="A55" s="183" t="s">
        <v>94</v>
      </c>
      <c r="B55" s="973" t="s">
        <v>752</v>
      </c>
      <c r="C55" s="974"/>
      <c r="D55" s="975"/>
      <c r="F55" s="649">
        <v>973</v>
      </c>
      <c r="G55" s="649">
        <v>6391</v>
      </c>
      <c r="H55" s="646">
        <v>54314</v>
      </c>
      <c r="I55" s="423"/>
      <c r="J55" s="650">
        <v>3967</v>
      </c>
      <c r="K55" s="651">
        <f t="shared" si="5"/>
        <v>50347</v>
      </c>
    </row>
    <row r="56" spans="1:11" ht="18" customHeight="1" x14ac:dyDescent="0.4">
      <c r="A56" s="183" t="s">
        <v>95</v>
      </c>
      <c r="B56" s="973" t="s">
        <v>753</v>
      </c>
      <c r="C56" s="974"/>
      <c r="D56" s="975"/>
      <c r="F56" s="649">
        <v>0</v>
      </c>
      <c r="G56" s="649">
        <v>0</v>
      </c>
      <c r="H56" s="646">
        <v>258457</v>
      </c>
      <c r="I56" s="423">
        <v>0</v>
      </c>
      <c r="J56" s="650">
        <v>0</v>
      </c>
      <c r="K56" s="651">
        <f t="shared" si="5"/>
        <v>258457</v>
      </c>
    </row>
    <row r="57" spans="1:11" ht="18" customHeight="1" x14ac:dyDescent="0.4">
      <c r="A57" s="183" t="s">
        <v>96</v>
      </c>
      <c r="B57" s="973" t="s">
        <v>754</v>
      </c>
      <c r="C57" s="974"/>
      <c r="D57" s="975"/>
      <c r="F57" s="649">
        <v>0</v>
      </c>
      <c r="G57" s="649">
        <v>0</v>
      </c>
      <c r="H57" s="646">
        <v>294843</v>
      </c>
      <c r="I57" s="423">
        <v>0</v>
      </c>
      <c r="J57" s="650">
        <v>0</v>
      </c>
      <c r="K57" s="651">
        <f t="shared" si="5"/>
        <v>294843</v>
      </c>
    </row>
    <row r="58" spans="1:11" ht="18" customHeight="1" x14ac:dyDescent="0.4">
      <c r="A58" s="183" t="s">
        <v>97</v>
      </c>
      <c r="B58" s="506" t="s">
        <v>654</v>
      </c>
      <c r="C58" s="504"/>
      <c r="D58" s="505"/>
      <c r="F58" s="649">
        <v>0</v>
      </c>
      <c r="G58" s="649">
        <v>0</v>
      </c>
      <c r="H58" s="646">
        <v>334901</v>
      </c>
      <c r="I58" s="423">
        <v>0</v>
      </c>
      <c r="J58" s="650">
        <v>0</v>
      </c>
      <c r="K58" s="651">
        <f t="shared" si="5"/>
        <v>334901</v>
      </c>
    </row>
    <row r="59" spans="1:11" ht="18" customHeight="1" x14ac:dyDescent="0.4">
      <c r="A59" s="183" t="s">
        <v>98</v>
      </c>
      <c r="B59" s="973" t="s">
        <v>653</v>
      </c>
      <c r="C59" s="974"/>
      <c r="D59" s="975"/>
      <c r="F59" s="649">
        <v>0</v>
      </c>
      <c r="G59" s="649">
        <v>0</v>
      </c>
      <c r="H59" s="646">
        <v>472931</v>
      </c>
      <c r="I59" s="423">
        <v>0</v>
      </c>
      <c r="J59" s="650">
        <v>0</v>
      </c>
      <c r="K59" s="651">
        <f t="shared" si="5"/>
        <v>472931</v>
      </c>
    </row>
    <row r="60" spans="1:11" ht="18" customHeight="1" x14ac:dyDescent="0.4">
      <c r="A60" s="183" t="s">
        <v>99</v>
      </c>
      <c r="B60" s="506" t="s">
        <v>755</v>
      </c>
      <c r="C60" s="504"/>
      <c r="D60" s="505"/>
      <c r="F60" s="649">
        <v>0</v>
      </c>
      <c r="G60" s="649">
        <v>0</v>
      </c>
      <c r="H60" s="646">
        <v>135054</v>
      </c>
      <c r="I60" s="423">
        <v>0</v>
      </c>
      <c r="J60" s="650">
        <v>0</v>
      </c>
      <c r="K60" s="651">
        <f t="shared" si="5"/>
        <v>135054</v>
      </c>
    </row>
    <row r="61" spans="1:11" ht="18" customHeight="1" x14ac:dyDescent="0.4">
      <c r="A61" s="183" t="s">
        <v>756</v>
      </c>
      <c r="B61" s="506" t="s">
        <v>757</v>
      </c>
      <c r="C61" s="504"/>
      <c r="D61" s="505"/>
      <c r="F61" s="649">
        <v>0</v>
      </c>
      <c r="G61" s="649">
        <v>0</v>
      </c>
      <c r="H61" s="646">
        <v>124541</v>
      </c>
      <c r="I61" s="423">
        <v>0</v>
      </c>
      <c r="J61" s="650">
        <v>0</v>
      </c>
      <c r="K61" s="651">
        <f t="shared" si="5"/>
        <v>124541</v>
      </c>
    </row>
    <row r="62" spans="1:11" ht="18" customHeight="1" x14ac:dyDescent="0.4">
      <c r="A62" s="183"/>
      <c r="B62" s="973" t="s">
        <v>233</v>
      </c>
      <c r="C62" s="974"/>
      <c r="D62" s="975"/>
      <c r="F62" s="649">
        <v>520</v>
      </c>
      <c r="G62" s="649">
        <v>0</v>
      </c>
      <c r="H62" s="646">
        <v>9521745</v>
      </c>
      <c r="I62" s="423">
        <v>0</v>
      </c>
      <c r="J62" s="650">
        <v>11307</v>
      </c>
      <c r="K62" s="651">
        <v>9510438</v>
      </c>
    </row>
    <row r="63" spans="1:11" ht="18" customHeight="1" x14ac:dyDescent="0.4">
      <c r="A63" s="183"/>
      <c r="F63" s="654"/>
      <c r="G63" s="654"/>
      <c r="H63" s="648"/>
      <c r="I63" s="628"/>
    </row>
    <row r="64" spans="1:11" ht="18" customHeight="1" x14ac:dyDescent="0.4">
      <c r="A64" s="183" t="s">
        <v>144</v>
      </c>
      <c r="B64" s="117" t="s">
        <v>145</v>
      </c>
      <c r="E64" s="117" t="s">
        <v>7</v>
      </c>
      <c r="F64" s="656">
        <f t="shared" ref="F64:K64" si="6">SUM(F53:F62)</f>
        <v>1493</v>
      </c>
      <c r="G64" s="656">
        <f t="shared" si="6"/>
        <v>6451</v>
      </c>
      <c r="H64" s="657">
        <f t="shared" si="6"/>
        <v>14211709</v>
      </c>
      <c r="I64" s="651">
        <f t="shared" si="6"/>
        <v>0</v>
      </c>
      <c r="J64" s="651">
        <f t="shared" si="6"/>
        <v>878351</v>
      </c>
      <c r="K64" s="651">
        <f t="shared" si="6"/>
        <v>13333358</v>
      </c>
    </row>
    <row r="65" spans="1:11" s="184" customFormat="1" ht="18" customHeight="1" x14ac:dyDescent="0.4">
      <c r="A65" s="439"/>
      <c r="B65" s="440"/>
      <c r="E65" s="440"/>
      <c r="F65" s="429"/>
      <c r="G65" s="429"/>
      <c r="H65" s="660"/>
      <c r="I65" s="427"/>
      <c r="J65" s="431"/>
      <c r="K65" s="431"/>
    </row>
    <row r="66" spans="1:11" ht="42.75" customHeight="1" x14ac:dyDescent="0.4">
      <c r="F66" s="147" t="s">
        <v>9</v>
      </c>
      <c r="G66" s="147" t="s">
        <v>37</v>
      </c>
      <c r="H66" s="667" t="s">
        <v>29</v>
      </c>
      <c r="I66" s="339" t="s">
        <v>30</v>
      </c>
      <c r="J66" s="339" t="s">
        <v>33</v>
      </c>
      <c r="K66" s="339" t="s">
        <v>34</v>
      </c>
    </row>
    <row r="67" spans="1:11" ht="18" customHeight="1" x14ac:dyDescent="0.4">
      <c r="A67" s="120" t="s">
        <v>102</v>
      </c>
      <c r="B67" s="117" t="s">
        <v>12</v>
      </c>
      <c r="F67" s="148"/>
      <c r="G67" s="148"/>
      <c r="H67" s="668"/>
      <c r="I67" s="341"/>
      <c r="J67" s="340"/>
      <c r="K67" s="340"/>
    </row>
    <row r="68" spans="1:11" ht="18" customHeight="1" x14ac:dyDescent="0.4">
      <c r="A68" s="183" t="s">
        <v>103</v>
      </c>
      <c r="B68" s="1068" t="s">
        <v>655</v>
      </c>
      <c r="C68" s="1068"/>
      <c r="D68" s="1068"/>
      <c r="F68" s="652">
        <v>0</v>
      </c>
      <c r="G68" s="652">
        <v>0</v>
      </c>
      <c r="H68" s="646">
        <v>1642808</v>
      </c>
      <c r="I68" s="423">
        <v>0</v>
      </c>
      <c r="J68" s="650">
        <v>1642808</v>
      </c>
      <c r="K68" s="651">
        <f>(H68+I68)-J68</f>
        <v>0</v>
      </c>
    </row>
    <row r="69" spans="1:11" ht="18" customHeight="1" x14ac:dyDescent="0.4">
      <c r="A69" s="183" t="s">
        <v>104</v>
      </c>
      <c r="B69" s="1068" t="s">
        <v>53</v>
      </c>
      <c r="C69" s="1068"/>
      <c r="D69" s="1068"/>
      <c r="F69" s="652">
        <v>0</v>
      </c>
      <c r="G69" s="652">
        <v>0</v>
      </c>
      <c r="H69" s="646">
        <v>36626</v>
      </c>
      <c r="I69" s="423">
        <v>0</v>
      </c>
      <c r="J69" s="650">
        <v>36626</v>
      </c>
      <c r="K69" s="651">
        <f>(H69+I69)-J69</f>
        <v>0</v>
      </c>
    </row>
    <row r="70" spans="1:11" ht="18" customHeight="1" x14ac:dyDescent="0.4">
      <c r="A70" s="183" t="s">
        <v>178</v>
      </c>
      <c r="B70" s="503"/>
      <c r="C70" s="504"/>
      <c r="D70" s="505"/>
      <c r="E70" s="117"/>
      <c r="F70" s="669"/>
      <c r="G70" s="669"/>
      <c r="H70" s="670"/>
      <c r="I70" s="423"/>
      <c r="J70" s="437"/>
      <c r="K70" s="651">
        <f>(H70+I70)-J70</f>
        <v>0</v>
      </c>
    </row>
    <row r="71" spans="1:11" ht="18" customHeight="1" x14ac:dyDescent="0.4">
      <c r="A71" s="183" t="s">
        <v>179</v>
      </c>
      <c r="B71" s="503"/>
      <c r="C71" s="504"/>
      <c r="D71" s="505"/>
      <c r="E71" s="117"/>
      <c r="F71" s="669"/>
      <c r="G71" s="669"/>
      <c r="H71" s="670"/>
      <c r="I71" s="423"/>
      <c r="J71" s="437"/>
      <c r="K71" s="651">
        <f>(H71+I71)-J71</f>
        <v>0</v>
      </c>
    </row>
    <row r="72" spans="1:11" ht="18" customHeight="1" x14ac:dyDescent="0.4">
      <c r="A72" s="183" t="s">
        <v>180</v>
      </c>
      <c r="B72" s="510"/>
      <c r="C72" s="508"/>
      <c r="D72" s="130"/>
      <c r="E72" s="117"/>
      <c r="F72" s="652"/>
      <c r="G72" s="652"/>
      <c r="H72" s="646"/>
      <c r="I72" s="423"/>
      <c r="J72" s="650"/>
      <c r="K72" s="651">
        <f>(H72+I72)-J72</f>
        <v>0</v>
      </c>
    </row>
    <row r="73" spans="1:11" ht="18" customHeight="1" x14ac:dyDescent="0.4">
      <c r="A73" s="183"/>
      <c r="B73" s="116"/>
      <c r="E73" s="117"/>
      <c r="F73" s="671"/>
      <c r="G73" s="671"/>
      <c r="H73" s="672"/>
      <c r="I73" s="341"/>
      <c r="J73" s="436"/>
      <c r="K73" s="340"/>
    </row>
    <row r="74" spans="1:11" ht="18" customHeight="1" x14ac:dyDescent="0.4">
      <c r="A74" s="120" t="s">
        <v>146</v>
      </c>
      <c r="B74" s="117" t="s">
        <v>147</v>
      </c>
      <c r="E74" s="117" t="s">
        <v>7</v>
      </c>
      <c r="F74" s="673">
        <f t="shared" ref="F74:K74" si="7">SUM(F68:F72)</f>
        <v>0</v>
      </c>
      <c r="G74" s="673">
        <f t="shared" si="7"/>
        <v>0</v>
      </c>
      <c r="H74" s="674">
        <f t="shared" si="7"/>
        <v>1679434</v>
      </c>
      <c r="I74" s="675">
        <f t="shared" si="7"/>
        <v>0</v>
      </c>
      <c r="J74" s="676">
        <f t="shared" si="7"/>
        <v>1679434</v>
      </c>
      <c r="K74" s="676">
        <f t="shared" si="7"/>
        <v>0</v>
      </c>
    </row>
    <row r="75" spans="1:11" ht="42.75" customHeight="1" x14ac:dyDescent="0.4">
      <c r="F75" s="122" t="s">
        <v>9</v>
      </c>
      <c r="G75" s="122" t="s">
        <v>37</v>
      </c>
      <c r="H75" s="647" t="s">
        <v>29</v>
      </c>
      <c r="I75" s="110" t="s">
        <v>30</v>
      </c>
      <c r="J75" s="110" t="s">
        <v>33</v>
      </c>
      <c r="K75" s="110" t="s">
        <v>34</v>
      </c>
    </row>
    <row r="76" spans="1:11" ht="18" customHeight="1" x14ac:dyDescent="0.4">
      <c r="A76" s="120" t="s">
        <v>105</v>
      </c>
      <c r="B76" s="117" t="s">
        <v>106</v>
      </c>
      <c r="H76" s="648"/>
    </row>
    <row r="77" spans="1:11" ht="18" customHeight="1" x14ac:dyDescent="0.4">
      <c r="A77" s="183" t="s">
        <v>107</v>
      </c>
      <c r="B77" s="116" t="s">
        <v>54</v>
      </c>
      <c r="F77" s="649">
        <v>69</v>
      </c>
      <c r="G77" s="649">
        <v>0</v>
      </c>
      <c r="H77" s="646">
        <v>202306</v>
      </c>
      <c r="I77" s="423">
        <v>0</v>
      </c>
      <c r="J77" s="650">
        <v>0</v>
      </c>
      <c r="K77" s="651">
        <f>(H77+I77)-J77</f>
        <v>202306</v>
      </c>
    </row>
    <row r="78" spans="1:11" ht="18" customHeight="1" x14ac:dyDescent="0.4">
      <c r="A78" s="183" t="s">
        <v>108</v>
      </c>
      <c r="B78" s="116" t="s">
        <v>55</v>
      </c>
      <c r="F78" s="649">
        <v>132.9</v>
      </c>
      <c r="G78" s="649">
        <v>2999</v>
      </c>
      <c r="H78" s="646">
        <v>0</v>
      </c>
      <c r="I78" s="423"/>
      <c r="J78" s="650">
        <v>0</v>
      </c>
      <c r="K78" s="651">
        <f>(H78+I78)-J78</f>
        <v>0</v>
      </c>
    </row>
    <row r="79" spans="1:11" ht="18" customHeight="1" x14ac:dyDescent="0.4">
      <c r="A79" s="183" t="s">
        <v>109</v>
      </c>
      <c r="B79" s="116" t="s">
        <v>13</v>
      </c>
      <c r="F79" s="649">
        <v>22.5</v>
      </c>
      <c r="G79" s="649">
        <v>812</v>
      </c>
      <c r="H79" s="646">
        <v>12141</v>
      </c>
      <c r="I79" s="423"/>
      <c r="J79" s="650">
        <v>0</v>
      </c>
      <c r="K79" s="651">
        <f>(H79+I79)-J79</f>
        <v>12141</v>
      </c>
    </row>
    <row r="80" spans="1:11" ht="18" customHeight="1" x14ac:dyDescent="0.4">
      <c r="A80" s="183" t="s">
        <v>110</v>
      </c>
      <c r="B80" s="116" t="s">
        <v>56</v>
      </c>
      <c r="F80" s="649"/>
      <c r="G80" s="649"/>
      <c r="H80" s="646">
        <v>1112</v>
      </c>
      <c r="I80" s="423"/>
      <c r="J80" s="650">
        <v>0</v>
      </c>
      <c r="K80" s="651">
        <f>(H80+I80)-J80</f>
        <v>1112</v>
      </c>
    </row>
    <row r="81" spans="1:11" ht="18" customHeight="1" x14ac:dyDescent="0.4">
      <c r="A81" s="183"/>
      <c r="F81" s="665"/>
      <c r="G81" s="665"/>
      <c r="H81" s="648"/>
      <c r="I81" s="677"/>
      <c r="J81" s="678"/>
      <c r="K81" s="679"/>
    </row>
    <row r="82" spans="1:11" ht="18" customHeight="1" x14ac:dyDescent="0.4">
      <c r="A82" s="183" t="s">
        <v>148</v>
      </c>
      <c r="B82" s="117" t="s">
        <v>149</v>
      </c>
      <c r="E82" s="117" t="s">
        <v>7</v>
      </c>
      <c r="F82" s="680">
        <f t="shared" ref="F82:K82" si="8">SUM(F77:F80)</f>
        <v>224.4</v>
      </c>
      <c r="G82" s="680">
        <f t="shared" si="8"/>
        <v>3811</v>
      </c>
      <c r="H82" s="681">
        <f t="shared" si="8"/>
        <v>215559</v>
      </c>
      <c r="I82" s="676">
        <f t="shared" si="8"/>
        <v>0</v>
      </c>
      <c r="J82" s="676">
        <f t="shared" si="8"/>
        <v>0</v>
      </c>
      <c r="K82" s="676">
        <f t="shared" si="8"/>
        <v>215559</v>
      </c>
    </row>
    <row r="83" spans="1:11" s="184" customFormat="1" ht="18" customHeight="1" x14ac:dyDescent="0.4">
      <c r="A83" s="439"/>
      <c r="B83" s="440"/>
      <c r="E83" s="440"/>
      <c r="F83" s="345"/>
      <c r="G83" s="345"/>
      <c r="H83" s="682"/>
      <c r="I83" s="427"/>
      <c r="J83" s="438"/>
      <c r="K83" s="438"/>
    </row>
    <row r="84" spans="1:11" ht="42.75" customHeight="1" x14ac:dyDescent="0.4">
      <c r="F84" s="122" t="s">
        <v>9</v>
      </c>
      <c r="G84" s="122" t="s">
        <v>37</v>
      </c>
      <c r="H84" s="647" t="s">
        <v>29</v>
      </c>
      <c r="I84" s="110" t="s">
        <v>30</v>
      </c>
      <c r="J84" s="110" t="s">
        <v>33</v>
      </c>
      <c r="K84" s="110" t="s">
        <v>34</v>
      </c>
    </row>
    <row r="85" spans="1:11" ht="18" customHeight="1" x14ac:dyDescent="0.4">
      <c r="A85" s="120" t="s">
        <v>111</v>
      </c>
      <c r="B85" s="117" t="s">
        <v>57</v>
      </c>
      <c r="H85" s="648"/>
    </row>
    <row r="86" spans="1:11" ht="18" customHeight="1" x14ac:dyDescent="0.4">
      <c r="A86" s="183" t="s">
        <v>112</v>
      </c>
      <c r="B86" s="116" t="s">
        <v>113</v>
      </c>
      <c r="F86" s="649">
        <v>0</v>
      </c>
      <c r="G86" s="649">
        <v>0</v>
      </c>
      <c r="H86" s="646">
        <v>0</v>
      </c>
      <c r="I86" s="423">
        <f>H86*F$114</f>
        <v>0</v>
      </c>
      <c r="J86" s="650">
        <v>0</v>
      </c>
      <c r="K86" s="651">
        <f t="shared" ref="K86:K96" si="9">(H86+I86)-J86</f>
        <v>0</v>
      </c>
    </row>
    <row r="87" spans="1:11" ht="18" customHeight="1" x14ac:dyDescent="0.4">
      <c r="A87" s="183" t="s">
        <v>114</v>
      </c>
      <c r="B87" s="116" t="s">
        <v>14</v>
      </c>
      <c r="F87" s="649">
        <v>11</v>
      </c>
      <c r="G87" s="649">
        <v>250</v>
      </c>
      <c r="H87" s="646">
        <v>2079</v>
      </c>
      <c r="I87" s="423">
        <v>1232</v>
      </c>
      <c r="J87" s="650">
        <v>0</v>
      </c>
      <c r="K87" s="651">
        <f t="shared" si="9"/>
        <v>3311</v>
      </c>
    </row>
    <row r="88" spans="1:11" ht="18" customHeight="1" x14ac:dyDescent="0.4">
      <c r="A88" s="183" t="s">
        <v>115</v>
      </c>
      <c r="B88" s="116" t="s">
        <v>116</v>
      </c>
      <c r="F88" s="649">
        <v>1153</v>
      </c>
      <c r="G88" s="649">
        <v>1309</v>
      </c>
      <c r="H88" s="646">
        <v>109192</v>
      </c>
      <c r="I88" s="423">
        <v>62865</v>
      </c>
      <c r="J88" s="650">
        <v>11307</v>
      </c>
      <c r="K88" s="651">
        <f t="shared" si="9"/>
        <v>160750</v>
      </c>
    </row>
    <row r="89" spans="1:11" ht="18" customHeight="1" x14ac:dyDescent="0.4">
      <c r="A89" s="183" t="s">
        <v>117</v>
      </c>
      <c r="B89" s="116" t="s">
        <v>58</v>
      </c>
      <c r="F89" s="649">
        <v>0</v>
      </c>
      <c r="G89" s="649">
        <v>0</v>
      </c>
      <c r="H89" s="646">
        <v>80341</v>
      </c>
      <c r="I89" s="423">
        <v>47723</v>
      </c>
      <c r="J89" s="650">
        <v>0</v>
      </c>
      <c r="K89" s="651">
        <f t="shared" si="9"/>
        <v>128064</v>
      </c>
    </row>
    <row r="90" spans="1:11" ht="18" customHeight="1" x14ac:dyDescent="0.4">
      <c r="A90" s="183" t="s">
        <v>118</v>
      </c>
      <c r="B90" s="956" t="s">
        <v>59</v>
      </c>
      <c r="C90" s="957"/>
      <c r="F90" s="649">
        <v>11</v>
      </c>
      <c r="G90" s="649">
        <v>0</v>
      </c>
      <c r="H90" s="646">
        <v>1092</v>
      </c>
      <c r="I90" s="423">
        <v>648</v>
      </c>
      <c r="J90" s="650">
        <v>0</v>
      </c>
      <c r="K90" s="651">
        <f t="shared" si="9"/>
        <v>1740</v>
      </c>
    </row>
    <row r="91" spans="1:11" ht="18" customHeight="1" x14ac:dyDescent="0.4">
      <c r="A91" s="183" t="s">
        <v>119</v>
      </c>
      <c r="B91" s="116" t="s">
        <v>60</v>
      </c>
      <c r="F91" s="649">
        <v>794.5</v>
      </c>
      <c r="G91" s="649">
        <v>2684</v>
      </c>
      <c r="H91" s="646">
        <v>74694</v>
      </c>
      <c r="I91" s="423">
        <v>44366</v>
      </c>
      <c r="J91" s="650">
        <v>11307</v>
      </c>
      <c r="K91" s="651">
        <f t="shared" si="9"/>
        <v>107753</v>
      </c>
    </row>
    <row r="92" spans="1:11" ht="18" customHeight="1" x14ac:dyDescent="0.4">
      <c r="A92" s="183" t="s">
        <v>120</v>
      </c>
      <c r="B92" s="116" t="s">
        <v>121</v>
      </c>
      <c r="F92" s="649">
        <v>0</v>
      </c>
      <c r="G92" s="649">
        <v>0</v>
      </c>
      <c r="H92" s="683">
        <v>0</v>
      </c>
      <c r="I92" s="650">
        <v>0</v>
      </c>
      <c r="J92" s="650">
        <v>0</v>
      </c>
      <c r="K92" s="651">
        <f t="shared" si="9"/>
        <v>0</v>
      </c>
    </row>
    <row r="93" spans="1:11" ht="18" customHeight="1" x14ac:dyDescent="0.4">
      <c r="A93" s="183" t="s">
        <v>122</v>
      </c>
      <c r="B93" s="116" t="s">
        <v>123</v>
      </c>
      <c r="F93" s="649">
        <v>1595</v>
      </c>
      <c r="G93" s="649">
        <v>2274</v>
      </c>
      <c r="H93" s="646">
        <v>164960</v>
      </c>
      <c r="I93" s="423">
        <v>97987</v>
      </c>
      <c r="J93" s="650">
        <v>0</v>
      </c>
      <c r="K93" s="651">
        <f t="shared" si="9"/>
        <v>262947</v>
      </c>
    </row>
    <row r="94" spans="1:11" ht="18" customHeight="1" x14ac:dyDescent="0.4">
      <c r="A94" s="183" t="s">
        <v>124</v>
      </c>
      <c r="B94" s="980"/>
      <c r="C94" s="974"/>
      <c r="D94" s="975"/>
      <c r="F94" s="649"/>
      <c r="G94" s="649"/>
      <c r="H94" s="646">
        <v>0</v>
      </c>
      <c r="I94" s="423"/>
      <c r="J94" s="650"/>
      <c r="K94" s="621">
        <f t="shared" si="9"/>
        <v>0</v>
      </c>
    </row>
    <row r="95" spans="1:11" ht="18" customHeight="1" x14ac:dyDescent="0.4">
      <c r="A95" s="183" t="s">
        <v>125</v>
      </c>
      <c r="B95" s="980"/>
      <c r="C95" s="974"/>
      <c r="D95" s="975"/>
      <c r="F95" s="649"/>
      <c r="G95" s="649"/>
      <c r="H95" s="646">
        <v>0</v>
      </c>
      <c r="I95" s="423"/>
      <c r="J95" s="650"/>
      <c r="K95" s="621">
        <f t="shared" si="9"/>
        <v>0</v>
      </c>
    </row>
    <row r="96" spans="1:11" ht="18" customHeight="1" x14ac:dyDescent="0.4">
      <c r="A96" s="183" t="s">
        <v>126</v>
      </c>
      <c r="B96" s="980"/>
      <c r="C96" s="974"/>
      <c r="D96" s="975"/>
      <c r="F96" s="649"/>
      <c r="G96" s="649"/>
      <c r="H96" s="646">
        <v>0</v>
      </c>
      <c r="I96" s="423"/>
      <c r="J96" s="650"/>
      <c r="K96" s="621">
        <f t="shared" si="9"/>
        <v>0</v>
      </c>
    </row>
    <row r="97" spans="1:11" ht="18" customHeight="1" x14ac:dyDescent="0.4">
      <c r="A97" s="183"/>
      <c r="B97" s="116"/>
      <c r="F97" s="665"/>
      <c r="G97" s="665"/>
      <c r="H97" s="648"/>
    </row>
    <row r="98" spans="1:11" ht="18" customHeight="1" x14ac:dyDescent="0.4">
      <c r="A98" s="120" t="s">
        <v>150</v>
      </c>
      <c r="B98" s="117" t="s">
        <v>151</v>
      </c>
      <c r="E98" s="117" t="s">
        <v>7</v>
      </c>
      <c r="F98" s="656">
        <f t="shared" ref="F98:K98" si="10">SUM(F86:F96)</f>
        <v>3564.5</v>
      </c>
      <c r="G98" s="656">
        <f t="shared" si="10"/>
        <v>6517</v>
      </c>
      <c r="H98" s="684">
        <f>SUM(H86:H96)</f>
        <v>432358</v>
      </c>
      <c r="I98" s="685">
        <f t="shared" si="10"/>
        <v>254821</v>
      </c>
      <c r="J98" s="651">
        <f t="shared" si="10"/>
        <v>22614</v>
      </c>
      <c r="K98" s="651">
        <f t="shared" si="10"/>
        <v>664565</v>
      </c>
    </row>
    <row r="99" spans="1:11" ht="18" customHeight="1" x14ac:dyDescent="0.4">
      <c r="A99" s="120"/>
      <c r="B99" s="117"/>
      <c r="E99" s="117"/>
      <c r="F99" s="429"/>
      <c r="G99" s="429"/>
      <c r="H99" s="660"/>
      <c r="I99" s="427"/>
      <c r="J99" s="431"/>
      <c r="K99" s="431"/>
    </row>
    <row r="100" spans="1:11" ht="42.75" customHeight="1" x14ac:dyDescent="0.4">
      <c r="F100" s="122" t="s">
        <v>9</v>
      </c>
      <c r="G100" s="122" t="s">
        <v>37</v>
      </c>
      <c r="H100" s="647" t="s">
        <v>29</v>
      </c>
      <c r="I100" s="110" t="s">
        <v>30</v>
      </c>
      <c r="J100" s="110" t="s">
        <v>33</v>
      </c>
      <c r="K100" s="110" t="s">
        <v>34</v>
      </c>
    </row>
    <row r="101" spans="1:11" ht="18" customHeight="1" x14ac:dyDescent="0.4">
      <c r="A101" s="120" t="s">
        <v>130</v>
      </c>
      <c r="B101" s="117" t="s">
        <v>63</v>
      </c>
      <c r="H101" s="648"/>
    </row>
    <row r="102" spans="1:11" ht="18" customHeight="1" x14ac:dyDescent="0.4">
      <c r="A102" s="183" t="s">
        <v>131</v>
      </c>
      <c r="B102" s="116" t="s">
        <v>152</v>
      </c>
      <c r="F102" s="649">
        <v>1340</v>
      </c>
      <c r="G102" s="649">
        <v>0</v>
      </c>
      <c r="H102" s="646">
        <v>129976</v>
      </c>
      <c r="I102" s="423">
        <v>77206</v>
      </c>
      <c r="J102" s="650">
        <v>22614</v>
      </c>
      <c r="K102" s="651">
        <f>(H102+I102)-J102</f>
        <v>184568</v>
      </c>
    </row>
    <row r="103" spans="1:11" ht="18" customHeight="1" x14ac:dyDescent="0.4">
      <c r="A103" s="183" t="s">
        <v>132</v>
      </c>
      <c r="B103" s="956" t="s">
        <v>62</v>
      </c>
      <c r="C103" s="956"/>
      <c r="F103" s="649">
        <v>834</v>
      </c>
      <c r="G103" s="649">
        <v>25</v>
      </c>
      <c r="H103" s="646">
        <v>79544</v>
      </c>
      <c r="I103" s="423">
        <v>47249</v>
      </c>
      <c r="J103" s="650">
        <v>18091</v>
      </c>
      <c r="K103" s="651">
        <f>(H103+I103)-J103</f>
        <v>108702</v>
      </c>
    </row>
    <row r="104" spans="1:11" ht="18" customHeight="1" x14ac:dyDescent="0.4">
      <c r="A104" s="183" t="s">
        <v>128</v>
      </c>
      <c r="B104" s="973" t="s">
        <v>318</v>
      </c>
      <c r="C104" s="974"/>
      <c r="D104" s="975"/>
      <c r="F104" s="649">
        <v>0</v>
      </c>
      <c r="G104" s="649">
        <v>0</v>
      </c>
      <c r="H104" s="646">
        <v>26250</v>
      </c>
      <c r="I104" s="423">
        <v>743</v>
      </c>
      <c r="J104" s="650">
        <v>0</v>
      </c>
      <c r="K104" s="651">
        <f>(H104+I104)-J104</f>
        <v>26993</v>
      </c>
    </row>
    <row r="105" spans="1:11" ht="18" customHeight="1" x14ac:dyDescent="0.4">
      <c r="A105" s="183" t="s">
        <v>127</v>
      </c>
      <c r="B105" s="980"/>
      <c r="C105" s="974"/>
      <c r="D105" s="975"/>
      <c r="F105" s="649"/>
      <c r="G105" s="649"/>
      <c r="H105" s="646"/>
      <c r="I105" s="423">
        <f>H105*F$114</f>
        <v>0</v>
      </c>
      <c r="J105" s="650"/>
      <c r="K105" s="621">
        <f>(H105+I105)-J105</f>
        <v>0</v>
      </c>
    </row>
    <row r="106" spans="1:11" ht="18" customHeight="1" x14ac:dyDescent="0.4">
      <c r="A106" s="183" t="s">
        <v>129</v>
      </c>
      <c r="B106" s="980"/>
      <c r="C106" s="974"/>
      <c r="D106" s="975"/>
      <c r="F106" s="649"/>
      <c r="G106" s="649"/>
      <c r="H106" s="646"/>
      <c r="I106" s="423">
        <f>H106*F$114</f>
        <v>0</v>
      </c>
      <c r="J106" s="650"/>
      <c r="K106" s="621">
        <f>(H106+I106)-J106</f>
        <v>0</v>
      </c>
    </row>
    <row r="107" spans="1:11" ht="18" customHeight="1" x14ac:dyDescent="0.4">
      <c r="B107" s="117"/>
      <c r="F107" s="665"/>
      <c r="G107" s="665"/>
      <c r="H107" s="648"/>
    </row>
    <row r="108" spans="1:11" s="123" customFormat="1" ht="18" customHeight="1" x14ac:dyDescent="0.4">
      <c r="A108" s="120" t="s">
        <v>153</v>
      </c>
      <c r="B108" s="153" t="s">
        <v>154</v>
      </c>
      <c r="C108" s="189"/>
      <c r="D108" s="189"/>
      <c r="E108" s="117" t="s">
        <v>7</v>
      </c>
      <c r="F108" s="656">
        <f t="shared" ref="F108:K108" si="11">SUM(F102:F106)</f>
        <v>2174</v>
      </c>
      <c r="G108" s="656">
        <f t="shared" si="11"/>
        <v>25</v>
      </c>
      <c r="H108" s="657">
        <f t="shared" si="11"/>
        <v>235770</v>
      </c>
      <c r="I108" s="651">
        <f t="shared" si="11"/>
        <v>125198</v>
      </c>
      <c r="J108" s="651">
        <f t="shared" si="11"/>
        <v>40705</v>
      </c>
      <c r="K108" s="651">
        <f t="shared" si="11"/>
        <v>320263</v>
      </c>
    </row>
    <row r="109" spans="1:11" s="123" customFormat="1" ht="18" customHeight="1" x14ac:dyDescent="0.4">
      <c r="A109" s="124"/>
      <c r="B109" s="125"/>
      <c r="C109" s="126"/>
      <c r="D109" s="126"/>
      <c r="E109" s="126"/>
      <c r="F109" s="184"/>
      <c r="G109" s="184"/>
      <c r="H109" s="660"/>
      <c r="I109" s="430"/>
      <c r="J109" s="431"/>
      <c r="K109" s="431"/>
    </row>
    <row r="110" spans="1:11" s="123" customFormat="1" ht="18" customHeight="1" x14ac:dyDescent="0.4">
      <c r="A110" s="120" t="s">
        <v>156</v>
      </c>
      <c r="B110" s="117" t="s">
        <v>39</v>
      </c>
      <c r="C110" s="189"/>
      <c r="D110" s="189"/>
      <c r="E110" s="189"/>
      <c r="F110" s="189"/>
      <c r="G110" s="189"/>
      <c r="H110" s="648"/>
      <c r="I110" s="333"/>
      <c r="J110" s="333"/>
      <c r="K110" s="333"/>
    </row>
    <row r="111" spans="1:11" ht="18" customHeight="1" x14ac:dyDescent="0.4">
      <c r="A111" s="120" t="s">
        <v>155</v>
      </c>
      <c r="B111" s="117" t="s">
        <v>164</v>
      </c>
      <c r="E111" s="117" t="s">
        <v>7</v>
      </c>
      <c r="F111" s="650">
        <v>4484000</v>
      </c>
      <c r="H111" s="648"/>
    </row>
    <row r="112" spans="1:11" ht="18" customHeight="1" x14ac:dyDescent="0.4">
      <c r="B112" s="117"/>
      <c r="E112" s="117"/>
      <c r="F112" s="431"/>
      <c r="H112" s="648"/>
    </row>
    <row r="113" spans="1:8" ht="18" customHeight="1" x14ac:dyDescent="0.4">
      <c r="A113" s="120"/>
      <c r="B113" s="117" t="s">
        <v>15</v>
      </c>
      <c r="F113" s="333"/>
      <c r="H113" s="648"/>
    </row>
    <row r="114" spans="1:8" ht="18" customHeight="1" x14ac:dyDescent="0.45">
      <c r="A114" s="183" t="s">
        <v>171</v>
      </c>
      <c r="B114" s="441" t="s">
        <v>517</v>
      </c>
      <c r="C114" s="442"/>
      <c r="D114" s="442"/>
      <c r="E114" s="442"/>
      <c r="F114" s="686">
        <v>0.59399999999999997</v>
      </c>
      <c r="H114" s="648"/>
    </row>
    <row r="115" spans="1:8" ht="18" customHeight="1" x14ac:dyDescent="0.45">
      <c r="A115" s="183"/>
      <c r="B115" s="441" t="s">
        <v>518</v>
      </c>
      <c r="C115" s="442"/>
      <c r="D115" s="442"/>
      <c r="E115" s="442"/>
      <c r="F115" s="686">
        <v>0.23899999999999999</v>
      </c>
      <c r="H115" s="648"/>
    </row>
    <row r="116" spans="1:8" ht="18" customHeight="1" x14ac:dyDescent="0.4">
      <c r="A116" s="183" t="s">
        <v>170</v>
      </c>
      <c r="B116" s="117" t="s">
        <v>16</v>
      </c>
      <c r="F116" s="333"/>
      <c r="H116" s="648"/>
    </row>
    <row r="117" spans="1:8" ht="18" customHeight="1" x14ac:dyDescent="0.4">
      <c r="A117" s="183" t="s">
        <v>172</v>
      </c>
      <c r="B117" s="116" t="s">
        <v>17</v>
      </c>
      <c r="F117" s="650">
        <v>289980000</v>
      </c>
      <c r="H117" s="648"/>
    </row>
    <row r="118" spans="1:8" ht="18" customHeight="1" x14ac:dyDescent="0.4">
      <c r="A118" s="183" t="s">
        <v>173</v>
      </c>
      <c r="B118" s="189" t="s">
        <v>18</v>
      </c>
      <c r="F118" s="650">
        <v>20707000</v>
      </c>
      <c r="H118" s="648"/>
    </row>
    <row r="119" spans="1:8" ht="18" customHeight="1" x14ac:dyDescent="0.4">
      <c r="A119" s="183" t="s">
        <v>174</v>
      </c>
      <c r="B119" s="117" t="s">
        <v>19</v>
      </c>
      <c r="F119" s="676">
        <f>F117+F118</f>
        <v>310687000</v>
      </c>
      <c r="H119" s="648"/>
    </row>
    <row r="120" spans="1:8" ht="18" customHeight="1" x14ac:dyDescent="0.4">
      <c r="A120" s="183"/>
      <c r="B120" s="117"/>
      <c r="H120" s="648"/>
    </row>
    <row r="121" spans="1:8" ht="18" customHeight="1" x14ac:dyDescent="0.4">
      <c r="A121" s="183" t="s">
        <v>167</v>
      </c>
      <c r="B121" s="117" t="s">
        <v>36</v>
      </c>
      <c r="F121" s="572">
        <v>300567000</v>
      </c>
      <c r="H121" s="648"/>
    </row>
    <row r="122" spans="1:8" ht="18" customHeight="1" x14ac:dyDescent="0.4">
      <c r="A122" s="183"/>
      <c r="H122" s="648"/>
    </row>
    <row r="123" spans="1:8" ht="18" customHeight="1" x14ac:dyDescent="0.4">
      <c r="A123" s="183" t="s">
        <v>175</v>
      </c>
      <c r="B123" s="117" t="s">
        <v>20</v>
      </c>
      <c r="F123" s="630">
        <f>F119-F121</f>
        <v>10120000</v>
      </c>
      <c r="H123" s="648"/>
    </row>
    <row r="124" spans="1:8" ht="18" customHeight="1" x14ac:dyDescent="0.4">
      <c r="A124" s="183"/>
      <c r="H124" s="648"/>
    </row>
    <row r="125" spans="1:8" ht="18" customHeight="1" x14ac:dyDescent="0.4">
      <c r="A125" s="183" t="s">
        <v>176</v>
      </c>
      <c r="B125" s="117" t="s">
        <v>21</v>
      </c>
      <c r="F125" s="687">
        <v>8876000</v>
      </c>
      <c r="H125" s="648"/>
    </row>
    <row r="126" spans="1:8" ht="18" customHeight="1" x14ac:dyDescent="0.4">
      <c r="A126" s="183"/>
      <c r="H126" s="648"/>
    </row>
    <row r="127" spans="1:8" ht="18" customHeight="1" x14ac:dyDescent="0.4">
      <c r="A127" s="183" t="s">
        <v>177</v>
      </c>
      <c r="B127" s="117" t="s">
        <v>22</v>
      </c>
      <c r="F127" s="688">
        <v>19485000</v>
      </c>
      <c r="H127" s="648"/>
    </row>
    <row r="128" spans="1:8" ht="18" customHeight="1" x14ac:dyDescent="0.4">
      <c r="A128" s="183"/>
      <c r="H128" s="648"/>
    </row>
    <row r="129" spans="1:11" ht="42.75" customHeight="1" x14ac:dyDescent="0.4">
      <c r="F129" s="122" t="s">
        <v>9</v>
      </c>
      <c r="G129" s="122" t="s">
        <v>37</v>
      </c>
      <c r="H129" s="647" t="s">
        <v>29</v>
      </c>
      <c r="I129" s="110" t="s">
        <v>30</v>
      </c>
      <c r="J129" s="110" t="s">
        <v>33</v>
      </c>
      <c r="K129" s="110" t="s">
        <v>34</v>
      </c>
    </row>
    <row r="130" spans="1:11" ht="18" customHeight="1" x14ac:dyDescent="0.4">
      <c r="A130" s="120" t="s">
        <v>157</v>
      </c>
      <c r="B130" s="117" t="s">
        <v>23</v>
      </c>
      <c r="H130" s="648"/>
    </row>
    <row r="131" spans="1:11" ht="18" customHeight="1" x14ac:dyDescent="0.4">
      <c r="A131" s="183" t="s">
        <v>158</v>
      </c>
      <c r="B131" s="189" t="s">
        <v>24</v>
      </c>
      <c r="F131" s="649">
        <v>109.5</v>
      </c>
      <c r="G131" s="649">
        <v>971</v>
      </c>
      <c r="H131" s="646">
        <v>101579</v>
      </c>
      <c r="I131" s="423">
        <v>0</v>
      </c>
      <c r="J131" s="650">
        <v>0</v>
      </c>
      <c r="K131" s="651">
        <f>(H131+I131)-J131</f>
        <v>101579</v>
      </c>
    </row>
    <row r="132" spans="1:11" ht="18" customHeight="1" x14ac:dyDescent="0.4">
      <c r="A132" s="183" t="s">
        <v>159</v>
      </c>
      <c r="B132" s="189" t="s">
        <v>25</v>
      </c>
      <c r="F132" s="649">
        <v>0</v>
      </c>
      <c r="G132" s="649">
        <v>0</v>
      </c>
      <c r="H132" s="646">
        <v>122849</v>
      </c>
      <c r="I132" s="423">
        <v>0</v>
      </c>
      <c r="J132" s="650">
        <v>0</v>
      </c>
      <c r="K132" s="651">
        <f>(H132+I132)-J132</f>
        <v>122849</v>
      </c>
    </row>
    <row r="133" spans="1:11" ht="18" customHeight="1" x14ac:dyDescent="0.4">
      <c r="A133" s="183" t="s">
        <v>160</v>
      </c>
      <c r="B133" s="951"/>
      <c r="C133" s="952"/>
      <c r="D133" s="953"/>
      <c r="F133" s="649"/>
      <c r="G133" s="649"/>
      <c r="H133" s="646"/>
      <c r="I133" s="423"/>
      <c r="J133" s="650"/>
      <c r="K133" s="651">
        <f>(H133+I133)-J133</f>
        <v>0</v>
      </c>
    </row>
    <row r="134" spans="1:11" ht="18" customHeight="1" x14ac:dyDescent="0.4">
      <c r="A134" s="183" t="s">
        <v>161</v>
      </c>
      <c r="B134" s="951"/>
      <c r="C134" s="952"/>
      <c r="D134" s="953"/>
      <c r="F134" s="649"/>
      <c r="G134" s="649"/>
      <c r="H134" s="646"/>
      <c r="I134" s="423"/>
      <c r="J134" s="650"/>
      <c r="K134" s="651">
        <f>(H134+I134)-J134</f>
        <v>0</v>
      </c>
    </row>
    <row r="135" spans="1:11" ht="18" customHeight="1" x14ac:dyDescent="0.4">
      <c r="A135" s="183" t="s">
        <v>162</v>
      </c>
      <c r="B135" s="951"/>
      <c r="C135" s="952"/>
      <c r="D135" s="953"/>
      <c r="F135" s="649"/>
      <c r="G135" s="649"/>
      <c r="H135" s="646"/>
      <c r="I135" s="423"/>
      <c r="J135" s="650"/>
      <c r="K135" s="651">
        <f>(H135+I135)-J135</f>
        <v>0</v>
      </c>
    </row>
    <row r="136" spans="1:11" ht="18" customHeight="1" x14ac:dyDescent="0.4">
      <c r="A136" s="120"/>
      <c r="F136" s="665"/>
      <c r="G136" s="665"/>
      <c r="H136" s="648"/>
    </row>
    <row r="137" spans="1:11" ht="18" customHeight="1" x14ac:dyDescent="0.4">
      <c r="A137" s="120" t="s">
        <v>163</v>
      </c>
      <c r="B137" s="117" t="s">
        <v>27</v>
      </c>
      <c r="F137" s="656">
        <f t="shared" ref="F137:K137" si="12">SUM(F131:F135)</f>
        <v>109.5</v>
      </c>
      <c r="G137" s="656">
        <f t="shared" si="12"/>
        <v>971</v>
      </c>
      <c r="H137" s="657">
        <f t="shared" si="12"/>
        <v>224428</v>
      </c>
      <c r="I137" s="685">
        <f>SUM(I131:I135)</f>
        <v>0</v>
      </c>
      <c r="J137" s="685">
        <f t="shared" si="12"/>
        <v>0</v>
      </c>
      <c r="K137" s="657">
        <f t="shared" si="12"/>
        <v>224428</v>
      </c>
    </row>
    <row r="138" spans="1:11" ht="18" customHeight="1" x14ac:dyDescent="0.4">
      <c r="A138" s="120"/>
      <c r="B138" s="117"/>
      <c r="F138" s="429"/>
      <c r="G138" s="429"/>
      <c r="H138" s="660"/>
      <c r="I138" s="427"/>
      <c r="J138" s="431"/>
      <c r="K138" s="431"/>
    </row>
    <row r="139" spans="1:11" ht="42.75" customHeight="1" x14ac:dyDescent="0.4">
      <c r="F139" s="122" t="s">
        <v>9</v>
      </c>
      <c r="G139" s="122" t="s">
        <v>37</v>
      </c>
      <c r="H139" s="647" t="s">
        <v>29</v>
      </c>
      <c r="I139" s="110" t="s">
        <v>30</v>
      </c>
      <c r="J139" s="110" t="s">
        <v>33</v>
      </c>
      <c r="K139" s="110" t="s">
        <v>34</v>
      </c>
    </row>
    <row r="140" spans="1:11" ht="18" customHeight="1" x14ac:dyDescent="0.4">
      <c r="A140" s="120" t="s">
        <v>166</v>
      </c>
      <c r="B140" s="117" t="s">
        <v>26</v>
      </c>
      <c r="H140" s="648"/>
    </row>
    <row r="141" spans="1:11" ht="18" customHeight="1" x14ac:dyDescent="0.4">
      <c r="A141" s="183" t="s">
        <v>137</v>
      </c>
      <c r="B141" s="117" t="s">
        <v>64</v>
      </c>
      <c r="F141" s="689">
        <f t="shared" ref="F141:K141" si="13">F36</f>
        <v>29756</v>
      </c>
      <c r="G141" s="689">
        <f t="shared" si="13"/>
        <v>89315</v>
      </c>
      <c r="H141" s="690">
        <f t="shared" si="13"/>
        <v>2490658</v>
      </c>
      <c r="I141" s="691">
        <f t="shared" si="13"/>
        <v>1358240</v>
      </c>
      <c r="J141" s="691">
        <f t="shared" si="13"/>
        <v>151789</v>
      </c>
      <c r="K141" s="691">
        <f t="shared" si="13"/>
        <v>3697109</v>
      </c>
    </row>
    <row r="142" spans="1:11" ht="18" customHeight="1" x14ac:dyDescent="0.4">
      <c r="A142" s="183" t="s">
        <v>142</v>
      </c>
      <c r="B142" s="117" t="s">
        <v>65</v>
      </c>
      <c r="F142" s="689">
        <f t="shared" ref="F142:K142" si="14">F49</f>
        <v>46564.3</v>
      </c>
      <c r="G142" s="689">
        <f t="shared" si="14"/>
        <v>2204</v>
      </c>
      <c r="H142" s="690">
        <f t="shared" si="14"/>
        <v>3222587</v>
      </c>
      <c r="I142" s="691">
        <f t="shared" si="14"/>
        <v>1768702</v>
      </c>
      <c r="J142" s="691">
        <f t="shared" si="14"/>
        <v>6784</v>
      </c>
      <c r="K142" s="691">
        <f t="shared" si="14"/>
        <v>4984505</v>
      </c>
    </row>
    <row r="143" spans="1:11" ht="18" customHeight="1" x14ac:dyDescent="0.4">
      <c r="A143" s="183" t="s">
        <v>144</v>
      </c>
      <c r="B143" s="117" t="s">
        <v>66</v>
      </c>
      <c r="F143" s="689">
        <f t="shared" ref="F143:K143" si="15">F64</f>
        <v>1493</v>
      </c>
      <c r="G143" s="689">
        <f t="shared" si="15"/>
        <v>6451</v>
      </c>
      <c r="H143" s="690">
        <f t="shared" si="15"/>
        <v>14211709</v>
      </c>
      <c r="I143" s="691">
        <f t="shared" si="15"/>
        <v>0</v>
      </c>
      <c r="J143" s="691">
        <f t="shared" si="15"/>
        <v>878351</v>
      </c>
      <c r="K143" s="691">
        <f t="shared" si="15"/>
        <v>13333358</v>
      </c>
    </row>
    <row r="144" spans="1:11" ht="18" customHeight="1" x14ac:dyDescent="0.4">
      <c r="A144" s="183" t="s">
        <v>146</v>
      </c>
      <c r="B144" s="117" t="s">
        <v>67</v>
      </c>
      <c r="F144" s="689">
        <f t="shared" ref="F144:K144" si="16">F74</f>
        <v>0</v>
      </c>
      <c r="G144" s="689">
        <f t="shared" si="16"/>
        <v>0</v>
      </c>
      <c r="H144" s="690">
        <f t="shared" si="16"/>
        <v>1679434</v>
      </c>
      <c r="I144" s="691">
        <f t="shared" si="16"/>
        <v>0</v>
      </c>
      <c r="J144" s="691">
        <f t="shared" si="16"/>
        <v>1679434</v>
      </c>
      <c r="K144" s="691">
        <f t="shared" si="16"/>
        <v>0</v>
      </c>
    </row>
    <row r="145" spans="1:11" ht="18" customHeight="1" x14ac:dyDescent="0.4">
      <c r="A145" s="183" t="s">
        <v>148</v>
      </c>
      <c r="B145" s="117" t="s">
        <v>68</v>
      </c>
      <c r="F145" s="689">
        <f t="shared" ref="F145:K145" si="17">F82</f>
        <v>224.4</v>
      </c>
      <c r="G145" s="689">
        <f t="shared" si="17"/>
        <v>3811</v>
      </c>
      <c r="H145" s="690">
        <f t="shared" si="17"/>
        <v>215559</v>
      </c>
      <c r="I145" s="691">
        <f t="shared" si="17"/>
        <v>0</v>
      </c>
      <c r="J145" s="691">
        <f t="shared" si="17"/>
        <v>0</v>
      </c>
      <c r="K145" s="691">
        <f t="shared" si="17"/>
        <v>215559</v>
      </c>
    </row>
    <row r="146" spans="1:11" ht="18" customHeight="1" x14ac:dyDescent="0.4">
      <c r="A146" s="183" t="s">
        <v>150</v>
      </c>
      <c r="B146" s="117" t="s">
        <v>69</v>
      </c>
      <c r="F146" s="689">
        <f t="shared" ref="F146:K146" si="18">F98</f>
        <v>3564.5</v>
      </c>
      <c r="G146" s="689">
        <f t="shared" si="18"/>
        <v>6517</v>
      </c>
      <c r="H146" s="690">
        <f t="shared" si="18"/>
        <v>432358</v>
      </c>
      <c r="I146" s="691">
        <f t="shared" si="18"/>
        <v>254821</v>
      </c>
      <c r="J146" s="691">
        <f t="shared" si="18"/>
        <v>22614</v>
      </c>
      <c r="K146" s="691">
        <f t="shared" si="18"/>
        <v>664565</v>
      </c>
    </row>
    <row r="147" spans="1:11" ht="18" customHeight="1" x14ac:dyDescent="0.4">
      <c r="A147" s="183" t="s">
        <v>153</v>
      </c>
      <c r="B147" s="117" t="s">
        <v>61</v>
      </c>
      <c r="F147" s="563">
        <f t="shared" ref="F147:K147" si="19">F108</f>
        <v>2174</v>
      </c>
      <c r="G147" s="563">
        <f t="shared" si="19"/>
        <v>25</v>
      </c>
      <c r="H147" s="657">
        <f t="shared" si="19"/>
        <v>235770</v>
      </c>
      <c r="I147" s="651">
        <f t="shared" si="19"/>
        <v>125198</v>
      </c>
      <c r="J147" s="651">
        <f t="shared" si="19"/>
        <v>40705</v>
      </c>
      <c r="K147" s="651">
        <f t="shared" si="19"/>
        <v>320263</v>
      </c>
    </row>
    <row r="148" spans="1:11" ht="18" customHeight="1" x14ac:dyDescent="0.4">
      <c r="A148" s="183" t="s">
        <v>155</v>
      </c>
      <c r="B148" s="117" t="s">
        <v>70</v>
      </c>
      <c r="F148" s="137" t="s">
        <v>73</v>
      </c>
      <c r="G148" s="137" t="s">
        <v>73</v>
      </c>
      <c r="H148" s="138" t="s">
        <v>73</v>
      </c>
      <c r="I148" s="138" t="s">
        <v>73</v>
      </c>
      <c r="J148" s="138" t="s">
        <v>73</v>
      </c>
      <c r="K148" s="691">
        <f>F111</f>
        <v>4484000</v>
      </c>
    </row>
    <row r="149" spans="1:11" ht="18" customHeight="1" x14ac:dyDescent="0.4">
      <c r="A149" s="183" t="s">
        <v>163</v>
      </c>
      <c r="B149" s="117" t="s">
        <v>71</v>
      </c>
      <c r="F149" s="563">
        <f t="shared" ref="F149:K149" si="20">F137</f>
        <v>109.5</v>
      </c>
      <c r="G149" s="563">
        <f t="shared" si="20"/>
        <v>971</v>
      </c>
      <c r="H149" s="657">
        <f t="shared" si="20"/>
        <v>224428</v>
      </c>
      <c r="I149" s="651">
        <f t="shared" si="20"/>
        <v>0</v>
      </c>
      <c r="J149" s="651">
        <f t="shared" si="20"/>
        <v>0</v>
      </c>
      <c r="K149" s="651">
        <f t="shared" si="20"/>
        <v>224428</v>
      </c>
    </row>
    <row r="150" spans="1:11" ht="18" customHeight="1" x14ac:dyDescent="0.4">
      <c r="A150" s="183" t="s">
        <v>185</v>
      </c>
      <c r="B150" s="117" t="s">
        <v>186</v>
      </c>
      <c r="F150" s="563">
        <f>F110</f>
        <v>0</v>
      </c>
      <c r="G150" s="563">
        <f>G110</f>
        <v>0</v>
      </c>
      <c r="H150" s="657">
        <f>H18</f>
        <v>6377425</v>
      </c>
      <c r="I150" s="651">
        <f>I110</f>
        <v>0</v>
      </c>
      <c r="J150" s="651">
        <f>J18</f>
        <v>5301727</v>
      </c>
      <c r="K150" s="651">
        <f>K18</f>
        <v>1075698</v>
      </c>
    </row>
    <row r="151" spans="1:11" ht="18" customHeight="1" x14ac:dyDescent="0.4">
      <c r="B151" s="117"/>
      <c r="F151" s="692"/>
      <c r="G151" s="692"/>
      <c r="H151" s="693"/>
      <c r="I151" s="338"/>
      <c r="J151" s="338"/>
      <c r="K151" s="338"/>
    </row>
    <row r="152" spans="1:11" ht="18" customHeight="1" x14ac:dyDescent="0.4">
      <c r="A152" s="120" t="s">
        <v>165</v>
      </c>
      <c r="B152" s="117" t="s">
        <v>26</v>
      </c>
      <c r="F152" s="694">
        <f t="shared" ref="F152:J152" si="21">SUM(F141:F150)</f>
        <v>83885.7</v>
      </c>
      <c r="G152" s="694">
        <f t="shared" si="21"/>
        <v>109294</v>
      </c>
      <c r="H152" s="695">
        <f t="shared" si="21"/>
        <v>29089928</v>
      </c>
      <c r="I152" s="696">
        <f t="shared" si="21"/>
        <v>3506961</v>
      </c>
      <c r="J152" s="696">
        <f t="shared" si="21"/>
        <v>8081404</v>
      </c>
      <c r="K152" s="696">
        <f>SUM(K141:K150)</f>
        <v>28999485</v>
      </c>
    </row>
    <row r="154" spans="1:11" ht="18" customHeight="1" x14ac:dyDescent="0.4">
      <c r="A154" s="120" t="s">
        <v>168</v>
      </c>
      <c r="B154" s="117" t="s">
        <v>28</v>
      </c>
      <c r="F154" s="571">
        <f>K152/F121</f>
        <v>9.648259788998792E-2</v>
      </c>
    </row>
    <row r="155" spans="1:11" ht="18" customHeight="1" x14ac:dyDescent="0.4">
      <c r="A155" s="120" t="s">
        <v>169</v>
      </c>
      <c r="B155" s="117" t="s">
        <v>72</v>
      </c>
      <c r="F155" s="571">
        <f>K152/F127</f>
        <v>1.4882979214780601</v>
      </c>
      <c r="G155" s="117"/>
    </row>
    <row r="156" spans="1:11" ht="18" customHeight="1" x14ac:dyDescent="0.4">
      <c r="G156" s="117"/>
    </row>
  </sheetData>
  <mergeCells count="35">
    <mergeCell ref="B106:D106"/>
    <mergeCell ref="B30:D30"/>
    <mergeCell ref="B13:H13"/>
    <mergeCell ref="B31:D31"/>
    <mergeCell ref="B34:D34"/>
    <mergeCell ref="B42:C42"/>
    <mergeCell ref="B53:D53"/>
    <mergeCell ref="B55:D55"/>
    <mergeCell ref="B56:D56"/>
    <mergeCell ref="B57:D57"/>
    <mergeCell ref="B59:D59"/>
    <mergeCell ref="B62:D62"/>
    <mergeCell ref="D2:H2"/>
    <mergeCell ref="C11:G11"/>
    <mergeCell ref="C5:G5"/>
    <mergeCell ref="C6:G6"/>
    <mergeCell ref="C7:G7"/>
    <mergeCell ref="C9:G9"/>
    <mergeCell ref="C10:G10"/>
    <mergeCell ref="B134:D134"/>
    <mergeCell ref="B135:D135"/>
    <mergeCell ref="B45:D45"/>
    <mergeCell ref="B46:D46"/>
    <mergeCell ref="B47:D47"/>
    <mergeCell ref="B52:C52"/>
    <mergeCell ref="B133:D133"/>
    <mergeCell ref="B90:C90"/>
    <mergeCell ref="B103:C103"/>
    <mergeCell ref="B104:D104"/>
    <mergeCell ref="B68:D68"/>
    <mergeCell ref="B69:D69"/>
    <mergeCell ref="B94:D94"/>
    <mergeCell ref="B95:D95"/>
    <mergeCell ref="B96:D96"/>
    <mergeCell ref="B105:D105"/>
  </mergeCells>
  <printOptions headings="1" gridLines="1"/>
  <pageMargins left="0.17" right="0.16" top="0.35" bottom="0.32" header="0.17" footer="0.17"/>
  <pageSetup scale="64" fitToHeight="4" orientation="landscape" r:id="rId1"/>
  <headerFooter alignWithMargins="0">
    <oddFooter>&amp;L&amp;Z&amp;F.xls&amp;C&amp;P of &amp;N&amp;R&amp;D</oddFooter>
  </headerFooter>
  <rowBreaks count="2" manualBreakCount="2">
    <brk id="35" max="10" man="1"/>
    <brk id="118"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0"/>
  </sheetPr>
  <dimension ref="A1:K156"/>
  <sheetViews>
    <sheetView showGridLines="0" topLeftCell="A49" zoomScale="85" zoomScaleNormal="85" zoomScaleSheetLayoutView="80" workbookViewId="0">
      <selection activeCell="A2" sqref="A2"/>
    </sheetView>
  </sheetViews>
  <sheetFormatPr defaultColWidth="8.86328125" defaultRowHeight="18" customHeight="1" x14ac:dyDescent="0.35"/>
  <cols>
    <col min="1" max="1" width="8.265625" style="115" customWidth="1"/>
    <col min="2" max="2" width="55.3984375" style="189" bestFit="1" customWidth="1"/>
    <col min="3" max="3" width="9.3984375" style="189" customWidth="1"/>
    <col min="4" max="4" width="8.86328125" style="189"/>
    <col min="5" max="5" width="12.3984375" style="189" customWidth="1"/>
    <col min="6" max="6" width="18.3984375" style="189" customWidth="1"/>
    <col min="7" max="7" width="23.3984375" style="189" customWidth="1"/>
    <col min="8" max="8" width="17.1328125" style="189" customWidth="1"/>
    <col min="9" max="9" width="21.1328125" style="189" customWidth="1"/>
    <col min="10" max="10" width="19.86328125" style="189" customWidth="1"/>
    <col min="11" max="11" width="17.3984375" style="189" customWidth="1"/>
    <col min="12" max="16384" width="8.86328125"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1017" t="s">
        <v>558</v>
      </c>
      <c r="D5" s="962"/>
      <c r="E5" s="962"/>
      <c r="F5" s="962"/>
      <c r="G5" s="963"/>
    </row>
    <row r="6" spans="1:11" ht="18" customHeight="1" x14ac:dyDescent="0.4">
      <c r="B6" s="183" t="s">
        <v>3</v>
      </c>
      <c r="C6" s="964">
        <v>23</v>
      </c>
      <c r="D6" s="965"/>
      <c r="E6" s="965"/>
      <c r="F6" s="965"/>
      <c r="G6" s="966"/>
    </row>
    <row r="7" spans="1:11" ht="18" customHeight="1" x14ac:dyDescent="0.4">
      <c r="B7" s="183" t="s">
        <v>4</v>
      </c>
      <c r="C7" s="1014">
        <v>4926</v>
      </c>
      <c r="D7" s="1015"/>
      <c r="E7" s="1015"/>
      <c r="F7" s="1015"/>
      <c r="G7" s="1016"/>
    </row>
    <row r="9" spans="1:11" ht="18" customHeight="1" x14ac:dyDescent="0.4">
      <c r="B9" s="183" t="s">
        <v>1</v>
      </c>
      <c r="C9" s="961" t="s">
        <v>235</v>
      </c>
      <c r="D9" s="962"/>
      <c r="E9" s="962"/>
      <c r="F9" s="962"/>
      <c r="G9" s="963"/>
    </row>
    <row r="10" spans="1:11" ht="18" customHeight="1" x14ac:dyDescent="0.4">
      <c r="B10" s="183" t="s">
        <v>2</v>
      </c>
      <c r="C10" s="970" t="s">
        <v>236</v>
      </c>
      <c r="D10" s="971"/>
      <c r="E10" s="971"/>
      <c r="F10" s="971"/>
      <c r="G10" s="972"/>
    </row>
    <row r="11" spans="1:11" ht="18" customHeight="1" x14ac:dyDescent="0.4">
      <c r="B11" s="183" t="s">
        <v>32</v>
      </c>
      <c r="C11" s="954" t="s">
        <v>559</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12561574</v>
      </c>
      <c r="I18" s="144">
        <v>0</v>
      </c>
      <c r="J18" s="556">
        <v>10442778</v>
      </c>
      <c r="K18" s="557">
        <f>(H18+I18)-J18</f>
        <v>2118796</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17117</v>
      </c>
      <c r="G21" s="555">
        <v>85377</v>
      </c>
      <c r="H21" s="556">
        <v>888884</v>
      </c>
      <c r="I21" s="144">
        <f t="shared" ref="I21:I34" si="0">H21*F$114</f>
        <v>494486.1692</v>
      </c>
      <c r="J21" s="556">
        <v>65798</v>
      </c>
      <c r="K21" s="557">
        <f t="shared" ref="K21:K34" si="1">(H21+I21)-J21</f>
        <v>1317572.1691999999</v>
      </c>
    </row>
    <row r="22" spans="1:11" ht="18" customHeight="1" x14ac:dyDescent="0.4">
      <c r="A22" s="183" t="s">
        <v>76</v>
      </c>
      <c r="B22" s="189" t="s">
        <v>6</v>
      </c>
      <c r="F22" s="555"/>
      <c r="G22" s="555"/>
      <c r="H22" s="556"/>
      <c r="I22" s="144">
        <f t="shared" si="0"/>
        <v>0</v>
      </c>
      <c r="J22" s="556"/>
      <c r="K22" s="557">
        <f t="shared" si="1"/>
        <v>0</v>
      </c>
    </row>
    <row r="23" spans="1:11" ht="18" customHeight="1" x14ac:dyDescent="0.4">
      <c r="A23" s="183" t="s">
        <v>77</v>
      </c>
      <c r="B23" s="189" t="s">
        <v>43</v>
      </c>
      <c r="F23" s="555"/>
      <c r="G23" s="555"/>
      <c r="H23" s="556"/>
      <c r="I23" s="144">
        <f t="shared" si="0"/>
        <v>0</v>
      </c>
      <c r="J23" s="556"/>
      <c r="K23" s="557">
        <f t="shared" si="1"/>
        <v>0</v>
      </c>
    </row>
    <row r="24" spans="1:11" ht="18" customHeight="1" x14ac:dyDescent="0.4">
      <c r="A24" s="183" t="s">
        <v>78</v>
      </c>
      <c r="B24" s="189" t="s">
        <v>44</v>
      </c>
      <c r="F24" s="555">
        <v>590</v>
      </c>
      <c r="G24" s="555">
        <v>2078</v>
      </c>
      <c r="H24" s="556">
        <v>37902</v>
      </c>
      <c r="I24" s="144">
        <f t="shared" si="0"/>
        <v>21084.882600000001</v>
      </c>
      <c r="J24" s="556"/>
      <c r="K24" s="557">
        <f t="shared" si="1"/>
        <v>58986.882599999997</v>
      </c>
    </row>
    <row r="25" spans="1:11" ht="18" customHeight="1" x14ac:dyDescent="0.4">
      <c r="A25" s="183" t="s">
        <v>79</v>
      </c>
      <c r="B25" s="189" t="s">
        <v>5</v>
      </c>
      <c r="F25" s="555"/>
      <c r="G25" s="555"/>
      <c r="H25" s="556"/>
      <c r="I25" s="144">
        <f t="shared" si="0"/>
        <v>0</v>
      </c>
      <c r="J25" s="556"/>
      <c r="K25" s="557">
        <f t="shared" si="1"/>
        <v>0</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c r="G27" s="555"/>
      <c r="H27" s="556"/>
      <c r="I27" s="144">
        <f t="shared" si="0"/>
        <v>0</v>
      </c>
      <c r="J27" s="556"/>
      <c r="K27" s="557">
        <f t="shared" si="1"/>
        <v>0</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5">
        <v>18114</v>
      </c>
      <c r="G29" s="555">
        <v>28088</v>
      </c>
      <c r="H29" s="556">
        <v>1755562</v>
      </c>
      <c r="I29" s="144">
        <f t="shared" si="0"/>
        <v>976619.14060000004</v>
      </c>
      <c r="J29" s="556">
        <v>362981</v>
      </c>
      <c r="K29" s="557">
        <f t="shared" si="1"/>
        <v>2369200.1406</v>
      </c>
    </row>
    <row r="30" spans="1:11" ht="18" customHeight="1" x14ac:dyDescent="0.4">
      <c r="A30" s="183" t="s">
        <v>84</v>
      </c>
      <c r="B30" s="951" t="s">
        <v>237</v>
      </c>
      <c r="C30" s="952"/>
      <c r="D30" s="953"/>
      <c r="F30" s="555"/>
      <c r="G30" s="555"/>
      <c r="H30" s="556">
        <v>85638</v>
      </c>
      <c r="I30" s="144">
        <f t="shared" si="0"/>
        <v>47640.419399999999</v>
      </c>
      <c r="J30" s="556"/>
      <c r="K30" s="557">
        <f t="shared" si="1"/>
        <v>133278.41940000001</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35821</v>
      </c>
      <c r="G36" s="560">
        <f t="shared" si="2"/>
        <v>115543</v>
      </c>
      <c r="H36" s="560">
        <f t="shared" si="2"/>
        <v>2767986</v>
      </c>
      <c r="I36" s="557">
        <f t="shared" si="2"/>
        <v>1539830.6118000001</v>
      </c>
      <c r="J36" s="557">
        <f t="shared" si="2"/>
        <v>428779</v>
      </c>
      <c r="K36" s="557">
        <f t="shared" si="2"/>
        <v>3879037.6118000001</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29049</v>
      </c>
      <c r="G40" s="555">
        <v>1840</v>
      </c>
      <c r="H40" s="556">
        <v>4491487</v>
      </c>
      <c r="I40" s="144">
        <v>0</v>
      </c>
      <c r="J40" s="556"/>
      <c r="K40" s="557">
        <f t="shared" ref="K40:K47" si="3">(H40+I40)-J40</f>
        <v>4491487</v>
      </c>
    </row>
    <row r="41" spans="1:11" ht="18" customHeight="1" x14ac:dyDescent="0.4">
      <c r="A41" s="183" t="s">
        <v>88</v>
      </c>
      <c r="B41" s="956" t="s">
        <v>50</v>
      </c>
      <c r="C41" s="957"/>
      <c r="F41" s="555">
        <v>48053</v>
      </c>
      <c r="G41" s="555">
        <v>1310</v>
      </c>
      <c r="H41" s="556">
        <v>2133531</v>
      </c>
      <c r="I41" s="144">
        <v>0</v>
      </c>
      <c r="J41" s="556"/>
      <c r="K41" s="557">
        <f t="shared" si="3"/>
        <v>2133531</v>
      </c>
    </row>
    <row r="42" spans="1:11" ht="18" customHeight="1" x14ac:dyDescent="0.4">
      <c r="A42" s="183" t="s">
        <v>89</v>
      </c>
      <c r="B42" s="116" t="s">
        <v>11</v>
      </c>
      <c r="F42" s="555">
        <v>2632</v>
      </c>
      <c r="G42" s="555">
        <v>196</v>
      </c>
      <c r="H42" s="556">
        <v>125673</v>
      </c>
      <c r="I42" s="144">
        <v>0</v>
      </c>
      <c r="J42" s="556"/>
      <c r="K42" s="557">
        <f t="shared" si="3"/>
        <v>125673</v>
      </c>
    </row>
    <row r="43" spans="1:11" ht="18" customHeight="1" x14ac:dyDescent="0.4">
      <c r="A43" s="183" t="s">
        <v>90</v>
      </c>
      <c r="B43" s="141" t="s">
        <v>10</v>
      </c>
      <c r="C43" s="123"/>
      <c r="D43" s="123"/>
      <c r="F43" s="555"/>
      <c r="G43" s="555"/>
      <c r="H43" s="556">
        <v>27135</v>
      </c>
      <c r="I43" s="144">
        <v>0</v>
      </c>
      <c r="J43" s="556">
        <v>16025</v>
      </c>
      <c r="K43" s="557">
        <f t="shared" si="3"/>
        <v>11110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79734</v>
      </c>
      <c r="G49" s="563">
        <f t="shared" si="4"/>
        <v>3346</v>
      </c>
      <c r="H49" s="557">
        <f t="shared" si="4"/>
        <v>6777826</v>
      </c>
      <c r="I49" s="557">
        <f t="shared" si="4"/>
        <v>0</v>
      </c>
      <c r="J49" s="557">
        <f t="shared" si="4"/>
        <v>16025</v>
      </c>
      <c r="K49" s="557">
        <f t="shared" si="4"/>
        <v>6761801</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978" t="s">
        <v>519</v>
      </c>
      <c r="C53" s="979"/>
      <c r="D53" s="975"/>
      <c r="F53" s="555"/>
      <c r="G53" s="555"/>
      <c r="H53" s="556">
        <v>845393</v>
      </c>
      <c r="I53" s="144">
        <v>0</v>
      </c>
      <c r="J53" s="556"/>
      <c r="K53" s="557">
        <f t="shared" ref="K53:K62" si="5">(H53+I53)-J53</f>
        <v>845393</v>
      </c>
    </row>
    <row r="54" spans="1:11" ht="18" customHeight="1" x14ac:dyDescent="0.4">
      <c r="A54" s="183" t="s">
        <v>93</v>
      </c>
      <c r="B54" s="506" t="s">
        <v>520</v>
      </c>
      <c r="C54" s="504"/>
      <c r="D54" s="505"/>
      <c r="F54" s="555"/>
      <c r="G54" s="555"/>
      <c r="H54" s="556">
        <v>333570</v>
      </c>
      <c r="I54" s="144">
        <v>0</v>
      </c>
      <c r="J54" s="556"/>
      <c r="K54" s="557">
        <f t="shared" si="5"/>
        <v>333570</v>
      </c>
    </row>
    <row r="55" spans="1:11" ht="18" customHeight="1" x14ac:dyDescent="0.4">
      <c r="A55" s="183" t="s">
        <v>94</v>
      </c>
      <c r="B55" s="973" t="s">
        <v>521</v>
      </c>
      <c r="C55" s="974"/>
      <c r="D55" s="975"/>
      <c r="F55" s="555">
        <v>2730</v>
      </c>
      <c r="G55" s="555"/>
      <c r="H55" s="556">
        <v>229478</v>
      </c>
      <c r="I55" s="144">
        <v>0</v>
      </c>
      <c r="J55" s="556"/>
      <c r="K55" s="557">
        <f t="shared" si="5"/>
        <v>229478</v>
      </c>
    </row>
    <row r="56" spans="1:11" ht="18" customHeight="1" x14ac:dyDescent="0.4">
      <c r="A56" s="183" t="s">
        <v>95</v>
      </c>
      <c r="B56" s="973" t="s">
        <v>238</v>
      </c>
      <c r="C56" s="974"/>
      <c r="D56" s="975"/>
      <c r="F56" s="555">
        <v>2912</v>
      </c>
      <c r="G56" s="555">
        <v>904</v>
      </c>
      <c r="H56" s="556">
        <v>204157</v>
      </c>
      <c r="I56" s="144">
        <v>0</v>
      </c>
      <c r="J56" s="556">
        <v>27100</v>
      </c>
      <c r="K56" s="557">
        <f>(H56+I56)-J56</f>
        <v>177057</v>
      </c>
    </row>
    <row r="57" spans="1:11" ht="18" customHeight="1" x14ac:dyDescent="0.4">
      <c r="A57" s="183" t="s">
        <v>96</v>
      </c>
      <c r="B57" s="973" t="s">
        <v>239</v>
      </c>
      <c r="C57" s="974"/>
      <c r="D57" s="975"/>
      <c r="F57" s="555"/>
      <c r="G57" s="555">
        <v>1218</v>
      </c>
      <c r="H57" s="556">
        <v>278770</v>
      </c>
      <c r="I57" s="144">
        <v>0</v>
      </c>
      <c r="J57" s="556"/>
      <c r="K57" s="557">
        <f>(H57+I57)-J57</f>
        <v>278770</v>
      </c>
    </row>
    <row r="58" spans="1:11" ht="18" customHeight="1" x14ac:dyDescent="0.4">
      <c r="A58" s="183" t="s">
        <v>97</v>
      </c>
      <c r="B58" s="506" t="s">
        <v>522</v>
      </c>
      <c r="C58" s="504"/>
      <c r="D58" s="505"/>
      <c r="F58" s="555"/>
      <c r="G58" s="555"/>
      <c r="H58" s="556">
        <v>29927</v>
      </c>
      <c r="I58" s="144">
        <v>0</v>
      </c>
      <c r="J58" s="556"/>
      <c r="K58" s="557">
        <f t="shared" si="5"/>
        <v>29927</v>
      </c>
    </row>
    <row r="59" spans="1:11" ht="18" customHeight="1" x14ac:dyDescent="0.4">
      <c r="A59" s="183" t="s">
        <v>98</v>
      </c>
      <c r="B59" s="973" t="s">
        <v>560</v>
      </c>
      <c r="C59" s="974"/>
      <c r="D59" s="975"/>
      <c r="F59" s="555"/>
      <c r="G59" s="555"/>
      <c r="H59" s="556">
        <v>26360098</v>
      </c>
      <c r="I59" s="144">
        <v>0</v>
      </c>
      <c r="J59" s="556"/>
      <c r="K59" s="557">
        <f t="shared" si="5"/>
        <v>26360098</v>
      </c>
    </row>
    <row r="60" spans="1:11" ht="18" customHeight="1" x14ac:dyDescent="0.4">
      <c r="A60" s="183" t="s">
        <v>99</v>
      </c>
      <c r="B60" s="506" t="s">
        <v>561</v>
      </c>
      <c r="C60" s="504"/>
      <c r="D60" s="505"/>
      <c r="F60" s="555"/>
      <c r="G60" s="555"/>
      <c r="H60" s="556">
        <v>4271013</v>
      </c>
      <c r="I60" s="144">
        <v>0</v>
      </c>
      <c r="J60" s="556">
        <v>594764</v>
      </c>
      <c r="K60" s="557">
        <f t="shared" si="5"/>
        <v>3676249</v>
      </c>
    </row>
    <row r="61" spans="1:11" ht="18" customHeight="1" x14ac:dyDescent="0.4">
      <c r="A61" s="183" t="s">
        <v>100</v>
      </c>
      <c r="B61" s="503"/>
      <c r="C61" s="504"/>
      <c r="D61" s="505"/>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5642</v>
      </c>
      <c r="G64" s="560">
        <f t="shared" si="6"/>
        <v>2122</v>
      </c>
      <c r="H64" s="557">
        <f t="shared" si="6"/>
        <v>32552406</v>
      </c>
      <c r="I64" s="557">
        <f t="shared" si="6"/>
        <v>0</v>
      </c>
      <c r="J64" s="557">
        <f t="shared" si="6"/>
        <v>621864</v>
      </c>
      <c r="K64" s="557">
        <f t="shared" si="6"/>
        <v>31930542</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v>24780</v>
      </c>
      <c r="G68" s="564">
        <v>629</v>
      </c>
      <c r="H68" s="564">
        <v>2013804</v>
      </c>
      <c r="I68" s="144">
        <v>0</v>
      </c>
      <c r="J68" s="564">
        <v>1406769</v>
      </c>
      <c r="K68" s="557">
        <f>(H68+I68)-J68</f>
        <v>607035</v>
      </c>
    </row>
    <row r="69" spans="1:11" ht="18" customHeight="1" x14ac:dyDescent="0.4">
      <c r="A69" s="183" t="s">
        <v>104</v>
      </c>
      <c r="B69" s="116" t="s">
        <v>53</v>
      </c>
      <c r="F69" s="564"/>
      <c r="G69" s="564"/>
      <c r="H69" s="564">
        <v>582895</v>
      </c>
      <c r="I69" s="144">
        <v>0</v>
      </c>
      <c r="J69" s="564"/>
      <c r="K69" s="557">
        <f>(H69+I69)-J69</f>
        <v>582895</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24780</v>
      </c>
      <c r="G74" s="566">
        <f t="shared" si="7"/>
        <v>629</v>
      </c>
      <c r="H74" s="566">
        <f t="shared" si="7"/>
        <v>2596699</v>
      </c>
      <c r="I74" s="145">
        <f t="shared" si="7"/>
        <v>0</v>
      </c>
      <c r="J74" s="566">
        <f t="shared" si="7"/>
        <v>1406769</v>
      </c>
      <c r="K74" s="567">
        <f t="shared" si="7"/>
        <v>1189930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81850</v>
      </c>
      <c r="I77" s="144">
        <v>0</v>
      </c>
      <c r="J77" s="556"/>
      <c r="K77" s="557">
        <f>(H77+I77)-J77</f>
        <v>81850</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772</v>
      </c>
      <c r="G79" s="555">
        <v>1000</v>
      </c>
      <c r="H79" s="556">
        <v>120503</v>
      </c>
      <c r="I79" s="144">
        <v>0</v>
      </c>
      <c r="J79" s="556"/>
      <c r="K79" s="557">
        <f>(H79+I79)-J79</f>
        <v>120503</v>
      </c>
    </row>
    <row r="80" spans="1:11" ht="18" customHeight="1" x14ac:dyDescent="0.4">
      <c r="A80" s="183" t="s">
        <v>110</v>
      </c>
      <c r="B80" s="116" t="s">
        <v>56</v>
      </c>
      <c r="F80" s="555"/>
      <c r="G80" s="555"/>
      <c r="H80" s="556">
        <v>1021819</v>
      </c>
      <c r="I80" s="144">
        <v>0</v>
      </c>
      <c r="J80" s="556"/>
      <c r="K80" s="557">
        <f>(H80+I80)-J80</f>
        <v>1021819</v>
      </c>
    </row>
    <row r="81" spans="1:11" ht="18" customHeight="1" x14ac:dyDescent="0.4">
      <c r="A81" s="183"/>
      <c r="K81" s="568"/>
    </row>
    <row r="82" spans="1:11" ht="18" customHeight="1" x14ac:dyDescent="0.4">
      <c r="A82" s="183" t="s">
        <v>148</v>
      </c>
      <c r="B82" s="117" t="s">
        <v>149</v>
      </c>
      <c r="E82" s="117" t="s">
        <v>7</v>
      </c>
      <c r="F82" s="566">
        <f t="shared" ref="F82:K82" si="8">SUM(F77:F80)</f>
        <v>772</v>
      </c>
      <c r="G82" s="566">
        <f t="shared" si="8"/>
        <v>1000</v>
      </c>
      <c r="H82" s="567">
        <f t="shared" si="8"/>
        <v>1224172</v>
      </c>
      <c r="I82" s="567">
        <f t="shared" si="8"/>
        <v>0</v>
      </c>
      <c r="J82" s="567">
        <f t="shared" si="8"/>
        <v>0</v>
      </c>
      <c r="K82" s="567">
        <f t="shared" si="8"/>
        <v>1224172</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9">H86*F$114</f>
        <v>0</v>
      </c>
      <c r="J86" s="556"/>
      <c r="K86" s="557">
        <f t="shared" ref="K86:K96" si="10">(H86+I86)-J86</f>
        <v>0</v>
      </c>
    </row>
    <row r="87" spans="1:11" ht="18" customHeight="1" x14ac:dyDescent="0.4">
      <c r="A87" s="183" t="s">
        <v>114</v>
      </c>
      <c r="B87" s="116" t="s">
        <v>14</v>
      </c>
      <c r="F87" s="555">
        <v>219</v>
      </c>
      <c r="G87" s="555">
        <v>2578</v>
      </c>
      <c r="H87" s="556">
        <v>11631</v>
      </c>
      <c r="I87" s="144">
        <f t="shared" si="9"/>
        <v>6470.3253000000004</v>
      </c>
      <c r="J87" s="556"/>
      <c r="K87" s="557">
        <f t="shared" si="10"/>
        <v>18101.3253</v>
      </c>
    </row>
    <row r="88" spans="1:11" ht="18" customHeight="1" x14ac:dyDescent="0.4">
      <c r="A88" s="183" t="s">
        <v>115</v>
      </c>
      <c r="B88" s="116" t="s">
        <v>116</v>
      </c>
      <c r="F88" s="555">
        <v>1475</v>
      </c>
      <c r="G88" s="555"/>
      <c r="H88" s="556">
        <v>289092</v>
      </c>
      <c r="I88" s="144">
        <f t="shared" si="9"/>
        <v>160821.87960000001</v>
      </c>
      <c r="J88" s="556"/>
      <c r="K88" s="557">
        <f t="shared" si="10"/>
        <v>449913.87959999999</v>
      </c>
    </row>
    <row r="89" spans="1:11" ht="18" customHeight="1" x14ac:dyDescent="0.4">
      <c r="A89" s="183" t="s">
        <v>117</v>
      </c>
      <c r="B89" s="116" t="s">
        <v>58</v>
      </c>
      <c r="F89" s="555">
        <v>1145</v>
      </c>
      <c r="G89" s="555">
        <v>176</v>
      </c>
      <c r="H89" s="556">
        <v>33578</v>
      </c>
      <c r="I89" s="144">
        <f t="shared" si="9"/>
        <v>18679.4414</v>
      </c>
      <c r="J89" s="556"/>
      <c r="K89" s="557">
        <f t="shared" si="10"/>
        <v>52257.441399999996</v>
      </c>
    </row>
    <row r="90" spans="1:11" ht="18" customHeight="1" x14ac:dyDescent="0.4">
      <c r="A90" s="183" t="s">
        <v>118</v>
      </c>
      <c r="B90" s="956" t="s">
        <v>59</v>
      </c>
      <c r="C90" s="957"/>
      <c r="F90" s="555">
        <v>1040</v>
      </c>
      <c r="G90" s="555"/>
      <c r="H90" s="556">
        <v>42457</v>
      </c>
      <c r="I90" s="144">
        <f t="shared" si="9"/>
        <v>23618.829099999999</v>
      </c>
      <c r="J90" s="556"/>
      <c r="K90" s="557">
        <f t="shared" si="10"/>
        <v>66075.829100000003</v>
      </c>
    </row>
    <row r="91" spans="1:11" ht="18" customHeight="1" x14ac:dyDescent="0.4">
      <c r="A91" s="183" t="s">
        <v>119</v>
      </c>
      <c r="B91" s="116" t="s">
        <v>60</v>
      </c>
      <c r="F91" s="555">
        <v>3028</v>
      </c>
      <c r="G91" s="555">
        <v>60</v>
      </c>
      <c r="H91" s="556">
        <v>140267</v>
      </c>
      <c r="I91" s="144">
        <f t="shared" si="9"/>
        <v>78030.532099999997</v>
      </c>
      <c r="J91" s="556"/>
      <c r="K91" s="557">
        <f t="shared" si="10"/>
        <v>218297.53210000001</v>
      </c>
    </row>
    <row r="92" spans="1:11" ht="18" customHeight="1" x14ac:dyDescent="0.4">
      <c r="A92" s="183" t="s">
        <v>120</v>
      </c>
      <c r="B92" s="116" t="s">
        <v>121</v>
      </c>
      <c r="F92" s="134">
        <v>444</v>
      </c>
      <c r="G92" s="134"/>
      <c r="H92" s="135">
        <v>18423</v>
      </c>
      <c r="I92" s="144">
        <f t="shared" si="9"/>
        <v>10248.714900000001</v>
      </c>
      <c r="J92" s="135"/>
      <c r="K92" s="557">
        <f t="shared" si="10"/>
        <v>28671.714899999999</v>
      </c>
    </row>
    <row r="93" spans="1:11" ht="18" customHeight="1" x14ac:dyDescent="0.4">
      <c r="A93" s="183" t="s">
        <v>122</v>
      </c>
      <c r="B93" s="116" t="s">
        <v>123</v>
      </c>
      <c r="F93" s="555">
        <v>948</v>
      </c>
      <c r="G93" s="555"/>
      <c r="H93" s="556">
        <v>117772</v>
      </c>
      <c r="I93" s="144">
        <f t="shared" si="9"/>
        <v>65516.563600000001</v>
      </c>
      <c r="J93" s="556"/>
      <c r="K93" s="557">
        <f t="shared" si="10"/>
        <v>183288.56359999999</v>
      </c>
    </row>
    <row r="94" spans="1:11" ht="18" customHeight="1" x14ac:dyDescent="0.4">
      <c r="A94" s="183" t="s">
        <v>124</v>
      </c>
      <c r="B94" s="973" t="s">
        <v>562</v>
      </c>
      <c r="C94" s="974"/>
      <c r="D94" s="975"/>
      <c r="F94" s="555">
        <v>1760</v>
      </c>
      <c r="G94" s="555">
        <v>173724</v>
      </c>
      <c r="H94" s="556">
        <v>42240</v>
      </c>
      <c r="I94" s="144">
        <f t="shared" si="9"/>
        <v>23498.112000000001</v>
      </c>
      <c r="J94" s="556"/>
      <c r="K94" s="557">
        <f t="shared" si="10"/>
        <v>65738.111999999994</v>
      </c>
    </row>
    <row r="95" spans="1:11" ht="18" customHeight="1" x14ac:dyDescent="0.4">
      <c r="A95" s="183" t="s">
        <v>125</v>
      </c>
      <c r="B95" s="973" t="s">
        <v>241</v>
      </c>
      <c r="C95" s="974"/>
      <c r="D95" s="975"/>
      <c r="F95" s="555">
        <v>127</v>
      </c>
      <c r="G95" s="555">
        <v>70</v>
      </c>
      <c r="H95" s="556">
        <v>8750</v>
      </c>
      <c r="I95" s="144">
        <f t="shared" si="9"/>
        <v>4867.625</v>
      </c>
      <c r="J95" s="556">
        <v>1000</v>
      </c>
      <c r="K95" s="557">
        <f t="shared" si="10"/>
        <v>12617.625</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10186</v>
      </c>
      <c r="G98" s="560">
        <f t="shared" si="11"/>
        <v>176608</v>
      </c>
      <c r="H98" s="560">
        <f t="shared" si="11"/>
        <v>704210</v>
      </c>
      <c r="I98" s="560">
        <f t="shared" si="11"/>
        <v>391752.02300000004</v>
      </c>
      <c r="J98" s="560">
        <f t="shared" si="11"/>
        <v>1000</v>
      </c>
      <c r="K98" s="560">
        <f t="shared" si="11"/>
        <v>1094962.023</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684</v>
      </c>
      <c r="G102" s="555"/>
      <c r="H102" s="556">
        <v>33989</v>
      </c>
      <c r="I102" s="144">
        <f>H102*F$114</f>
        <v>18908.080700000002</v>
      </c>
      <c r="J102" s="556"/>
      <c r="K102" s="557">
        <f>(H102+I102)-J102</f>
        <v>52897.080700000006</v>
      </c>
    </row>
    <row r="103" spans="1:11" ht="18" customHeight="1" x14ac:dyDescent="0.4">
      <c r="A103" s="183" t="s">
        <v>132</v>
      </c>
      <c r="B103" s="956" t="s">
        <v>62</v>
      </c>
      <c r="C103" s="956"/>
      <c r="F103" s="555">
        <v>684</v>
      </c>
      <c r="G103" s="555"/>
      <c r="H103" s="556">
        <v>32739</v>
      </c>
      <c r="I103" s="144">
        <f>H103*F$114</f>
        <v>18212.705700000002</v>
      </c>
      <c r="J103" s="556"/>
      <c r="K103" s="557">
        <f>(H103+I103)-J103</f>
        <v>50951.705700000006</v>
      </c>
    </row>
    <row r="104" spans="1:11" ht="18" customHeight="1" x14ac:dyDescent="0.4">
      <c r="A104" s="183" t="s">
        <v>128</v>
      </c>
      <c r="B104" s="973" t="s">
        <v>523</v>
      </c>
      <c r="C104" s="974"/>
      <c r="D104" s="975"/>
      <c r="F104" s="555"/>
      <c r="G104" s="555"/>
      <c r="H104" s="556">
        <v>645000</v>
      </c>
      <c r="I104" s="144">
        <f>H104*F$114</f>
        <v>358813.5</v>
      </c>
      <c r="J104" s="556"/>
      <c r="K104" s="557">
        <f>(H104+I104)-J104</f>
        <v>1003813.5</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1368</v>
      </c>
      <c r="G108" s="560">
        <f t="shared" si="12"/>
        <v>0</v>
      </c>
      <c r="H108" s="557">
        <f t="shared" si="12"/>
        <v>711728</v>
      </c>
      <c r="I108" s="557">
        <f t="shared" si="12"/>
        <v>395934.28639999998</v>
      </c>
      <c r="J108" s="557">
        <f t="shared" si="12"/>
        <v>0</v>
      </c>
      <c r="K108" s="557">
        <f t="shared" si="12"/>
        <v>1107662.2864000001</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4024300</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0.55630000000000002</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570176000</v>
      </c>
    </row>
    <row r="118" spans="1:6" ht="18" customHeight="1" x14ac:dyDescent="0.4">
      <c r="A118" s="183" t="s">
        <v>173</v>
      </c>
      <c r="B118" s="189" t="s">
        <v>18</v>
      </c>
      <c r="F118" s="556">
        <v>9213000</v>
      </c>
    </row>
    <row r="119" spans="1:6" ht="18" customHeight="1" x14ac:dyDescent="0.4">
      <c r="A119" s="183" t="s">
        <v>174</v>
      </c>
      <c r="B119" s="117" t="s">
        <v>19</v>
      </c>
      <c r="F119" s="567">
        <f>SUM(F117:F118)</f>
        <v>579389000</v>
      </c>
    </row>
    <row r="120" spans="1:6" ht="18" customHeight="1" x14ac:dyDescent="0.4">
      <c r="A120" s="183"/>
      <c r="B120" s="117"/>
    </row>
    <row r="121" spans="1:6" ht="18" customHeight="1" x14ac:dyDescent="0.4">
      <c r="A121" s="183" t="s">
        <v>167</v>
      </c>
      <c r="B121" s="117" t="s">
        <v>36</v>
      </c>
      <c r="F121" s="556">
        <v>557932000</v>
      </c>
    </row>
    <row r="122" spans="1:6" ht="18" customHeight="1" x14ac:dyDescent="0.4">
      <c r="A122" s="183"/>
    </row>
    <row r="123" spans="1:6" ht="18" customHeight="1" x14ac:dyDescent="0.4">
      <c r="A123" s="183" t="s">
        <v>175</v>
      </c>
      <c r="B123" s="117" t="s">
        <v>20</v>
      </c>
      <c r="F123" s="556">
        <v>21457000</v>
      </c>
    </row>
    <row r="124" spans="1:6" ht="18" customHeight="1" x14ac:dyDescent="0.4">
      <c r="A124" s="183"/>
    </row>
    <row r="125" spans="1:6" ht="18" customHeight="1" x14ac:dyDescent="0.4">
      <c r="A125" s="183" t="s">
        <v>176</v>
      </c>
      <c r="B125" s="117" t="s">
        <v>21</v>
      </c>
      <c r="F125" s="556">
        <v>-4370000</v>
      </c>
    </row>
    <row r="126" spans="1:6" ht="18" customHeight="1" x14ac:dyDescent="0.4">
      <c r="A126" s="183"/>
    </row>
    <row r="127" spans="1:6" ht="18" customHeight="1" x14ac:dyDescent="0.4">
      <c r="A127" s="183" t="s">
        <v>177</v>
      </c>
      <c r="B127" s="117" t="s">
        <v>22</v>
      </c>
      <c r="F127" s="556">
        <v>17087000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35821</v>
      </c>
      <c r="G141" s="136">
        <f t="shared" si="14"/>
        <v>115543</v>
      </c>
      <c r="H141" s="136">
        <f t="shared" si="14"/>
        <v>2767986</v>
      </c>
      <c r="I141" s="136">
        <f t="shared" si="14"/>
        <v>1539830.6118000001</v>
      </c>
      <c r="J141" s="136">
        <f t="shared" si="14"/>
        <v>428779</v>
      </c>
      <c r="K141" s="136">
        <f t="shared" si="14"/>
        <v>3879037.6118000001</v>
      </c>
    </row>
    <row r="142" spans="1:11" ht="18" customHeight="1" x14ac:dyDescent="0.4">
      <c r="A142" s="183" t="s">
        <v>142</v>
      </c>
      <c r="B142" s="117" t="s">
        <v>65</v>
      </c>
      <c r="F142" s="136">
        <f t="shared" ref="F142:K142" si="15">F49</f>
        <v>79734</v>
      </c>
      <c r="G142" s="136">
        <f t="shared" si="15"/>
        <v>3346</v>
      </c>
      <c r="H142" s="136">
        <f t="shared" si="15"/>
        <v>6777826</v>
      </c>
      <c r="I142" s="136">
        <f t="shared" si="15"/>
        <v>0</v>
      </c>
      <c r="J142" s="136">
        <f t="shared" si="15"/>
        <v>16025</v>
      </c>
      <c r="K142" s="136">
        <f t="shared" si="15"/>
        <v>6761801</v>
      </c>
    </row>
    <row r="143" spans="1:11" ht="18" customHeight="1" x14ac:dyDescent="0.4">
      <c r="A143" s="183" t="s">
        <v>144</v>
      </c>
      <c r="B143" s="117" t="s">
        <v>66</v>
      </c>
      <c r="F143" s="136">
        <f t="shared" ref="F143:K143" si="16">F64</f>
        <v>5642</v>
      </c>
      <c r="G143" s="136">
        <f t="shared" si="16"/>
        <v>2122</v>
      </c>
      <c r="H143" s="136">
        <f t="shared" si="16"/>
        <v>32552406</v>
      </c>
      <c r="I143" s="136">
        <f t="shared" si="16"/>
        <v>0</v>
      </c>
      <c r="J143" s="136">
        <f t="shared" si="16"/>
        <v>621864</v>
      </c>
      <c r="K143" s="136">
        <f t="shared" si="16"/>
        <v>31930542</v>
      </c>
    </row>
    <row r="144" spans="1:11" ht="18" customHeight="1" x14ac:dyDescent="0.4">
      <c r="A144" s="183" t="s">
        <v>146</v>
      </c>
      <c r="B144" s="117" t="s">
        <v>67</v>
      </c>
      <c r="F144" s="136">
        <f t="shared" ref="F144:K144" si="17">F74</f>
        <v>24780</v>
      </c>
      <c r="G144" s="136">
        <f t="shared" si="17"/>
        <v>629</v>
      </c>
      <c r="H144" s="136">
        <f t="shared" si="17"/>
        <v>2596699</v>
      </c>
      <c r="I144" s="136">
        <f t="shared" si="17"/>
        <v>0</v>
      </c>
      <c r="J144" s="136">
        <f t="shared" si="17"/>
        <v>1406769</v>
      </c>
      <c r="K144" s="136">
        <f t="shared" si="17"/>
        <v>1189930</v>
      </c>
    </row>
    <row r="145" spans="1:11" ht="18" customHeight="1" x14ac:dyDescent="0.4">
      <c r="A145" s="183" t="s">
        <v>148</v>
      </c>
      <c r="B145" s="117" t="s">
        <v>68</v>
      </c>
      <c r="F145" s="136">
        <f t="shared" ref="F145:K145" si="18">F82</f>
        <v>772</v>
      </c>
      <c r="G145" s="136">
        <f t="shared" si="18"/>
        <v>1000</v>
      </c>
      <c r="H145" s="136">
        <f t="shared" si="18"/>
        <v>1224172</v>
      </c>
      <c r="I145" s="136">
        <f t="shared" si="18"/>
        <v>0</v>
      </c>
      <c r="J145" s="136">
        <f t="shared" si="18"/>
        <v>0</v>
      </c>
      <c r="K145" s="136">
        <f t="shared" si="18"/>
        <v>1224172</v>
      </c>
    </row>
    <row r="146" spans="1:11" ht="18" customHeight="1" x14ac:dyDescent="0.4">
      <c r="A146" s="183" t="s">
        <v>150</v>
      </c>
      <c r="B146" s="117" t="s">
        <v>69</v>
      </c>
      <c r="F146" s="136">
        <f t="shared" ref="F146:K146" si="19">F98</f>
        <v>10186</v>
      </c>
      <c r="G146" s="136">
        <f t="shared" si="19"/>
        <v>176608</v>
      </c>
      <c r="H146" s="136">
        <f t="shared" si="19"/>
        <v>704210</v>
      </c>
      <c r="I146" s="136">
        <f t="shared" si="19"/>
        <v>391752.02300000004</v>
      </c>
      <c r="J146" s="136">
        <f t="shared" si="19"/>
        <v>1000</v>
      </c>
      <c r="K146" s="136">
        <f t="shared" si="19"/>
        <v>1094962.023</v>
      </c>
    </row>
    <row r="147" spans="1:11" ht="18" customHeight="1" x14ac:dyDescent="0.4">
      <c r="A147" s="183" t="s">
        <v>153</v>
      </c>
      <c r="B147" s="117" t="s">
        <v>61</v>
      </c>
      <c r="F147" s="560">
        <f t="shared" ref="F147:K147" si="20">F108</f>
        <v>1368</v>
      </c>
      <c r="G147" s="560">
        <f t="shared" si="20"/>
        <v>0</v>
      </c>
      <c r="H147" s="560">
        <f t="shared" si="20"/>
        <v>711728</v>
      </c>
      <c r="I147" s="560">
        <f t="shared" si="20"/>
        <v>395934.28639999998</v>
      </c>
      <c r="J147" s="560">
        <f t="shared" si="20"/>
        <v>0</v>
      </c>
      <c r="K147" s="560">
        <f t="shared" si="20"/>
        <v>1107662.2864000001</v>
      </c>
    </row>
    <row r="148" spans="1:11" ht="18" customHeight="1" x14ac:dyDescent="0.4">
      <c r="A148" s="183" t="s">
        <v>155</v>
      </c>
      <c r="B148" s="117" t="s">
        <v>70</v>
      </c>
      <c r="F148" s="137" t="s">
        <v>73</v>
      </c>
      <c r="G148" s="137" t="s">
        <v>73</v>
      </c>
      <c r="H148" s="138" t="s">
        <v>73</v>
      </c>
      <c r="I148" s="138" t="s">
        <v>73</v>
      </c>
      <c r="J148" s="138" t="s">
        <v>73</v>
      </c>
      <c r="K148" s="133">
        <f>F111</f>
        <v>4024300</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12561574</v>
      </c>
      <c r="I150" s="560">
        <f>I18</f>
        <v>0</v>
      </c>
      <c r="J150" s="560">
        <f>J18</f>
        <v>10442778</v>
      </c>
      <c r="K150" s="560">
        <f>K18</f>
        <v>2118796</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158303</v>
      </c>
      <c r="G152" s="143">
        <f t="shared" si="22"/>
        <v>299248</v>
      </c>
      <c r="H152" s="143">
        <f t="shared" si="22"/>
        <v>59896601</v>
      </c>
      <c r="I152" s="143">
        <f t="shared" si="22"/>
        <v>2327516.9212000002</v>
      </c>
      <c r="J152" s="143">
        <f t="shared" si="22"/>
        <v>12917215</v>
      </c>
      <c r="K152" s="143">
        <f t="shared" si="22"/>
        <v>53331202.9212</v>
      </c>
    </row>
    <row r="154" spans="1:11" ht="18" customHeight="1" x14ac:dyDescent="0.4">
      <c r="A154" s="120" t="s">
        <v>168</v>
      </c>
      <c r="B154" s="117" t="s">
        <v>28</v>
      </c>
      <c r="F154" s="571">
        <f>K152/F121</f>
        <v>9.5587281104507357E-2</v>
      </c>
    </row>
    <row r="155" spans="1:11" ht="18" customHeight="1" x14ac:dyDescent="0.4">
      <c r="A155" s="120" t="s">
        <v>169</v>
      </c>
      <c r="B155" s="117" t="s">
        <v>72</v>
      </c>
      <c r="F155" s="571">
        <f>K152/F127</f>
        <v>3.1211566056768305</v>
      </c>
      <c r="G155" s="117"/>
    </row>
    <row r="156" spans="1:11" ht="18" customHeight="1" x14ac:dyDescent="0.4">
      <c r="G156" s="117"/>
    </row>
  </sheetData>
  <mergeCells count="34">
    <mergeCell ref="B52:C52"/>
    <mergeCell ref="B53:D53"/>
    <mergeCell ref="C5:G5"/>
    <mergeCell ref="C6:G6"/>
    <mergeCell ref="C9:G9"/>
    <mergeCell ref="C10:G10"/>
    <mergeCell ref="C11:G11"/>
    <mergeCell ref="C7:G7"/>
    <mergeCell ref="B41:C41"/>
    <mergeCell ref="B44:D44"/>
    <mergeCell ref="B45:D45"/>
    <mergeCell ref="B46:D46"/>
    <mergeCell ref="B47:D47"/>
    <mergeCell ref="D2:H2"/>
    <mergeCell ref="B13:H13"/>
    <mergeCell ref="B30:D30"/>
    <mergeCell ref="B31:D31"/>
    <mergeCell ref="B34:D34"/>
    <mergeCell ref="B55:D55"/>
    <mergeCell ref="B56:D56"/>
    <mergeCell ref="B57:D57"/>
    <mergeCell ref="B59:D59"/>
    <mergeCell ref="B62:D62"/>
    <mergeCell ref="B90:C90"/>
    <mergeCell ref="B94:D94"/>
    <mergeCell ref="B95:D95"/>
    <mergeCell ref="B96:D96"/>
    <mergeCell ref="B103:C103"/>
    <mergeCell ref="B135:D135"/>
    <mergeCell ref="B104:D104"/>
    <mergeCell ref="B105:D105"/>
    <mergeCell ref="B106:D106"/>
    <mergeCell ref="B133:D133"/>
    <mergeCell ref="B134:D134"/>
  </mergeCells>
  <hyperlinks>
    <hyperlink ref="C11" r:id="rId1"/>
  </hyperlinks>
  <printOptions headings="1" gridLines="1"/>
  <pageMargins left="0.25" right="0.25" top="0.75" bottom="0.75" header="0.3" footer="0.3"/>
  <pageSetup scale="59" fitToHeight="3" orientation="landscape" r:id="rId2"/>
  <headerFooter alignWithMargins="0">
    <oddHeader>&amp;RPage &amp;P</oddHeader>
    <oddFooter>&amp;L&amp;Z&amp;F&amp;C&amp;P of &amp;N&amp;R&amp;D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P162"/>
  <sheetViews>
    <sheetView topLeftCell="A49" zoomScale="90" zoomScaleNormal="90" workbookViewId="0">
      <selection activeCell="E59" sqref="E59"/>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2" width="7" style="258" bestFit="1" customWidth="1"/>
    <col min="13" max="13" width="23.59765625" style="189" customWidth="1"/>
    <col min="14" max="14" width="15.1328125" style="248" bestFit="1" customWidth="1"/>
    <col min="15" max="15" width="13.86328125" style="248" bestFit="1" customWidth="1"/>
    <col min="16" max="16" width="104.1328125" style="189" bestFit="1" customWidth="1"/>
    <col min="17" max="16384" width="9" style="189"/>
  </cols>
  <sheetData>
    <row r="1" spans="1:16" ht="18" customHeight="1" x14ac:dyDescent="0.4">
      <c r="C1" s="119"/>
      <c r="D1" s="118"/>
      <c r="E1" s="119"/>
      <c r="F1" s="119"/>
      <c r="G1" s="119"/>
      <c r="H1" s="119"/>
      <c r="I1" s="119"/>
      <c r="J1" s="119"/>
      <c r="K1" s="119"/>
    </row>
    <row r="2" spans="1:16" ht="18" customHeight="1" x14ac:dyDescent="0.4">
      <c r="D2" s="949" t="s">
        <v>700</v>
      </c>
      <c r="E2" s="950"/>
      <c r="F2" s="950"/>
      <c r="G2" s="950"/>
      <c r="H2" s="950"/>
    </row>
    <row r="3" spans="1:16" ht="18" customHeight="1" x14ac:dyDescent="0.4">
      <c r="B3" s="117" t="s">
        <v>0</v>
      </c>
    </row>
    <row r="5" spans="1:16" ht="18" customHeight="1" x14ac:dyDescent="0.4">
      <c r="B5" s="183" t="s">
        <v>40</v>
      </c>
      <c r="C5" s="961" t="s">
        <v>430</v>
      </c>
      <c r="D5" s="962"/>
      <c r="E5" s="962"/>
      <c r="F5" s="962"/>
      <c r="G5" s="963"/>
    </row>
    <row r="6" spans="1:16" ht="18" customHeight="1" x14ac:dyDescent="0.4">
      <c r="B6" s="183" t="s">
        <v>3</v>
      </c>
      <c r="C6" s="1058">
        <v>210024</v>
      </c>
      <c r="D6" s="1059"/>
      <c r="E6" s="1059"/>
      <c r="F6" s="1059"/>
      <c r="G6" s="1060"/>
      <c r="H6" s="186"/>
      <c r="M6" s="186"/>
      <c r="N6" s="287"/>
      <c r="O6" s="287"/>
      <c r="P6" s="186"/>
    </row>
    <row r="7" spans="1:16" ht="18" customHeight="1" x14ac:dyDescent="0.45">
      <c r="B7" s="183" t="s">
        <v>4</v>
      </c>
      <c r="C7" s="967">
        <f>1745+368</f>
        <v>2113</v>
      </c>
      <c r="D7" s="968"/>
      <c r="E7" s="968"/>
      <c r="F7" s="968"/>
      <c r="G7" s="969"/>
      <c r="H7" s="186"/>
      <c r="M7" s="184"/>
      <c r="N7" s="288"/>
      <c r="O7" s="289"/>
      <c r="P7" s="290"/>
    </row>
    <row r="8" spans="1:16" ht="18" customHeight="1" x14ac:dyDescent="0.45">
      <c r="M8" s="184"/>
      <c r="N8" s="288"/>
      <c r="O8" s="289"/>
      <c r="P8" s="290"/>
    </row>
    <row r="9" spans="1:16" ht="18" customHeight="1" x14ac:dyDescent="0.4">
      <c r="B9" s="183" t="s">
        <v>1</v>
      </c>
      <c r="C9" s="961" t="s">
        <v>469</v>
      </c>
      <c r="D9" s="962"/>
      <c r="E9" s="962"/>
      <c r="F9" s="962"/>
      <c r="G9" s="963"/>
      <c r="M9" s="186"/>
      <c r="N9" s="287"/>
      <c r="O9" s="287"/>
      <c r="P9" s="186"/>
    </row>
    <row r="10" spans="1:16" ht="18" customHeight="1" x14ac:dyDescent="0.4">
      <c r="B10" s="183" t="s">
        <v>2</v>
      </c>
      <c r="C10" s="970" t="s">
        <v>470</v>
      </c>
      <c r="D10" s="971"/>
      <c r="E10" s="971"/>
      <c r="F10" s="971"/>
      <c r="G10" s="972"/>
      <c r="M10" s="186"/>
      <c r="N10" s="287"/>
      <c r="O10" s="287"/>
      <c r="P10" s="186"/>
    </row>
    <row r="11" spans="1:16" ht="18" customHeight="1" x14ac:dyDescent="0.45">
      <c r="B11" s="183" t="s">
        <v>32</v>
      </c>
      <c r="C11" s="1072" t="s">
        <v>598</v>
      </c>
      <c r="D11" s="955"/>
      <c r="E11" s="955"/>
      <c r="F11" s="955"/>
      <c r="G11" s="955"/>
    </row>
    <row r="12" spans="1:16" ht="18" customHeight="1" x14ac:dyDescent="0.4">
      <c r="B12" s="183"/>
      <c r="C12" s="183"/>
      <c r="D12" s="183"/>
      <c r="E12" s="183"/>
      <c r="F12" s="183"/>
      <c r="G12" s="183"/>
    </row>
    <row r="13" spans="1:16" ht="24.6" customHeight="1" x14ac:dyDescent="0.35">
      <c r="B13" s="958"/>
      <c r="C13" s="959"/>
      <c r="D13" s="959"/>
      <c r="E13" s="959"/>
      <c r="F13" s="959"/>
      <c r="G13" s="959"/>
      <c r="H13" s="960"/>
      <c r="I13" s="119"/>
    </row>
    <row r="14" spans="1:16" ht="18" customHeight="1" x14ac:dyDescent="0.35">
      <c r="B14" s="121"/>
    </row>
    <row r="15" spans="1:16" ht="18" customHeight="1" x14ac:dyDescent="0.35">
      <c r="B15" s="121"/>
    </row>
    <row r="16" spans="1:16" ht="45" customHeight="1" x14ac:dyDescent="0.4">
      <c r="A16" s="118" t="s">
        <v>181</v>
      </c>
      <c r="B16" s="119"/>
      <c r="C16" s="119"/>
      <c r="D16" s="119"/>
      <c r="E16" s="119"/>
      <c r="F16" s="122" t="s">
        <v>9</v>
      </c>
      <c r="G16" s="122" t="s">
        <v>37</v>
      </c>
      <c r="H16" s="122" t="s">
        <v>29</v>
      </c>
      <c r="I16" s="122" t="s">
        <v>30</v>
      </c>
      <c r="J16" s="122" t="s">
        <v>33</v>
      </c>
      <c r="K16" s="122" t="s">
        <v>34</v>
      </c>
    </row>
    <row r="17" spans="1:13" ht="18" customHeight="1" x14ac:dyDescent="0.4">
      <c r="A17" s="120" t="s">
        <v>184</v>
      </c>
      <c r="B17" s="117" t="s">
        <v>182</v>
      </c>
    </row>
    <row r="18" spans="1:13" ht="18" customHeight="1" x14ac:dyDescent="0.4">
      <c r="A18" s="183" t="s">
        <v>185</v>
      </c>
      <c r="B18" s="116" t="s">
        <v>183</v>
      </c>
      <c r="F18" s="555" t="s">
        <v>73</v>
      </c>
      <c r="G18" s="555" t="s">
        <v>73</v>
      </c>
      <c r="H18" s="556">
        <v>8558317.4741692506</v>
      </c>
      <c r="I18" s="144">
        <v>0</v>
      </c>
      <c r="J18" s="556">
        <v>7114761.7513099797</v>
      </c>
      <c r="K18" s="557">
        <v>1443555.7228592709</v>
      </c>
      <c r="M18" s="186"/>
    </row>
    <row r="19" spans="1:13" ht="45" customHeight="1" x14ac:dyDescent="0.4">
      <c r="A19" s="118" t="s">
        <v>8</v>
      </c>
      <c r="B19" s="119"/>
      <c r="C19" s="119"/>
      <c r="D19" s="119"/>
      <c r="E19" s="119"/>
      <c r="F19" s="122" t="s">
        <v>9</v>
      </c>
      <c r="G19" s="122" t="s">
        <v>37</v>
      </c>
      <c r="H19" s="122" t="s">
        <v>29</v>
      </c>
      <c r="I19" s="122" t="s">
        <v>30</v>
      </c>
      <c r="J19" s="122" t="s">
        <v>33</v>
      </c>
      <c r="K19" s="122" t="s">
        <v>34</v>
      </c>
    </row>
    <row r="20" spans="1:13" ht="18" customHeight="1" x14ac:dyDescent="0.4">
      <c r="A20" s="120" t="s">
        <v>74</v>
      </c>
      <c r="B20" s="117" t="s">
        <v>41</v>
      </c>
    </row>
    <row r="21" spans="1:13" ht="18" customHeight="1" x14ac:dyDescent="0.4">
      <c r="A21" s="183" t="s">
        <v>75</v>
      </c>
      <c r="B21" s="116" t="s">
        <v>42</v>
      </c>
      <c r="F21" s="555">
        <v>460.34</v>
      </c>
      <c r="G21" s="555">
        <v>2817</v>
      </c>
      <c r="H21" s="556">
        <v>142069</v>
      </c>
      <c r="I21" s="556">
        <v>9380</v>
      </c>
      <c r="J21" s="556">
        <v>0</v>
      </c>
      <c r="K21" s="556">
        <v>151449</v>
      </c>
    </row>
    <row r="22" spans="1:13" ht="18" customHeight="1" x14ac:dyDescent="0.4">
      <c r="A22" s="183" t="s">
        <v>76</v>
      </c>
      <c r="B22" s="189" t="s">
        <v>6</v>
      </c>
      <c r="F22" s="555"/>
      <c r="G22" s="555"/>
      <c r="H22" s="556"/>
      <c r="I22" s="556"/>
      <c r="J22" s="556"/>
      <c r="K22" s="556"/>
    </row>
    <row r="23" spans="1:13" ht="18" customHeight="1" x14ac:dyDescent="0.4">
      <c r="A23" s="183" t="s">
        <v>77</v>
      </c>
      <c r="B23" s="189" t="s">
        <v>43</v>
      </c>
      <c r="F23" s="555">
        <v>284</v>
      </c>
      <c r="G23" s="555">
        <v>893</v>
      </c>
      <c r="H23" s="556">
        <v>17123</v>
      </c>
      <c r="I23" s="556">
        <v>0</v>
      </c>
      <c r="J23" s="556">
        <v>0</v>
      </c>
      <c r="K23" s="556">
        <v>17123</v>
      </c>
    </row>
    <row r="24" spans="1:13" ht="18" customHeight="1" x14ac:dyDescent="0.4">
      <c r="A24" s="183" t="s">
        <v>78</v>
      </c>
      <c r="B24" s="189" t="s">
        <v>44</v>
      </c>
      <c r="F24" s="555">
        <v>3991</v>
      </c>
      <c r="G24" s="555">
        <v>0</v>
      </c>
      <c r="H24" s="556">
        <v>201362</v>
      </c>
      <c r="I24" s="556">
        <v>117719</v>
      </c>
      <c r="J24" s="556">
        <v>200885</v>
      </c>
      <c r="K24" s="556">
        <v>118196</v>
      </c>
    </row>
    <row r="25" spans="1:13" ht="18" customHeight="1" x14ac:dyDescent="0.4">
      <c r="A25" s="183" t="s">
        <v>79</v>
      </c>
      <c r="B25" s="189" t="s">
        <v>5</v>
      </c>
      <c r="F25" s="555">
        <v>8</v>
      </c>
      <c r="G25" s="555">
        <v>0</v>
      </c>
      <c r="H25" s="556">
        <v>409</v>
      </c>
      <c r="I25" s="556">
        <v>0</v>
      </c>
      <c r="J25" s="556">
        <v>0</v>
      </c>
      <c r="K25" s="556">
        <v>409</v>
      </c>
    </row>
    <row r="26" spans="1:13" ht="18" customHeight="1" x14ac:dyDescent="0.4">
      <c r="A26" s="183" t="s">
        <v>80</v>
      </c>
      <c r="B26" s="189" t="s">
        <v>45</v>
      </c>
      <c r="F26" s="555"/>
      <c r="G26" s="555"/>
      <c r="H26" s="556"/>
      <c r="I26" s="556"/>
      <c r="J26" s="556"/>
      <c r="K26" s="556"/>
    </row>
    <row r="27" spans="1:13" ht="18" customHeight="1" x14ac:dyDescent="0.4">
      <c r="A27" s="183" t="s">
        <v>81</v>
      </c>
      <c r="B27" s="189" t="s">
        <v>46</v>
      </c>
      <c r="F27" s="555">
        <v>0</v>
      </c>
      <c r="G27" s="555">
        <v>0</v>
      </c>
      <c r="H27" s="556">
        <v>119596</v>
      </c>
      <c r="I27" s="556">
        <v>0</v>
      </c>
      <c r="J27" s="556">
        <v>0</v>
      </c>
      <c r="K27" s="556">
        <v>119596</v>
      </c>
    </row>
    <row r="28" spans="1:13" ht="18" customHeight="1" x14ac:dyDescent="0.4">
      <c r="A28" s="183" t="s">
        <v>82</v>
      </c>
      <c r="B28" s="189" t="s">
        <v>47</v>
      </c>
      <c r="F28" s="555"/>
      <c r="G28" s="555"/>
      <c r="H28" s="556"/>
      <c r="I28" s="556"/>
      <c r="J28" s="556"/>
      <c r="K28" s="556"/>
    </row>
    <row r="29" spans="1:13" ht="18" customHeight="1" x14ac:dyDescent="0.4">
      <c r="A29" s="183" t="s">
        <v>83</v>
      </c>
      <c r="B29" s="189" t="s">
        <v>48</v>
      </c>
      <c r="F29" s="555">
        <v>5889</v>
      </c>
      <c r="G29" s="555">
        <v>52517</v>
      </c>
      <c r="H29" s="556">
        <v>743695</v>
      </c>
      <c r="I29" s="556">
        <v>113028</v>
      </c>
      <c r="J29" s="556">
        <v>0</v>
      </c>
      <c r="K29" s="556">
        <v>856723</v>
      </c>
    </row>
    <row r="30" spans="1:13" ht="18" customHeight="1" x14ac:dyDescent="0.45">
      <c r="A30" s="183" t="s">
        <v>84</v>
      </c>
      <c r="B30" s="1069" t="s">
        <v>233</v>
      </c>
      <c r="C30" s="1070"/>
      <c r="D30" s="1071"/>
      <c r="F30" s="555">
        <v>0</v>
      </c>
      <c r="G30" s="555">
        <v>0</v>
      </c>
      <c r="H30" s="556">
        <v>0</v>
      </c>
      <c r="I30" s="556">
        <v>0</v>
      </c>
      <c r="J30" s="556">
        <v>0</v>
      </c>
      <c r="K30" s="556">
        <v>0</v>
      </c>
    </row>
    <row r="31" spans="1:13" ht="18" customHeight="1" x14ac:dyDescent="0.4">
      <c r="A31" s="183" t="s">
        <v>133</v>
      </c>
      <c r="B31" s="951"/>
      <c r="C31" s="952"/>
      <c r="D31" s="953"/>
      <c r="F31" s="555"/>
      <c r="G31" s="555"/>
      <c r="H31" s="556"/>
      <c r="I31" s="144"/>
      <c r="J31" s="556"/>
      <c r="K31" s="557"/>
    </row>
    <row r="32" spans="1:13" ht="18" customHeight="1" x14ac:dyDescent="0.4">
      <c r="A32" s="183" t="s">
        <v>134</v>
      </c>
      <c r="B32" s="500"/>
      <c r="C32" s="501"/>
      <c r="D32" s="502"/>
      <c r="F32" s="555"/>
      <c r="G32" s="558"/>
      <c r="H32" s="556"/>
      <c r="I32" s="144"/>
      <c r="J32" s="556"/>
      <c r="K32" s="557"/>
    </row>
    <row r="33" spans="1:11" ht="18" customHeight="1" x14ac:dyDescent="0.4">
      <c r="A33" s="183" t="s">
        <v>135</v>
      </c>
      <c r="B33" s="500"/>
      <c r="C33" s="501"/>
      <c r="D33" s="502"/>
      <c r="F33" s="555"/>
      <c r="G33" s="558"/>
      <c r="H33" s="556"/>
      <c r="I33" s="144"/>
      <c r="J33" s="556"/>
      <c r="K33" s="557"/>
    </row>
    <row r="34" spans="1:11" ht="18" customHeight="1" x14ac:dyDescent="0.4">
      <c r="A34" s="183" t="s">
        <v>136</v>
      </c>
      <c r="B34" s="951"/>
      <c r="C34" s="952"/>
      <c r="D34" s="953"/>
      <c r="F34" s="555"/>
      <c r="G34" s="558"/>
      <c r="H34" s="556"/>
      <c r="I34" s="144"/>
      <c r="J34" s="556"/>
      <c r="K34" s="557"/>
    </row>
    <row r="35" spans="1:11" ht="18" customHeight="1" x14ac:dyDescent="0.35">
      <c r="K35" s="559"/>
    </row>
    <row r="36" spans="1:11" ht="18" customHeight="1" x14ac:dyDescent="0.4">
      <c r="A36" s="120" t="s">
        <v>137</v>
      </c>
      <c r="B36" s="117" t="s">
        <v>138</v>
      </c>
      <c r="E36" s="117" t="s">
        <v>7</v>
      </c>
      <c r="F36" s="560">
        <v>10632.34</v>
      </c>
      <c r="G36" s="560">
        <v>56227</v>
      </c>
      <c r="H36" s="560">
        <v>1224254</v>
      </c>
      <c r="I36" s="557">
        <v>240127</v>
      </c>
      <c r="J36" s="557">
        <v>200885</v>
      </c>
      <c r="K36" s="557">
        <v>1263496</v>
      </c>
    </row>
    <row r="37" spans="1:11" ht="18" customHeight="1" thickBot="1" x14ac:dyDescent="0.45">
      <c r="B37" s="117"/>
      <c r="F37" s="127"/>
      <c r="G37" s="127"/>
      <c r="H37" s="127"/>
      <c r="I37" s="127"/>
      <c r="J37" s="127"/>
      <c r="K37" s="127"/>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170484</v>
      </c>
      <c r="G40" s="555">
        <v>0</v>
      </c>
      <c r="H40" s="556">
        <v>13372271</v>
      </c>
      <c r="I40" s="556">
        <v>7836151</v>
      </c>
      <c r="J40" s="556">
        <v>0</v>
      </c>
      <c r="K40" s="556">
        <v>21208422</v>
      </c>
    </row>
    <row r="41" spans="1:11" ht="18" customHeight="1" x14ac:dyDescent="0.4">
      <c r="A41" s="183" t="s">
        <v>88</v>
      </c>
      <c r="B41" s="956" t="s">
        <v>50</v>
      </c>
      <c r="C41" s="957"/>
      <c r="F41" s="555">
        <v>15446</v>
      </c>
      <c r="G41" s="555">
        <v>0</v>
      </c>
      <c r="H41" s="556">
        <v>684361</v>
      </c>
      <c r="I41" s="556">
        <v>401036</v>
      </c>
      <c r="J41" s="556">
        <v>0</v>
      </c>
      <c r="K41" s="556">
        <v>1085397</v>
      </c>
    </row>
    <row r="42" spans="1:11" ht="18" customHeight="1" x14ac:dyDescent="0.4">
      <c r="A42" s="183" t="s">
        <v>89</v>
      </c>
      <c r="B42" s="116" t="s">
        <v>11</v>
      </c>
      <c r="F42" s="555">
        <v>52</v>
      </c>
      <c r="G42" s="555">
        <v>0</v>
      </c>
      <c r="H42" s="556">
        <v>3471</v>
      </c>
      <c r="I42" s="556">
        <v>2034</v>
      </c>
      <c r="J42" s="556">
        <v>0</v>
      </c>
      <c r="K42" s="556">
        <v>5505</v>
      </c>
    </row>
    <row r="43" spans="1:11" ht="18" customHeight="1" x14ac:dyDescent="0.4">
      <c r="A43" s="183" t="s">
        <v>90</v>
      </c>
      <c r="B43" s="141" t="s">
        <v>10</v>
      </c>
      <c r="C43" s="123"/>
      <c r="D43" s="123"/>
      <c r="F43" s="555"/>
      <c r="G43" s="555"/>
      <c r="H43" s="556"/>
      <c r="I43" s="144"/>
      <c r="J43" s="556"/>
      <c r="K43" s="557"/>
    </row>
    <row r="44" spans="1:11" ht="18" customHeight="1" x14ac:dyDescent="0.4">
      <c r="A44" s="183" t="s">
        <v>91</v>
      </c>
      <c r="B44" s="951"/>
      <c r="C44" s="952"/>
      <c r="D44" s="953"/>
      <c r="F44" s="561"/>
      <c r="G44" s="561"/>
      <c r="H44" s="561"/>
      <c r="I44" s="146"/>
      <c r="J44" s="561"/>
      <c r="K44" s="562"/>
    </row>
    <row r="45" spans="1:11" ht="18" customHeight="1" x14ac:dyDescent="0.4">
      <c r="A45" s="183" t="s">
        <v>139</v>
      </c>
      <c r="B45" s="951"/>
      <c r="C45" s="952"/>
      <c r="D45" s="953"/>
      <c r="F45" s="555"/>
      <c r="G45" s="555"/>
      <c r="H45" s="556"/>
      <c r="I45" s="144"/>
      <c r="J45" s="556"/>
      <c r="K45" s="557"/>
    </row>
    <row r="46" spans="1:11" ht="18" customHeight="1" x14ac:dyDescent="0.4">
      <c r="A46" s="183" t="s">
        <v>140</v>
      </c>
      <c r="B46" s="951"/>
      <c r="C46" s="952"/>
      <c r="D46" s="953"/>
      <c r="F46" s="555"/>
      <c r="G46" s="555"/>
      <c r="H46" s="556"/>
      <c r="I46" s="144"/>
      <c r="J46" s="556"/>
      <c r="K46" s="557"/>
    </row>
    <row r="47" spans="1:11" ht="18" customHeight="1" x14ac:dyDescent="0.4">
      <c r="A47" s="183" t="s">
        <v>141</v>
      </c>
      <c r="B47" s="951"/>
      <c r="C47" s="952"/>
      <c r="D47" s="953"/>
      <c r="F47" s="555"/>
      <c r="G47" s="555"/>
      <c r="H47" s="556"/>
      <c r="I47" s="144"/>
      <c r="J47" s="556"/>
      <c r="K47" s="557"/>
    </row>
    <row r="49" spans="1:13" ht="18" customHeight="1" x14ac:dyDescent="0.4">
      <c r="A49" s="120" t="s">
        <v>142</v>
      </c>
      <c r="B49" s="117" t="s">
        <v>143</v>
      </c>
      <c r="E49" s="117" t="s">
        <v>7</v>
      </c>
      <c r="F49" s="633">
        <v>185982</v>
      </c>
      <c r="G49" s="563">
        <v>0</v>
      </c>
      <c r="H49" s="557">
        <v>14060103</v>
      </c>
      <c r="I49" s="557">
        <v>8239221</v>
      </c>
      <c r="J49" s="557">
        <v>0</v>
      </c>
      <c r="K49" s="557">
        <v>22299324</v>
      </c>
    </row>
    <row r="50" spans="1:13" ht="18" customHeight="1" thickBot="1" x14ac:dyDescent="0.4">
      <c r="G50" s="129"/>
      <c r="H50" s="129"/>
      <c r="I50" s="129"/>
      <c r="J50" s="129"/>
      <c r="K50" s="129"/>
    </row>
    <row r="51" spans="1:13" ht="42.75" customHeight="1" x14ac:dyDescent="0.4">
      <c r="F51" s="122" t="s">
        <v>9</v>
      </c>
      <c r="G51" s="122" t="s">
        <v>37</v>
      </c>
      <c r="H51" s="122" t="s">
        <v>29</v>
      </c>
      <c r="I51" s="122" t="s">
        <v>30</v>
      </c>
      <c r="J51" s="122" t="s">
        <v>33</v>
      </c>
      <c r="K51" s="122" t="s">
        <v>34</v>
      </c>
    </row>
    <row r="52" spans="1:13" ht="18" customHeight="1" x14ac:dyDescent="0.4">
      <c r="A52" s="120" t="s">
        <v>92</v>
      </c>
      <c r="B52" s="976" t="s">
        <v>38</v>
      </c>
      <c r="C52" s="977"/>
    </row>
    <row r="53" spans="1:13" ht="18" customHeight="1" x14ac:dyDescent="0.4">
      <c r="A53" s="183" t="s">
        <v>51</v>
      </c>
      <c r="B53" s="503" t="s">
        <v>233</v>
      </c>
      <c r="C53" s="504"/>
      <c r="D53" s="505"/>
      <c r="F53" s="555">
        <v>0</v>
      </c>
      <c r="G53" s="555">
        <v>0</v>
      </c>
      <c r="H53" s="555">
        <v>6347697</v>
      </c>
      <c r="I53" s="555">
        <v>0</v>
      </c>
      <c r="J53" s="555">
        <v>4025030</v>
      </c>
      <c r="K53" s="555">
        <v>2322667</v>
      </c>
    </row>
    <row r="54" spans="1:13" ht="18" customHeight="1" x14ac:dyDescent="0.4">
      <c r="A54" s="183" t="s">
        <v>475</v>
      </c>
      <c r="B54" s="980" t="s">
        <v>431</v>
      </c>
      <c r="C54" s="974"/>
      <c r="D54" s="975"/>
      <c r="F54" s="555">
        <v>0</v>
      </c>
      <c r="G54" s="555">
        <v>0</v>
      </c>
      <c r="H54" s="555">
        <v>101871</v>
      </c>
      <c r="I54" s="555">
        <v>0</v>
      </c>
      <c r="J54" s="555">
        <v>0</v>
      </c>
      <c r="K54" s="555">
        <v>101871</v>
      </c>
      <c r="M54" s="185"/>
    </row>
    <row r="55" spans="1:13" ht="18" customHeight="1" x14ac:dyDescent="0.4">
      <c r="A55" s="183" t="s">
        <v>476</v>
      </c>
      <c r="B55" s="980" t="s">
        <v>599</v>
      </c>
      <c r="C55" s="974"/>
      <c r="D55" s="975"/>
      <c r="F55" s="555">
        <v>0</v>
      </c>
      <c r="G55" s="555">
        <v>0</v>
      </c>
      <c r="H55" s="555">
        <v>0</v>
      </c>
      <c r="I55" s="555">
        <v>0</v>
      </c>
      <c r="J55" s="555">
        <v>0</v>
      </c>
      <c r="K55" s="555">
        <v>0</v>
      </c>
    </row>
    <row r="56" spans="1:13" ht="18" customHeight="1" x14ac:dyDescent="0.4">
      <c r="A56" s="183" t="s">
        <v>95</v>
      </c>
      <c r="B56" s="510" t="s">
        <v>600</v>
      </c>
      <c r="C56" s="508"/>
      <c r="D56" s="505"/>
      <c r="F56" s="555"/>
      <c r="G56" s="555"/>
      <c r="H56" s="556"/>
      <c r="I56" s="144"/>
      <c r="J56" s="556"/>
      <c r="K56" s="557"/>
    </row>
    <row r="57" spans="1:13" ht="18" customHeight="1" x14ac:dyDescent="0.4">
      <c r="A57" s="183" t="s">
        <v>96</v>
      </c>
      <c r="B57" s="503" t="s">
        <v>334</v>
      </c>
      <c r="C57" s="504"/>
      <c r="D57" s="505"/>
      <c r="F57" s="555"/>
      <c r="G57" s="555"/>
      <c r="H57" s="556"/>
      <c r="I57" s="144"/>
      <c r="J57" s="556"/>
      <c r="K57" s="557"/>
    </row>
    <row r="58" spans="1:13" ht="18" customHeight="1" x14ac:dyDescent="0.4">
      <c r="A58" s="183" t="s">
        <v>97</v>
      </c>
      <c r="B58" s="503"/>
      <c r="C58" s="504"/>
      <c r="D58" s="505"/>
      <c r="F58" s="555"/>
      <c r="G58" s="555"/>
      <c r="H58" s="556"/>
      <c r="I58" s="144"/>
      <c r="J58" s="556"/>
      <c r="K58" s="557"/>
    </row>
    <row r="59" spans="1:13" ht="18" customHeight="1" x14ac:dyDescent="0.4">
      <c r="A59" s="183" t="s">
        <v>98</v>
      </c>
      <c r="B59" s="503"/>
      <c r="C59" s="504"/>
      <c r="D59" s="505"/>
      <c r="F59" s="555"/>
      <c r="G59" s="555"/>
      <c r="H59" s="556"/>
      <c r="I59" s="144"/>
      <c r="J59" s="556"/>
      <c r="K59" s="557"/>
    </row>
    <row r="60" spans="1:13" ht="18" customHeight="1" x14ac:dyDescent="0.4">
      <c r="A60" s="183" t="s">
        <v>99</v>
      </c>
      <c r="B60" s="503" t="s">
        <v>432</v>
      </c>
      <c r="C60" s="504"/>
      <c r="D60" s="505"/>
      <c r="F60" s="555"/>
      <c r="G60" s="555"/>
      <c r="H60" s="556"/>
      <c r="I60" s="144"/>
      <c r="J60" s="556"/>
      <c r="K60" s="557"/>
    </row>
    <row r="61" spans="1:13" ht="18" customHeight="1" x14ac:dyDescent="0.4">
      <c r="A61" s="183" t="s">
        <v>100</v>
      </c>
      <c r="B61" s="503"/>
      <c r="C61" s="504"/>
      <c r="D61" s="505"/>
      <c r="F61" s="555"/>
      <c r="G61" s="555"/>
      <c r="H61" s="556"/>
      <c r="I61" s="144"/>
      <c r="J61" s="556"/>
      <c r="K61" s="557"/>
    </row>
    <row r="62" spans="1:13" ht="18" customHeight="1" x14ac:dyDescent="0.4">
      <c r="A62" s="183" t="s">
        <v>101</v>
      </c>
      <c r="B62" s="503"/>
      <c r="C62" s="504"/>
      <c r="D62" s="505"/>
      <c r="F62" s="555"/>
      <c r="G62" s="555"/>
      <c r="H62" s="556"/>
      <c r="I62" s="144"/>
      <c r="J62" s="556"/>
      <c r="K62" s="557"/>
    </row>
    <row r="63" spans="1:13" ht="18" customHeight="1" x14ac:dyDescent="0.4">
      <c r="A63" s="183"/>
      <c r="I63" s="140"/>
    </row>
    <row r="64" spans="1:13" ht="18" customHeight="1" x14ac:dyDescent="0.4">
      <c r="A64" s="183" t="s">
        <v>144</v>
      </c>
      <c r="B64" s="117" t="s">
        <v>145</v>
      </c>
      <c r="E64" s="117" t="s">
        <v>7</v>
      </c>
      <c r="F64" s="560">
        <v>0</v>
      </c>
      <c r="G64" s="560">
        <v>0</v>
      </c>
      <c r="H64" s="557">
        <v>6449568</v>
      </c>
      <c r="I64" s="557">
        <v>0</v>
      </c>
      <c r="J64" s="557">
        <v>4025030</v>
      </c>
      <c r="K64" s="557">
        <v>2424538</v>
      </c>
    </row>
    <row r="65" spans="1:13" ht="18" customHeight="1" x14ac:dyDescent="0.35">
      <c r="F65" s="142"/>
      <c r="G65" s="142"/>
      <c r="H65" s="142"/>
      <c r="I65" s="142"/>
      <c r="J65" s="142"/>
      <c r="K65" s="142"/>
    </row>
    <row r="66" spans="1:13" ht="42.75" customHeight="1" x14ac:dyDescent="0.4">
      <c r="F66" s="147" t="s">
        <v>9</v>
      </c>
      <c r="G66" s="147" t="s">
        <v>37</v>
      </c>
      <c r="H66" s="147" t="s">
        <v>29</v>
      </c>
      <c r="I66" s="147" t="s">
        <v>30</v>
      </c>
      <c r="J66" s="147" t="s">
        <v>33</v>
      </c>
      <c r="K66" s="147" t="s">
        <v>34</v>
      </c>
    </row>
    <row r="67" spans="1:13" ht="18" customHeight="1" x14ac:dyDescent="0.4">
      <c r="A67" s="120" t="s">
        <v>102</v>
      </c>
      <c r="B67" s="117" t="s">
        <v>12</v>
      </c>
      <c r="F67" s="148"/>
      <c r="G67" s="148"/>
      <c r="H67" s="148"/>
      <c r="I67" s="149"/>
      <c r="J67" s="148"/>
      <c r="K67" s="150"/>
    </row>
    <row r="68" spans="1:13" ht="18" customHeight="1" x14ac:dyDescent="0.4">
      <c r="A68" s="183" t="s">
        <v>250</v>
      </c>
      <c r="B68" s="503" t="s">
        <v>52</v>
      </c>
      <c r="C68" s="504"/>
      <c r="D68" s="505"/>
      <c r="F68" s="564">
        <v>0</v>
      </c>
      <c r="G68" s="564">
        <v>0</v>
      </c>
      <c r="H68" s="697">
        <v>1389257</v>
      </c>
      <c r="I68" s="697">
        <v>814105</v>
      </c>
      <c r="J68" s="697">
        <v>53986</v>
      </c>
      <c r="K68" s="697">
        <v>2149376</v>
      </c>
      <c r="M68" s="307"/>
    </row>
    <row r="69" spans="1:13" ht="18" customHeight="1" x14ac:dyDescent="0.4">
      <c r="A69" s="183" t="s">
        <v>320</v>
      </c>
      <c r="B69" s="503" t="s">
        <v>474</v>
      </c>
      <c r="C69" s="504"/>
      <c r="D69" s="505"/>
      <c r="F69" s="564">
        <v>0</v>
      </c>
      <c r="G69" s="564">
        <v>0</v>
      </c>
      <c r="H69" s="697">
        <v>0</v>
      </c>
      <c r="I69" s="697">
        <v>0</v>
      </c>
      <c r="J69" s="697">
        <v>0</v>
      </c>
      <c r="K69" s="697">
        <v>0</v>
      </c>
    </row>
    <row r="70" spans="1:13" ht="18" customHeight="1" x14ac:dyDescent="0.4">
      <c r="A70" s="183" t="s">
        <v>178</v>
      </c>
      <c r="B70" s="503"/>
      <c r="C70" s="504"/>
      <c r="D70" s="505"/>
      <c r="E70" s="117"/>
      <c r="F70" s="131"/>
      <c r="G70" s="131"/>
      <c r="H70" s="144"/>
      <c r="I70" s="144"/>
      <c r="J70" s="144"/>
      <c r="K70" s="557"/>
    </row>
    <row r="71" spans="1:13" ht="18" customHeight="1" x14ac:dyDescent="0.4">
      <c r="A71" s="183" t="s">
        <v>179</v>
      </c>
      <c r="B71" s="503"/>
      <c r="C71" s="504"/>
      <c r="D71" s="505"/>
      <c r="E71" s="117"/>
      <c r="F71" s="131"/>
      <c r="G71" s="131"/>
      <c r="H71" s="132"/>
      <c r="I71" s="144"/>
      <c r="J71" s="132"/>
      <c r="K71" s="557"/>
    </row>
    <row r="72" spans="1:13" ht="18" customHeight="1" x14ac:dyDescent="0.4">
      <c r="A72" s="183" t="s">
        <v>180</v>
      </c>
      <c r="B72" s="510"/>
      <c r="C72" s="508"/>
      <c r="D72" s="130"/>
      <c r="E72" s="117"/>
      <c r="F72" s="555"/>
      <c r="G72" s="555"/>
      <c r="H72" s="556"/>
      <c r="I72" s="144"/>
      <c r="J72" s="556"/>
      <c r="K72" s="557"/>
    </row>
    <row r="73" spans="1:13" ht="18" customHeight="1" x14ac:dyDescent="0.4">
      <c r="A73" s="183"/>
      <c r="B73" s="116"/>
      <c r="E73" s="117"/>
      <c r="F73" s="151"/>
      <c r="G73" s="151"/>
      <c r="H73" s="152"/>
      <c r="I73" s="149"/>
      <c r="J73" s="152"/>
      <c r="K73" s="150"/>
    </row>
    <row r="74" spans="1:13" ht="18" customHeight="1" x14ac:dyDescent="0.4">
      <c r="A74" s="120" t="s">
        <v>146</v>
      </c>
      <c r="B74" s="117" t="s">
        <v>147</v>
      </c>
      <c r="E74" s="117" t="s">
        <v>7</v>
      </c>
      <c r="F74" s="566">
        <v>0</v>
      </c>
      <c r="G74" s="566">
        <v>0</v>
      </c>
      <c r="H74" s="144">
        <v>1389257</v>
      </c>
      <c r="I74" s="144">
        <v>814105</v>
      </c>
      <c r="J74" s="144">
        <v>53986</v>
      </c>
      <c r="K74" s="557">
        <v>2149376</v>
      </c>
    </row>
    <row r="75" spans="1:13" ht="42.75" customHeight="1" x14ac:dyDescent="0.4">
      <c r="F75" s="122" t="s">
        <v>9</v>
      </c>
      <c r="G75" s="122" t="s">
        <v>37</v>
      </c>
      <c r="H75" s="122" t="s">
        <v>29</v>
      </c>
      <c r="I75" s="122" t="s">
        <v>30</v>
      </c>
      <c r="J75" s="122" t="s">
        <v>33</v>
      </c>
      <c r="K75" s="122" t="s">
        <v>34</v>
      </c>
    </row>
    <row r="76" spans="1:13" ht="18" customHeight="1" x14ac:dyDescent="0.4">
      <c r="A76" s="120" t="s">
        <v>105</v>
      </c>
      <c r="B76" s="117" t="s">
        <v>106</v>
      </c>
    </row>
    <row r="77" spans="1:13" ht="18" customHeight="1" x14ac:dyDescent="0.4">
      <c r="A77" s="183" t="s">
        <v>107</v>
      </c>
      <c r="B77" s="116" t="s">
        <v>54</v>
      </c>
      <c r="F77" s="555">
        <v>0</v>
      </c>
      <c r="G77" s="555">
        <v>0</v>
      </c>
      <c r="H77" s="555">
        <v>99820</v>
      </c>
      <c r="I77" s="555">
        <v>0</v>
      </c>
      <c r="J77" s="555">
        <v>0</v>
      </c>
      <c r="K77" s="555">
        <v>99820</v>
      </c>
    </row>
    <row r="78" spans="1:13" ht="18" customHeight="1" x14ac:dyDescent="0.4">
      <c r="A78" s="183" t="s">
        <v>108</v>
      </c>
      <c r="B78" s="116" t="s">
        <v>55</v>
      </c>
      <c r="F78" s="555"/>
      <c r="G78" s="555"/>
      <c r="H78" s="555"/>
      <c r="I78" s="555"/>
      <c r="J78" s="555"/>
      <c r="K78" s="555"/>
    </row>
    <row r="79" spans="1:13" ht="18" customHeight="1" x14ac:dyDescent="0.4">
      <c r="A79" s="183" t="s">
        <v>109</v>
      </c>
      <c r="B79" s="116" t="s">
        <v>13</v>
      </c>
      <c r="F79" s="555">
        <v>0</v>
      </c>
      <c r="G79" s="555">
        <v>0</v>
      </c>
      <c r="H79" s="555">
        <v>7089</v>
      </c>
      <c r="I79" s="555">
        <v>2988</v>
      </c>
      <c r="J79" s="555">
        <v>0</v>
      </c>
      <c r="K79" s="555">
        <v>10077</v>
      </c>
    </row>
    <row r="80" spans="1:13" ht="18" customHeight="1" x14ac:dyDescent="0.4">
      <c r="A80" s="183" t="s">
        <v>110</v>
      </c>
      <c r="B80" s="116" t="s">
        <v>56</v>
      </c>
      <c r="F80" s="555"/>
      <c r="G80" s="555"/>
      <c r="H80" s="556"/>
      <c r="I80" s="144"/>
      <c r="J80" s="556"/>
      <c r="K80" s="557"/>
    </row>
    <row r="81" spans="1:11" ht="18" customHeight="1" x14ac:dyDescent="0.4">
      <c r="A81" s="183"/>
      <c r="K81" s="568"/>
    </row>
    <row r="82" spans="1:11" ht="18" customHeight="1" x14ac:dyDescent="0.4">
      <c r="A82" s="183" t="s">
        <v>148</v>
      </c>
      <c r="B82" s="117" t="s">
        <v>149</v>
      </c>
      <c r="E82" s="117" t="s">
        <v>7</v>
      </c>
      <c r="F82" s="566">
        <v>0</v>
      </c>
      <c r="G82" s="566">
        <v>0</v>
      </c>
      <c r="H82" s="567">
        <v>106909</v>
      </c>
      <c r="I82" s="567">
        <v>2988</v>
      </c>
      <c r="J82" s="567">
        <v>0</v>
      </c>
      <c r="K82" s="567">
        <v>109897</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0</v>
      </c>
      <c r="G86" s="555">
        <v>0</v>
      </c>
      <c r="H86" s="555">
        <v>13050</v>
      </c>
      <c r="I86" s="555">
        <v>0</v>
      </c>
      <c r="J86" s="555">
        <v>0</v>
      </c>
      <c r="K86" s="555">
        <v>13050</v>
      </c>
    </row>
    <row r="87" spans="1:11" ht="18" customHeight="1" x14ac:dyDescent="0.4">
      <c r="A87" s="183" t="s">
        <v>114</v>
      </c>
      <c r="B87" s="116" t="s">
        <v>14</v>
      </c>
      <c r="F87" s="555"/>
      <c r="G87" s="555"/>
      <c r="H87" s="556"/>
      <c r="I87" s="144"/>
      <c r="J87" s="556"/>
      <c r="K87" s="557"/>
    </row>
    <row r="88" spans="1:11" ht="18" customHeight="1" x14ac:dyDescent="0.4">
      <c r="A88" s="183" t="s">
        <v>115</v>
      </c>
      <c r="B88" s="116" t="s">
        <v>116</v>
      </c>
      <c r="F88" s="555">
        <v>333</v>
      </c>
      <c r="G88" s="555">
        <v>0</v>
      </c>
      <c r="H88" s="555">
        <v>27836</v>
      </c>
      <c r="I88" s="555">
        <v>7884</v>
      </c>
      <c r="J88" s="555">
        <v>0</v>
      </c>
      <c r="K88" s="555">
        <v>35720</v>
      </c>
    </row>
    <row r="89" spans="1:11" ht="18" customHeight="1" x14ac:dyDescent="0.4">
      <c r="A89" s="183" t="s">
        <v>117</v>
      </c>
      <c r="B89" s="116" t="s">
        <v>58</v>
      </c>
      <c r="F89" s="555"/>
      <c r="G89" s="555"/>
      <c r="H89" s="556"/>
      <c r="I89" s="144"/>
      <c r="J89" s="556"/>
      <c r="K89" s="557"/>
    </row>
    <row r="90" spans="1:11" ht="18" customHeight="1" x14ac:dyDescent="0.4">
      <c r="A90" s="183" t="s">
        <v>118</v>
      </c>
      <c r="B90" s="956" t="s">
        <v>59</v>
      </c>
      <c r="C90" s="957"/>
      <c r="F90" s="555"/>
      <c r="G90" s="555"/>
      <c r="H90" s="556"/>
      <c r="I90" s="144"/>
      <c r="J90" s="556"/>
      <c r="K90" s="557"/>
    </row>
    <row r="91" spans="1:11" ht="18" customHeight="1" x14ac:dyDescent="0.4">
      <c r="A91" s="183" t="s">
        <v>119</v>
      </c>
      <c r="B91" s="116" t="s">
        <v>60</v>
      </c>
      <c r="F91" s="555"/>
      <c r="G91" s="555"/>
      <c r="H91" s="556"/>
      <c r="I91" s="144"/>
      <c r="J91" s="556"/>
      <c r="K91" s="557"/>
    </row>
    <row r="92" spans="1:11" ht="18" customHeight="1" x14ac:dyDescent="0.4">
      <c r="A92" s="183" t="s">
        <v>120</v>
      </c>
      <c r="B92" s="116" t="s">
        <v>121</v>
      </c>
      <c r="F92" s="134">
        <v>0</v>
      </c>
      <c r="G92" s="134">
        <v>0</v>
      </c>
      <c r="H92" s="134">
        <v>26386</v>
      </c>
      <c r="I92" s="134">
        <v>0</v>
      </c>
      <c r="J92" s="134">
        <v>0</v>
      </c>
      <c r="K92" s="134">
        <v>26386</v>
      </c>
    </row>
    <row r="93" spans="1:11" ht="18" customHeight="1" x14ac:dyDescent="0.4">
      <c r="A93" s="183" t="s">
        <v>122</v>
      </c>
      <c r="B93" s="116" t="s">
        <v>123</v>
      </c>
      <c r="F93" s="134">
        <v>174</v>
      </c>
      <c r="G93" s="134">
        <v>0</v>
      </c>
      <c r="H93" s="134">
        <v>7797</v>
      </c>
      <c r="I93" s="134">
        <v>1482</v>
      </c>
      <c r="J93" s="134">
        <v>0</v>
      </c>
      <c r="K93" s="134">
        <v>9279</v>
      </c>
    </row>
    <row r="94" spans="1:11" ht="18" customHeight="1" x14ac:dyDescent="0.4">
      <c r="A94" s="183" t="s">
        <v>124</v>
      </c>
      <c r="B94" s="980"/>
      <c r="C94" s="974"/>
      <c r="D94" s="975"/>
      <c r="F94" s="555"/>
      <c r="G94" s="555"/>
      <c r="H94" s="556"/>
      <c r="I94" s="144"/>
      <c r="J94" s="556"/>
      <c r="K94" s="557"/>
    </row>
    <row r="95" spans="1:11" ht="18" customHeight="1" x14ac:dyDescent="0.4">
      <c r="A95" s="183" t="s">
        <v>125</v>
      </c>
      <c r="B95" s="980"/>
      <c r="C95" s="974"/>
      <c r="D95" s="975"/>
      <c r="F95" s="555"/>
      <c r="G95" s="555"/>
      <c r="H95" s="556"/>
      <c r="I95" s="144"/>
      <c r="J95" s="556"/>
      <c r="K95" s="557"/>
    </row>
    <row r="96" spans="1:11" ht="18" customHeight="1" x14ac:dyDescent="0.4">
      <c r="A96" s="183" t="s">
        <v>126</v>
      </c>
      <c r="B96" s="980"/>
      <c r="C96" s="974"/>
      <c r="D96" s="975"/>
      <c r="F96" s="555"/>
      <c r="G96" s="555"/>
      <c r="H96" s="556"/>
      <c r="I96" s="144"/>
      <c r="J96" s="556"/>
      <c r="K96" s="557"/>
    </row>
    <row r="97" spans="1:16" ht="18" customHeight="1" x14ac:dyDescent="0.4">
      <c r="A97" s="183"/>
      <c r="B97" s="116"/>
    </row>
    <row r="98" spans="1:16" ht="18" customHeight="1" x14ac:dyDescent="0.4">
      <c r="A98" s="120" t="s">
        <v>150</v>
      </c>
      <c r="B98" s="117" t="s">
        <v>151</v>
      </c>
      <c r="E98" s="117" t="s">
        <v>7</v>
      </c>
      <c r="F98" s="560">
        <v>507</v>
      </c>
      <c r="G98" s="560">
        <v>0</v>
      </c>
      <c r="H98" s="560">
        <v>75069</v>
      </c>
      <c r="I98" s="560">
        <v>9366</v>
      </c>
      <c r="J98" s="560">
        <v>0</v>
      </c>
      <c r="K98" s="560">
        <v>84435</v>
      </c>
    </row>
    <row r="99" spans="1:16" ht="18" customHeight="1" thickBot="1" x14ac:dyDescent="0.45">
      <c r="B99" s="117"/>
      <c r="F99" s="129"/>
      <c r="G99" s="129"/>
      <c r="H99" s="129"/>
      <c r="I99" s="129"/>
      <c r="J99" s="129"/>
      <c r="K99" s="129"/>
    </row>
    <row r="100" spans="1:16" ht="42.75" customHeight="1" x14ac:dyDescent="0.4">
      <c r="F100" s="122" t="s">
        <v>9</v>
      </c>
      <c r="G100" s="122" t="s">
        <v>37</v>
      </c>
      <c r="H100" s="122" t="s">
        <v>29</v>
      </c>
      <c r="I100" s="122" t="s">
        <v>30</v>
      </c>
      <c r="J100" s="122" t="s">
        <v>33</v>
      </c>
      <c r="K100" s="122" t="s">
        <v>34</v>
      </c>
    </row>
    <row r="101" spans="1:16" ht="18" customHeight="1" x14ac:dyDescent="0.4">
      <c r="A101" s="120" t="s">
        <v>130</v>
      </c>
      <c r="B101" s="117" t="s">
        <v>63</v>
      </c>
    </row>
    <row r="102" spans="1:16" ht="18" customHeight="1" x14ac:dyDescent="0.4">
      <c r="A102" s="183" t="s">
        <v>131</v>
      </c>
      <c r="B102" s="116" t="s">
        <v>152</v>
      </c>
      <c r="F102" s="555">
        <v>20</v>
      </c>
      <c r="G102" s="555">
        <v>0</v>
      </c>
      <c r="H102" s="555">
        <v>147414</v>
      </c>
      <c r="I102" s="555">
        <v>56430</v>
      </c>
      <c r="J102" s="555">
        <v>0</v>
      </c>
      <c r="K102" s="555">
        <v>203844</v>
      </c>
    </row>
    <row r="103" spans="1:16" ht="18" customHeight="1" x14ac:dyDescent="0.4">
      <c r="A103" s="183" t="s">
        <v>132</v>
      </c>
      <c r="B103" s="956" t="s">
        <v>62</v>
      </c>
      <c r="C103" s="956"/>
      <c r="F103" s="555"/>
      <c r="G103" s="555"/>
      <c r="H103" s="556"/>
      <c r="I103" s="144"/>
      <c r="J103" s="556"/>
      <c r="K103" s="557"/>
    </row>
    <row r="104" spans="1:16" ht="18" customHeight="1" x14ac:dyDescent="0.4">
      <c r="A104" s="183" t="s">
        <v>128</v>
      </c>
      <c r="B104" s="980"/>
      <c r="C104" s="974"/>
      <c r="D104" s="975"/>
      <c r="F104" s="555"/>
      <c r="G104" s="555"/>
      <c r="H104" s="556"/>
      <c r="I104" s="144"/>
      <c r="J104" s="556"/>
      <c r="K104" s="557"/>
    </row>
    <row r="105" spans="1:16" ht="18" customHeight="1" x14ac:dyDescent="0.4">
      <c r="A105" s="183" t="s">
        <v>127</v>
      </c>
      <c r="B105" s="980"/>
      <c r="C105" s="974"/>
      <c r="D105" s="975"/>
      <c r="F105" s="555"/>
      <c r="G105" s="555"/>
      <c r="H105" s="556"/>
      <c r="I105" s="144"/>
      <c r="J105" s="556"/>
      <c r="K105" s="557"/>
    </row>
    <row r="106" spans="1:16" ht="18" customHeight="1" x14ac:dyDescent="0.4">
      <c r="A106" s="183" t="s">
        <v>129</v>
      </c>
      <c r="B106" s="980"/>
      <c r="C106" s="974"/>
      <c r="D106" s="975"/>
      <c r="F106" s="555"/>
      <c r="G106" s="555"/>
      <c r="H106" s="556"/>
      <c r="I106" s="144"/>
      <c r="J106" s="556"/>
      <c r="K106" s="557"/>
    </row>
    <row r="107" spans="1:16" ht="18" customHeight="1" x14ac:dyDescent="0.4">
      <c r="B107" s="117"/>
    </row>
    <row r="108" spans="1:16" s="123" customFormat="1" ht="18" customHeight="1" x14ac:dyDescent="0.4">
      <c r="A108" s="120" t="s">
        <v>153</v>
      </c>
      <c r="B108" s="153" t="s">
        <v>154</v>
      </c>
      <c r="C108" s="189"/>
      <c r="D108" s="189"/>
      <c r="E108" s="117" t="s">
        <v>7</v>
      </c>
      <c r="F108" s="560">
        <v>20</v>
      </c>
      <c r="G108" s="560">
        <v>0</v>
      </c>
      <c r="H108" s="557">
        <v>147414</v>
      </c>
      <c r="I108" s="557">
        <v>56430</v>
      </c>
      <c r="J108" s="557">
        <v>0</v>
      </c>
      <c r="K108" s="557">
        <v>203844</v>
      </c>
      <c r="L108" s="291"/>
      <c r="N108" s="292"/>
      <c r="O108" s="292"/>
    </row>
    <row r="109" spans="1:16" s="123" customFormat="1" ht="18" customHeight="1" thickBot="1" x14ac:dyDescent="0.45">
      <c r="A109" s="124"/>
      <c r="B109" s="125"/>
      <c r="C109" s="126"/>
      <c r="D109" s="126"/>
      <c r="E109" s="126"/>
      <c r="F109" s="129"/>
      <c r="G109" s="129"/>
      <c r="H109" s="129"/>
      <c r="I109" s="129"/>
      <c r="J109" s="129"/>
      <c r="K109" s="129"/>
      <c r="L109" s="291"/>
      <c r="N109" s="292"/>
      <c r="O109" s="292"/>
    </row>
    <row r="110" spans="1:16" s="123" customFormat="1" ht="18" customHeight="1" x14ac:dyDescent="0.4">
      <c r="A110" s="120" t="s">
        <v>156</v>
      </c>
      <c r="B110" s="117" t="s">
        <v>39</v>
      </c>
      <c r="C110" s="189"/>
      <c r="D110" s="189"/>
      <c r="E110" s="189"/>
      <c r="G110" s="186"/>
      <c r="H110" s="189"/>
      <c r="I110" s="189"/>
      <c r="J110" s="189"/>
      <c r="K110" s="189"/>
      <c r="L110" s="291"/>
      <c r="N110" s="293"/>
      <c r="O110" s="293"/>
      <c r="P110" s="184"/>
    </row>
    <row r="111" spans="1:16" ht="13.15" x14ac:dyDescent="0.4">
      <c r="A111" s="120" t="s">
        <v>155</v>
      </c>
      <c r="B111" s="117" t="s">
        <v>164</v>
      </c>
      <c r="E111" s="117" t="s">
        <v>7</v>
      </c>
      <c r="F111" s="572">
        <v>7793317.4699999997</v>
      </c>
      <c r="G111" s="186"/>
      <c r="N111" s="294"/>
      <c r="O111" s="295"/>
      <c r="P111" s="296"/>
    </row>
    <row r="112" spans="1:16" ht="13.15" x14ac:dyDescent="0.4">
      <c r="B112" s="117"/>
      <c r="E112" s="117"/>
      <c r="F112" s="184"/>
      <c r="G112" s="186"/>
      <c r="N112" s="294"/>
      <c r="O112" s="295"/>
      <c r="P112" s="296"/>
    </row>
    <row r="113" spans="1:16" ht="13.15" x14ac:dyDescent="0.4">
      <c r="A113" s="120"/>
      <c r="B113" s="117" t="s">
        <v>15</v>
      </c>
      <c r="G113" s="186"/>
      <c r="N113" s="294"/>
      <c r="O113" s="295"/>
      <c r="P113" s="296"/>
    </row>
    <row r="114" spans="1:16" ht="13.15" x14ac:dyDescent="0.4">
      <c r="A114" s="183" t="s">
        <v>171</v>
      </c>
      <c r="B114" s="116" t="s">
        <v>35</v>
      </c>
      <c r="F114" s="698">
        <v>0.58562999999999998</v>
      </c>
      <c r="G114" s="186"/>
      <c r="N114" s="294"/>
      <c r="O114" s="295"/>
      <c r="P114" s="296"/>
    </row>
    <row r="115" spans="1:16" ht="13.15" x14ac:dyDescent="0.4">
      <c r="A115" s="183"/>
      <c r="B115" s="117"/>
      <c r="G115" s="186"/>
      <c r="N115" s="294"/>
      <c r="O115" s="295"/>
      <c r="P115" s="296"/>
    </row>
    <row r="116" spans="1:16" ht="13.15" x14ac:dyDescent="0.4">
      <c r="A116" s="183" t="s">
        <v>170</v>
      </c>
      <c r="B116" s="117" t="s">
        <v>16</v>
      </c>
      <c r="G116" s="186"/>
      <c r="N116" s="294"/>
      <c r="O116" s="295"/>
      <c r="P116" s="295"/>
    </row>
    <row r="117" spans="1:16" ht="14.25" x14ac:dyDescent="0.45">
      <c r="A117" s="183" t="s">
        <v>172</v>
      </c>
      <c r="B117" s="116" t="s">
        <v>17</v>
      </c>
      <c r="F117" s="556">
        <v>423889354.32999998</v>
      </c>
      <c r="G117" s="186"/>
      <c r="N117" s="294"/>
      <c r="O117" s="289"/>
      <c r="P117" s="296"/>
    </row>
    <row r="118" spans="1:16" ht="13.15" x14ac:dyDescent="0.4">
      <c r="A118" s="183" t="s">
        <v>173</v>
      </c>
      <c r="B118" s="189" t="s">
        <v>18</v>
      </c>
      <c r="F118" s="556">
        <v>12289640.050000006</v>
      </c>
      <c r="G118" s="186"/>
      <c r="N118" s="294"/>
      <c r="O118" s="295"/>
      <c r="P118" s="296"/>
    </row>
    <row r="119" spans="1:16" ht="13.15" x14ac:dyDescent="0.4">
      <c r="A119" s="183" t="s">
        <v>174</v>
      </c>
      <c r="B119" s="117" t="s">
        <v>19</v>
      </c>
      <c r="F119" s="567">
        <v>436178994.38</v>
      </c>
      <c r="G119" s="186"/>
      <c r="N119" s="294"/>
      <c r="O119" s="295"/>
      <c r="P119" s="296"/>
    </row>
    <row r="120" spans="1:16" ht="13.15" x14ac:dyDescent="0.4">
      <c r="A120" s="183"/>
      <c r="B120" s="117"/>
      <c r="G120" s="186"/>
      <c r="N120" s="287"/>
      <c r="O120" s="287"/>
      <c r="P120" s="186"/>
    </row>
    <row r="121" spans="1:16" ht="13.15" x14ac:dyDescent="0.4">
      <c r="A121" s="183" t="s">
        <v>167</v>
      </c>
      <c r="B121" s="117" t="s">
        <v>36</v>
      </c>
      <c r="F121" s="556">
        <v>447659408.34000087</v>
      </c>
      <c r="G121" s="186"/>
    </row>
    <row r="122" spans="1:16" ht="13.15" x14ac:dyDescent="0.4">
      <c r="A122" s="183"/>
      <c r="G122" s="186"/>
    </row>
    <row r="123" spans="1:16" ht="13.15" x14ac:dyDescent="0.4">
      <c r="A123" s="183" t="s">
        <v>175</v>
      </c>
      <c r="B123" s="117" t="s">
        <v>20</v>
      </c>
      <c r="F123" s="556">
        <v>-11480413.960000873</v>
      </c>
      <c r="G123" s="186"/>
    </row>
    <row r="124" spans="1:16" ht="13.15" x14ac:dyDescent="0.4">
      <c r="A124" s="183"/>
      <c r="G124" s="186"/>
    </row>
    <row r="125" spans="1:16" ht="13.15" x14ac:dyDescent="0.4">
      <c r="A125" s="183" t="s">
        <v>176</v>
      </c>
      <c r="B125" s="117" t="s">
        <v>21</v>
      </c>
      <c r="F125" s="556">
        <v>2524330.5500000007</v>
      </c>
      <c r="G125" s="186"/>
    </row>
    <row r="126" spans="1:16" ht="13.15" x14ac:dyDescent="0.4">
      <c r="A126" s="183"/>
      <c r="G126" s="186"/>
    </row>
    <row r="127" spans="1:16" ht="13.15" x14ac:dyDescent="0.4">
      <c r="A127" s="183" t="s">
        <v>177</v>
      </c>
      <c r="B127" s="117" t="s">
        <v>22</v>
      </c>
      <c r="F127" s="556">
        <v>-8956083.4100008719</v>
      </c>
      <c r="G127" s="186"/>
    </row>
    <row r="128" spans="1:16" ht="13.15" x14ac:dyDescent="0.4">
      <c r="A128" s="183"/>
    </row>
    <row r="129" spans="1:11" ht="26.25" x14ac:dyDescent="0.4">
      <c r="F129" s="122" t="s">
        <v>9</v>
      </c>
      <c r="G129" s="122" t="s">
        <v>37</v>
      </c>
      <c r="H129" s="122" t="s">
        <v>29</v>
      </c>
      <c r="I129" s="122" t="s">
        <v>30</v>
      </c>
      <c r="J129" s="122" t="s">
        <v>33</v>
      </c>
      <c r="K129" s="122" t="s">
        <v>34</v>
      </c>
    </row>
    <row r="130" spans="1:11" ht="13.15" x14ac:dyDescent="0.4">
      <c r="A130" s="120" t="s">
        <v>157</v>
      </c>
      <c r="B130" s="117" t="s">
        <v>23</v>
      </c>
    </row>
    <row r="131" spans="1:11" ht="13.15" x14ac:dyDescent="0.4">
      <c r="A131" s="183" t="s">
        <v>158</v>
      </c>
      <c r="B131" s="189" t="s">
        <v>24</v>
      </c>
      <c r="F131" s="555">
        <v>0</v>
      </c>
      <c r="G131" s="555">
        <v>0</v>
      </c>
      <c r="H131" s="556">
        <v>0</v>
      </c>
      <c r="I131" s="144">
        <v>0</v>
      </c>
      <c r="J131" s="556">
        <v>0</v>
      </c>
      <c r="K131" s="557">
        <v>0</v>
      </c>
    </row>
    <row r="132" spans="1:11" ht="13.15" x14ac:dyDescent="0.4">
      <c r="A132" s="183" t="s">
        <v>159</v>
      </c>
      <c r="B132" s="189" t="s">
        <v>25</v>
      </c>
      <c r="F132" s="555">
        <v>0</v>
      </c>
      <c r="G132" s="555">
        <v>0</v>
      </c>
      <c r="H132" s="556">
        <v>0</v>
      </c>
      <c r="I132" s="144">
        <v>0</v>
      </c>
      <c r="J132" s="556">
        <v>0</v>
      </c>
      <c r="K132" s="557">
        <v>0</v>
      </c>
    </row>
    <row r="133" spans="1:11" ht="13.15" x14ac:dyDescent="0.4">
      <c r="A133" s="183" t="s">
        <v>160</v>
      </c>
      <c r="B133" s="951"/>
      <c r="C133" s="952"/>
      <c r="D133" s="953"/>
      <c r="F133" s="555"/>
      <c r="G133" s="555"/>
      <c r="H133" s="556"/>
      <c r="I133" s="144"/>
      <c r="J133" s="556"/>
      <c r="K133" s="557"/>
    </row>
    <row r="134" spans="1:11" ht="13.15" x14ac:dyDescent="0.4">
      <c r="A134" s="183" t="s">
        <v>161</v>
      </c>
      <c r="B134" s="951"/>
      <c r="C134" s="952"/>
      <c r="D134" s="953"/>
      <c r="F134" s="555"/>
      <c r="G134" s="555"/>
      <c r="H134" s="556"/>
      <c r="I134" s="144"/>
      <c r="J134" s="556"/>
      <c r="K134" s="557"/>
    </row>
    <row r="135" spans="1:11" ht="13.15" x14ac:dyDescent="0.4">
      <c r="A135" s="183" t="s">
        <v>162</v>
      </c>
      <c r="B135" s="951"/>
      <c r="C135" s="952"/>
      <c r="D135" s="953"/>
      <c r="F135" s="555"/>
      <c r="G135" s="555"/>
      <c r="H135" s="556"/>
      <c r="I135" s="144"/>
      <c r="J135" s="556"/>
      <c r="K135" s="557"/>
    </row>
    <row r="136" spans="1:11" ht="13.15" x14ac:dyDescent="0.4">
      <c r="A136" s="120"/>
    </row>
    <row r="137" spans="1:11" ht="13.15" x14ac:dyDescent="0.4">
      <c r="A137" s="120" t="s">
        <v>163</v>
      </c>
      <c r="B137" s="117" t="s">
        <v>27</v>
      </c>
      <c r="F137" s="560">
        <v>0</v>
      </c>
      <c r="G137" s="560">
        <v>0</v>
      </c>
      <c r="H137" s="557">
        <v>0</v>
      </c>
      <c r="I137" s="557">
        <v>0</v>
      </c>
      <c r="J137" s="557">
        <v>0</v>
      </c>
      <c r="K137" s="557">
        <v>0</v>
      </c>
    </row>
    <row r="138" spans="1:11" ht="12.75" x14ac:dyDescent="0.35">
      <c r="A138" s="189"/>
    </row>
    <row r="139" spans="1:11" ht="26.25" x14ac:dyDescent="0.4">
      <c r="F139" s="122" t="s">
        <v>9</v>
      </c>
      <c r="G139" s="122" t="s">
        <v>37</v>
      </c>
      <c r="H139" s="122" t="s">
        <v>29</v>
      </c>
      <c r="I139" s="122" t="s">
        <v>30</v>
      </c>
      <c r="J139" s="122" t="s">
        <v>33</v>
      </c>
      <c r="K139" s="122" t="s">
        <v>34</v>
      </c>
    </row>
    <row r="140" spans="1:11" ht="13.15" x14ac:dyDescent="0.4">
      <c r="A140" s="120" t="s">
        <v>166</v>
      </c>
      <c r="B140" s="117" t="s">
        <v>26</v>
      </c>
    </row>
    <row r="141" spans="1:11" ht="13.15" x14ac:dyDescent="0.4">
      <c r="A141" s="183" t="s">
        <v>137</v>
      </c>
      <c r="B141" s="117" t="s">
        <v>64</v>
      </c>
      <c r="F141" s="136">
        <v>10632.34</v>
      </c>
      <c r="G141" s="136">
        <v>56227</v>
      </c>
      <c r="H141" s="699">
        <v>1224254</v>
      </c>
      <c r="I141" s="699">
        <v>240127</v>
      </c>
      <c r="J141" s="699">
        <v>200885</v>
      </c>
      <c r="K141" s="699">
        <v>1263496</v>
      </c>
    </row>
    <row r="142" spans="1:11" ht="13.15" x14ac:dyDescent="0.4">
      <c r="A142" s="183" t="s">
        <v>142</v>
      </c>
      <c r="B142" s="117" t="s">
        <v>65</v>
      </c>
      <c r="F142" s="136">
        <v>185982</v>
      </c>
      <c r="G142" s="136">
        <v>0</v>
      </c>
      <c r="H142" s="699">
        <v>14060103</v>
      </c>
      <c r="I142" s="699">
        <v>8239221</v>
      </c>
      <c r="J142" s="699">
        <v>0</v>
      </c>
      <c r="K142" s="699">
        <v>22299324</v>
      </c>
    </row>
    <row r="143" spans="1:11" ht="13.15" x14ac:dyDescent="0.4">
      <c r="A143" s="183" t="s">
        <v>144</v>
      </c>
      <c r="B143" s="117" t="s">
        <v>66</v>
      </c>
      <c r="F143" s="136">
        <v>0</v>
      </c>
      <c r="G143" s="136">
        <v>0</v>
      </c>
      <c r="H143" s="699">
        <v>6449568</v>
      </c>
      <c r="I143" s="699">
        <v>0</v>
      </c>
      <c r="J143" s="699">
        <v>4025030</v>
      </c>
      <c r="K143" s="699">
        <v>2424538</v>
      </c>
    </row>
    <row r="144" spans="1:11" ht="13.15" x14ac:dyDescent="0.4">
      <c r="A144" s="183" t="s">
        <v>146</v>
      </c>
      <c r="B144" s="117" t="s">
        <v>67</v>
      </c>
      <c r="F144" s="136">
        <v>0</v>
      </c>
      <c r="G144" s="136">
        <v>0</v>
      </c>
      <c r="H144" s="699">
        <v>1389257</v>
      </c>
      <c r="I144" s="699">
        <v>814105</v>
      </c>
      <c r="J144" s="699">
        <v>53986</v>
      </c>
      <c r="K144" s="699">
        <v>2149376</v>
      </c>
    </row>
    <row r="145" spans="1:13" ht="13.15" x14ac:dyDescent="0.4">
      <c r="A145" s="183" t="s">
        <v>148</v>
      </c>
      <c r="B145" s="117" t="s">
        <v>68</v>
      </c>
      <c r="F145" s="136">
        <v>0</v>
      </c>
      <c r="G145" s="136">
        <v>0</v>
      </c>
      <c r="H145" s="699">
        <v>106909</v>
      </c>
      <c r="I145" s="699">
        <v>2988</v>
      </c>
      <c r="J145" s="699">
        <v>0</v>
      </c>
      <c r="K145" s="699">
        <v>109897</v>
      </c>
    </row>
    <row r="146" spans="1:13" ht="13.15" x14ac:dyDescent="0.4">
      <c r="A146" s="183" t="s">
        <v>150</v>
      </c>
      <c r="B146" s="117" t="s">
        <v>69</v>
      </c>
      <c r="F146" s="136">
        <v>507</v>
      </c>
      <c r="G146" s="136">
        <v>0</v>
      </c>
      <c r="H146" s="699">
        <v>75069</v>
      </c>
      <c r="I146" s="699">
        <v>9366</v>
      </c>
      <c r="J146" s="699">
        <v>0</v>
      </c>
      <c r="K146" s="699">
        <v>84435</v>
      </c>
    </row>
    <row r="147" spans="1:13" ht="13.15" x14ac:dyDescent="0.4">
      <c r="A147" s="183" t="s">
        <v>153</v>
      </c>
      <c r="B147" s="117" t="s">
        <v>61</v>
      </c>
      <c r="F147" s="560">
        <v>20</v>
      </c>
      <c r="G147" s="560">
        <v>0</v>
      </c>
      <c r="H147" s="699">
        <v>147414</v>
      </c>
      <c r="I147" s="699">
        <v>56430</v>
      </c>
      <c r="J147" s="699">
        <v>0</v>
      </c>
      <c r="K147" s="699">
        <v>203844</v>
      </c>
    </row>
    <row r="148" spans="1:13" ht="13.15" x14ac:dyDescent="0.4">
      <c r="A148" s="183" t="s">
        <v>155</v>
      </c>
      <c r="B148" s="117" t="s">
        <v>70</v>
      </c>
      <c r="F148" s="137" t="s">
        <v>73</v>
      </c>
      <c r="G148" s="137" t="s">
        <v>73</v>
      </c>
      <c r="H148" s="699" t="s">
        <v>73</v>
      </c>
      <c r="I148" s="699" t="s">
        <v>73</v>
      </c>
      <c r="J148" s="699" t="s">
        <v>73</v>
      </c>
      <c r="K148" s="699">
        <v>7793317.4699999997</v>
      </c>
    </row>
    <row r="149" spans="1:13" ht="13.15" x14ac:dyDescent="0.4">
      <c r="A149" s="183" t="s">
        <v>163</v>
      </c>
      <c r="B149" s="117" t="s">
        <v>71</v>
      </c>
      <c r="F149" s="560">
        <v>0</v>
      </c>
      <c r="G149" s="560">
        <v>0</v>
      </c>
      <c r="H149" s="699">
        <v>0</v>
      </c>
      <c r="I149" s="699">
        <v>0</v>
      </c>
      <c r="J149" s="699">
        <v>0</v>
      </c>
      <c r="K149" s="699">
        <v>0</v>
      </c>
    </row>
    <row r="150" spans="1:13" ht="18" customHeight="1" x14ac:dyDescent="0.4">
      <c r="A150" s="183" t="s">
        <v>185</v>
      </c>
      <c r="B150" s="117" t="s">
        <v>186</v>
      </c>
      <c r="F150" s="137" t="s">
        <v>73</v>
      </c>
      <c r="G150" s="137" t="s">
        <v>73</v>
      </c>
      <c r="H150" s="699">
        <v>8558317.4741692506</v>
      </c>
      <c r="I150" s="699">
        <v>0</v>
      </c>
      <c r="J150" s="699">
        <v>7114761.7513099797</v>
      </c>
      <c r="K150" s="699">
        <v>1443555.7228592709</v>
      </c>
    </row>
    <row r="151" spans="1:13" ht="18" customHeight="1" x14ac:dyDescent="0.4">
      <c r="B151" s="117"/>
      <c r="F151" s="142"/>
      <c r="G151" s="142"/>
      <c r="H151" s="297"/>
      <c r="I151" s="297"/>
      <c r="J151" s="297"/>
      <c r="K151" s="297"/>
    </row>
    <row r="152" spans="1:13" ht="18" customHeight="1" x14ac:dyDescent="0.4">
      <c r="A152" s="120" t="s">
        <v>165</v>
      </c>
      <c r="B152" s="117" t="s">
        <v>26</v>
      </c>
      <c r="F152" s="143">
        <v>197141.34</v>
      </c>
      <c r="G152" s="143">
        <v>56227</v>
      </c>
      <c r="H152" s="699">
        <v>32010891.474169251</v>
      </c>
      <c r="I152" s="699">
        <v>9362237</v>
      </c>
      <c r="J152" s="699">
        <v>11394662.75130998</v>
      </c>
      <c r="K152" s="699">
        <v>37771783.19285927</v>
      </c>
    </row>
    <row r="153" spans="1:13" ht="18" customHeight="1" x14ac:dyDescent="0.45">
      <c r="K153" s="298"/>
      <c r="L153" s="299"/>
      <c r="M153" s="300"/>
    </row>
    <row r="154" spans="1:13" ht="18" customHeight="1" x14ac:dyDescent="0.45">
      <c r="A154" s="120" t="s">
        <v>168</v>
      </c>
      <c r="B154" s="117" t="s">
        <v>28</v>
      </c>
      <c r="F154" s="571">
        <v>8.4376162969351243E-2</v>
      </c>
      <c r="K154" s="298"/>
      <c r="L154" s="299"/>
      <c r="M154" s="300"/>
    </row>
    <row r="155" spans="1:13" ht="18" customHeight="1" x14ac:dyDescent="0.45">
      <c r="A155" s="120" t="s">
        <v>169</v>
      </c>
      <c r="B155" s="117" t="s">
        <v>72</v>
      </c>
      <c r="F155" s="571">
        <v>-4.2174443295917889</v>
      </c>
      <c r="G155" s="117"/>
      <c r="K155" s="300"/>
      <c r="L155" s="299"/>
      <c r="M155" s="300"/>
    </row>
    <row r="156" spans="1:13" ht="18" customHeight="1" x14ac:dyDescent="0.4">
      <c r="G156" s="117"/>
    </row>
    <row r="158" spans="1:13" ht="18" customHeight="1" x14ac:dyDescent="0.45">
      <c r="B158" s="300"/>
      <c r="C158" s="300"/>
      <c r="D158" s="300"/>
      <c r="E158" s="300"/>
      <c r="F158" s="301"/>
      <c r="G158" s="301"/>
      <c r="H158" s="298"/>
      <c r="I158" s="298"/>
      <c r="J158" s="298"/>
      <c r="K158" s="298"/>
    </row>
    <row r="159" spans="1:13" ht="18" customHeight="1" x14ac:dyDescent="0.45">
      <c r="B159" s="300"/>
      <c r="C159" s="300"/>
      <c r="D159" s="300"/>
      <c r="E159" s="300"/>
      <c r="F159" s="301"/>
      <c r="G159" s="301"/>
      <c r="H159" s="301"/>
      <c r="I159" s="301"/>
      <c r="J159" s="301"/>
      <c r="K159" s="301"/>
    </row>
    <row r="162" spans="11:11" ht="18" customHeight="1" x14ac:dyDescent="0.35">
      <c r="K162" s="108"/>
    </row>
  </sheetData>
  <mergeCells count="30">
    <mergeCell ref="B134:D134"/>
    <mergeCell ref="B135:D135"/>
    <mergeCell ref="B94:D94"/>
    <mergeCell ref="B95:D95"/>
    <mergeCell ref="D2:H2"/>
    <mergeCell ref="C5:G5"/>
    <mergeCell ref="C6:G6"/>
    <mergeCell ref="B106:D106"/>
    <mergeCell ref="B133:D133"/>
    <mergeCell ref="C7:G7"/>
    <mergeCell ref="C9:G9"/>
    <mergeCell ref="C10:G10"/>
    <mergeCell ref="C11:G11"/>
    <mergeCell ref="B13:H13"/>
    <mergeCell ref="B96:D96"/>
    <mergeCell ref="B103:C103"/>
    <mergeCell ref="B104:D104"/>
    <mergeCell ref="B105:D105"/>
    <mergeCell ref="B30:D30"/>
    <mergeCell ref="B31:D31"/>
    <mergeCell ref="B34:D34"/>
    <mergeCell ref="B90:C90"/>
    <mergeCell ref="B44:D44"/>
    <mergeCell ref="B45:D45"/>
    <mergeCell ref="B46:D46"/>
    <mergeCell ref="B47:D47"/>
    <mergeCell ref="B52:C52"/>
    <mergeCell ref="B54:D54"/>
    <mergeCell ref="B55:D55"/>
    <mergeCell ref="B41:C41"/>
  </mergeCells>
  <hyperlinks>
    <hyperlink ref="C11" r:id="rId1"/>
  </hyperlinks>
  <pageMargins left="0.7" right="0.7" top="0.75" bottom="0.75" header="0.3" footer="0.3"/>
  <pageSetup paperSize="218" scale="5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K156"/>
  <sheetViews>
    <sheetView showGridLines="0" topLeftCell="A52" zoomScale="85" zoomScaleNormal="85" zoomScaleSheetLayoutView="8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1075" t="s">
        <v>228</v>
      </c>
      <c r="D5" s="1076"/>
      <c r="E5" s="1076"/>
      <c r="F5" s="1076"/>
      <c r="G5" s="1077"/>
    </row>
    <row r="6" spans="1:11" ht="18" customHeight="1" x14ac:dyDescent="0.4">
      <c r="B6" s="183" t="s">
        <v>3</v>
      </c>
      <c r="C6" s="1078">
        <v>210027</v>
      </c>
      <c r="D6" s="1079"/>
      <c r="E6" s="1079"/>
      <c r="F6" s="1079"/>
      <c r="G6" s="1080"/>
    </row>
    <row r="7" spans="1:11" ht="18" customHeight="1" x14ac:dyDescent="0.4">
      <c r="B7" s="183" t="s">
        <v>4</v>
      </c>
      <c r="C7" s="1081">
        <v>2268</v>
      </c>
      <c r="D7" s="1082"/>
      <c r="E7" s="1082"/>
      <c r="F7" s="1082"/>
      <c r="G7" s="1083"/>
    </row>
    <row r="8" spans="1:11" ht="18" customHeight="1" x14ac:dyDescent="0.35">
      <c r="C8" s="186"/>
      <c r="D8" s="186"/>
      <c r="E8" s="186"/>
      <c r="F8" s="186"/>
      <c r="G8" s="186"/>
    </row>
    <row r="9" spans="1:11" ht="18" customHeight="1" x14ac:dyDescent="0.4">
      <c r="B9" s="183" t="s">
        <v>1</v>
      </c>
      <c r="C9" s="1075" t="s">
        <v>477</v>
      </c>
      <c r="D9" s="1076"/>
      <c r="E9" s="1076"/>
      <c r="F9" s="1076"/>
      <c r="G9" s="1077"/>
    </row>
    <row r="10" spans="1:11" ht="18" customHeight="1" x14ac:dyDescent="0.4">
      <c r="B10" s="183" t="s">
        <v>2</v>
      </c>
      <c r="C10" s="1084" t="s">
        <v>373</v>
      </c>
      <c r="D10" s="1085"/>
      <c r="E10" s="1085"/>
      <c r="F10" s="1085"/>
      <c r="G10" s="1086"/>
    </row>
    <row r="11" spans="1:11" ht="18" customHeight="1" x14ac:dyDescent="0.4">
      <c r="B11" s="183" t="s">
        <v>32</v>
      </c>
      <c r="C11" s="1073" t="s">
        <v>632</v>
      </c>
      <c r="D11" s="1074"/>
      <c r="E11" s="1074"/>
      <c r="F11" s="1074"/>
      <c r="G11" s="1074"/>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61" t="s">
        <v>73</v>
      </c>
      <c r="G18" s="561" t="s">
        <v>73</v>
      </c>
      <c r="H18" s="700">
        <v>6181825</v>
      </c>
      <c r="I18" s="146">
        <v>0</v>
      </c>
      <c r="J18" s="700">
        <v>5139119</v>
      </c>
      <c r="K18" s="701">
        <f>(H18+I18)-J18</f>
        <v>1042706</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2509.5</v>
      </c>
      <c r="G21" s="555">
        <v>6356</v>
      </c>
      <c r="H21" s="556">
        <v>174700</v>
      </c>
      <c r="I21" s="144">
        <f t="shared" ref="I21:I29" si="0">H21*F$114</f>
        <v>144476.9</v>
      </c>
      <c r="J21" s="556">
        <v>11855</v>
      </c>
      <c r="K21" s="557">
        <f t="shared" ref="K21:K34" si="1">(H21+I21)-J21</f>
        <v>307321.90000000002</v>
      </c>
    </row>
    <row r="22" spans="1:11" ht="18" customHeight="1" x14ac:dyDescent="0.4">
      <c r="A22" s="183" t="s">
        <v>76</v>
      </c>
      <c r="B22" s="189" t="s">
        <v>6</v>
      </c>
      <c r="F22" s="555">
        <v>92.5</v>
      </c>
      <c r="G22" s="555">
        <v>253</v>
      </c>
      <c r="H22" s="556">
        <v>3824</v>
      </c>
      <c r="I22" s="144">
        <f t="shared" si="0"/>
        <v>3162.4479999999999</v>
      </c>
      <c r="J22" s="556">
        <v>0</v>
      </c>
      <c r="K22" s="557">
        <f t="shared" si="1"/>
        <v>6986.4480000000003</v>
      </c>
    </row>
    <row r="23" spans="1:11" ht="18" customHeight="1" x14ac:dyDescent="0.4">
      <c r="A23" s="183" t="s">
        <v>77</v>
      </c>
      <c r="B23" s="189" t="s">
        <v>43</v>
      </c>
      <c r="F23" s="555">
        <v>558.5</v>
      </c>
      <c r="G23" s="555">
        <v>3981</v>
      </c>
      <c r="H23" s="556">
        <v>21407</v>
      </c>
      <c r="I23" s="144">
        <f t="shared" si="0"/>
        <v>17703.589</v>
      </c>
      <c r="J23" s="556">
        <v>1560</v>
      </c>
      <c r="K23" s="557">
        <f t="shared" si="1"/>
        <v>37550.589</v>
      </c>
    </row>
    <row r="24" spans="1:11" ht="18" customHeight="1" x14ac:dyDescent="0.4">
      <c r="A24" s="183" t="s">
        <v>78</v>
      </c>
      <c r="B24" s="189" t="s">
        <v>44</v>
      </c>
      <c r="F24" s="555">
        <v>0</v>
      </c>
      <c r="G24" s="555">
        <v>0</v>
      </c>
      <c r="H24" s="555">
        <v>0</v>
      </c>
      <c r="I24" s="144">
        <f t="shared" si="0"/>
        <v>0</v>
      </c>
      <c r="J24" s="556">
        <v>0</v>
      </c>
      <c r="K24" s="557">
        <f t="shared" si="1"/>
        <v>0</v>
      </c>
    </row>
    <row r="25" spans="1:11" ht="18" customHeight="1" x14ac:dyDescent="0.4">
      <c r="A25" s="183" t="s">
        <v>79</v>
      </c>
      <c r="B25" s="189" t="s">
        <v>5</v>
      </c>
      <c r="F25" s="555">
        <v>0</v>
      </c>
      <c r="G25" s="555">
        <v>0</v>
      </c>
      <c r="H25" s="555">
        <v>0</v>
      </c>
      <c r="I25" s="144">
        <f t="shared" si="0"/>
        <v>0</v>
      </c>
      <c r="J25" s="556">
        <v>0</v>
      </c>
      <c r="K25" s="557">
        <f t="shared" si="1"/>
        <v>0</v>
      </c>
    </row>
    <row r="26" spans="1:11" ht="18" customHeight="1" x14ac:dyDescent="0.4">
      <c r="A26" s="183" t="s">
        <v>80</v>
      </c>
      <c r="B26" s="189" t="s">
        <v>45</v>
      </c>
      <c r="F26" s="555">
        <v>0</v>
      </c>
      <c r="G26" s="555">
        <v>0</v>
      </c>
      <c r="H26" s="555">
        <v>0</v>
      </c>
      <c r="I26" s="144">
        <f t="shared" si="0"/>
        <v>0</v>
      </c>
      <c r="J26" s="556">
        <v>0</v>
      </c>
      <c r="K26" s="557">
        <f t="shared" si="1"/>
        <v>0</v>
      </c>
    </row>
    <row r="27" spans="1:11" ht="18" customHeight="1" x14ac:dyDescent="0.4">
      <c r="A27" s="183" t="s">
        <v>81</v>
      </c>
      <c r="B27" s="189" t="s">
        <v>498</v>
      </c>
      <c r="F27" s="555">
        <v>0</v>
      </c>
      <c r="G27" s="555">
        <v>0</v>
      </c>
      <c r="H27" s="555">
        <v>0</v>
      </c>
      <c r="I27" s="144">
        <f t="shared" si="0"/>
        <v>0</v>
      </c>
      <c r="J27" s="556">
        <v>0</v>
      </c>
      <c r="K27" s="557">
        <f t="shared" si="1"/>
        <v>0</v>
      </c>
    </row>
    <row r="28" spans="1:11" ht="18" customHeight="1" x14ac:dyDescent="0.4">
      <c r="A28" s="183" t="s">
        <v>82</v>
      </c>
      <c r="B28" s="189" t="s">
        <v>47</v>
      </c>
      <c r="F28" s="555">
        <v>0</v>
      </c>
      <c r="G28" s="555">
        <v>0</v>
      </c>
      <c r="H28" s="555">
        <v>0</v>
      </c>
      <c r="I28" s="144">
        <f t="shared" si="0"/>
        <v>0</v>
      </c>
      <c r="J28" s="556">
        <v>0</v>
      </c>
      <c r="K28" s="557">
        <f t="shared" si="1"/>
        <v>0</v>
      </c>
    </row>
    <row r="29" spans="1:11" ht="18" customHeight="1" x14ac:dyDescent="0.4">
      <c r="A29" s="183" t="s">
        <v>83</v>
      </c>
      <c r="B29" s="189" t="s">
        <v>48</v>
      </c>
      <c r="F29" s="561">
        <v>13536</v>
      </c>
      <c r="G29" s="561">
        <v>18005</v>
      </c>
      <c r="H29" s="561">
        <v>642327</v>
      </c>
      <c r="I29" s="144">
        <f t="shared" si="0"/>
        <v>531204.429</v>
      </c>
      <c r="J29" s="556">
        <v>0</v>
      </c>
      <c r="K29" s="557">
        <f t="shared" si="1"/>
        <v>1173531.429</v>
      </c>
    </row>
    <row r="30" spans="1:11" ht="18" customHeight="1" x14ac:dyDescent="0.4">
      <c r="A30" s="183" t="s">
        <v>84</v>
      </c>
      <c r="B30" s="1087" t="s">
        <v>758</v>
      </c>
      <c r="C30" s="1088"/>
      <c r="D30" s="1089"/>
      <c r="F30" s="555">
        <v>0</v>
      </c>
      <c r="G30" s="555">
        <v>0</v>
      </c>
      <c r="H30" s="556">
        <v>99042</v>
      </c>
      <c r="I30" s="144">
        <v>81907.73</v>
      </c>
      <c r="J30" s="556">
        <v>0</v>
      </c>
      <c r="K30" s="557">
        <f t="shared" si="1"/>
        <v>180949.72999999998</v>
      </c>
    </row>
    <row r="31" spans="1:11" ht="18" customHeight="1" x14ac:dyDescent="0.4">
      <c r="A31" s="183" t="s">
        <v>133</v>
      </c>
      <c r="B31" s="951"/>
      <c r="C31" s="952"/>
      <c r="D31" s="953"/>
      <c r="F31" s="555"/>
      <c r="G31" s="555"/>
      <c r="H31" s="556"/>
      <c r="I31" s="144">
        <f>H31*F$114</f>
        <v>0</v>
      </c>
      <c r="J31" s="556"/>
      <c r="K31" s="557">
        <f t="shared" si="1"/>
        <v>0</v>
      </c>
    </row>
    <row r="32" spans="1:11" ht="18" customHeight="1" x14ac:dyDescent="0.4">
      <c r="A32" s="183" t="s">
        <v>134</v>
      </c>
      <c r="B32" s="500"/>
      <c r="C32" s="501"/>
      <c r="D32" s="502"/>
      <c r="F32" s="555"/>
      <c r="G32" s="558" t="s">
        <v>85</v>
      </c>
      <c r="H32" s="556"/>
      <c r="I32" s="144">
        <f>H32*F$114</f>
        <v>0</v>
      </c>
      <c r="J32" s="556"/>
      <c r="K32" s="557">
        <f t="shared" si="1"/>
        <v>0</v>
      </c>
    </row>
    <row r="33" spans="1:11" ht="18" customHeight="1" x14ac:dyDescent="0.4">
      <c r="A33" s="183" t="s">
        <v>135</v>
      </c>
      <c r="B33" s="500"/>
      <c r="C33" s="501"/>
      <c r="D33" s="502"/>
      <c r="F33" s="555"/>
      <c r="G33" s="558" t="s">
        <v>85</v>
      </c>
      <c r="H33" s="556"/>
      <c r="I33" s="144">
        <f>H33*F$114</f>
        <v>0</v>
      </c>
      <c r="J33" s="556"/>
      <c r="K33" s="557">
        <f t="shared" si="1"/>
        <v>0</v>
      </c>
    </row>
    <row r="34" spans="1:11" ht="18" customHeight="1" x14ac:dyDescent="0.4">
      <c r="A34" s="183" t="s">
        <v>136</v>
      </c>
      <c r="B34" s="951"/>
      <c r="C34" s="952"/>
      <c r="D34" s="953"/>
      <c r="F34" s="555"/>
      <c r="G34" s="558" t="s">
        <v>85</v>
      </c>
      <c r="H34" s="556"/>
      <c r="I34" s="144">
        <f>H34*F$114</f>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16696.5</v>
      </c>
      <c r="G36" s="560">
        <f t="shared" si="2"/>
        <v>28595</v>
      </c>
      <c r="H36" s="560">
        <f t="shared" si="2"/>
        <v>941300</v>
      </c>
      <c r="I36" s="557">
        <f t="shared" si="2"/>
        <v>778455.09600000002</v>
      </c>
      <c r="J36" s="557">
        <f t="shared" si="2"/>
        <v>13415</v>
      </c>
      <c r="K36" s="557">
        <f t="shared" si="2"/>
        <v>1706340.0959999999</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13025</v>
      </c>
      <c r="G40" s="555">
        <v>52100</v>
      </c>
      <c r="H40" s="556">
        <v>1708720</v>
      </c>
      <c r="I40" s="144">
        <v>0</v>
      </c>
      <c r="J40" s="556">
        <v>0</v>
      </c>
      <c r="K40" s="557">
        <f t="shared" ref="K40:K47" si="3">(H40+I40)-J40</f>
        <v>1708720</v>
      </c>
    </row>
    <row r="41" spans="1:11" ht="18" customHeight="1" x14ac:dyDescent="0.4">
      <c r="A41" s="183" t="s">
        <v>88</v>
      </c>
      <c r="B41" s="956" t="s">
        <v>50</v>
      </c>
      <c r="C41" s="957"/>
      <c r="F41" s="555">
        <v>2063</v>
      </c>
      <c r="G41" s="555">
        <v>13411</v>
      </c>
      <c r="H41" s="556">
        <v>88904</v>
      </c>
      <c r="I41" s="144">
        <v>0</v>
      </c>
      <c r="J41" s="556">
        <v>0</v>
      </c>
      <c r="K41" s="557">
        <f t="shared" si="3"/>
        <v>88904</v>
      </c>
    </row>
    <row r="42" spans="1:11" ht="18" customHeight="1" x14ac:dyDescent="0.4">
      <c r="A42" s="183" t="s">
        <v>89</v>
      </c>
      <c r="B42" s="116" t="s">
        <v>11</v>
      </c>
      <c r="F42" s="555">
        <v>1055</v>
      </c>
      <c r="G42" s="555">
        <v>5978</v>
      </c>
      <c r="H42" s="556">
        <v>44811</v>
      </c>
      <c r="I42" s="144">
        <v>0</v>
      </c>
      <c r="J42" s="556">
        <v>0</v>
      </c>
      <c r="K42" s="557">
        <f t="shared" si="3"/>
        <v>44811</v>
      </c>
    </row>
    <row r="43" spans="1:11" ht="18" customHeight="1" x14ac:dyDescent="0.4">
      <c r="A43" s="183" t="s">
        <v>90</v>
      </c>
      <c r="B43" s="141" t="s">
        <v>10</v>
      </c>
      <c r="C43" s="123"/>
      <c r="D43" s="123"/>
      <c r="F43" s="555">
        <v>0</v>
      </c>
      <c r="G43" s="555">
        <v>0</v>
      </c>
      <c r="H43" s="556">
        <v>0</v>
      </c>
      <c r="I43" s="144">
        <v>0</v>
      </c>
      <c r="J43" s="556">
        <v>0</v>
      </c>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16143</v>
      </c>
      <c r="G49" s="563">
        <f t="shared" si="4"/>
        <v>71489</v>
      </c>
      <c r="H49" s="557">
        <f t="shared" si="4"/>
        <v>1842435</v>
      </c>
      <c r="I49" s="557">
        <f t="shared" si="4"/>
        <v>0</v>
      </c>
      <c r="J49" s="557">
        <f t="shared" si="4"/>
        <v>0</v>
      </c>
      <c r="K49" s="557">
        <f t="shared" si="4"/>
        <v>1842435</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94</v>
      </c>
      <c r="B53" s="702" t="s">
        <v>334</v>
      </c>
      <c r="C53" s="703"/>
      <c r="D53" s="704"/>
      <c r="F53" s="561">
        <v>300</v>
      </c>
      <c r="G53" s="561">
        <v>7408</v>
      </c>
      <c r="H53" s="700">
        <v>4749722</v>
      </c>
      <c r="I53" s="146">
        <f>H53*0.663</f>
        <v>3149065.6860000002</v>
      </c>
      <c r="J53" s="700">
        <v>0</v>
      </c>
      <c r="K53" s="701">
        <f t="shared" ref="K53:K61" si="5">(H53+I53)-J53</f>
        <v>7898787.6860000007</v>
      </c>
    </row>
    <row r="54" spans="1:11" ht="18" customHeight="1" x14ac:dyDescent="0.4">
      <c r="A54" s="183" t="s">
        <v>633</v>
      </c>
      <c r="B54" s="705" t="s">
        <v>634</v>
      </c>
      <c r="C54" s="706"/>
      <c r="D54" s="704"/>
      <c r="F54" s="643">
        <v>30746</v>
      </c>
      <c r="G54" s="643">
        <v>21546</v>
      </c>
      <c r="H54" s="707">
        <v>6254681</v>
      </c>
      <c r="I54" s="146">
        <v>3301868</v>
      </c>
      <c r="J54" s="701">
        <v>3496707</v>
      </c>
      <c r="K54" s="701">
        <f t="shared" si="5"/>
        <v>6059842</v>
      </c>
    </row>
    <row r="55" spans="1:11" ht="18" customHeight="1" x14ac:dyDescent="0.4">
      <c r="A55" s="183" t="s">
        <v>98</v>
      </c>
      <c r="B55" s="708" t="s">
        <v>376</v>
      </c>
      <c r="C55" s="706"/>
      <c r="D55" s="704"/>
      <c r="F55" s="561">
        <v>54789</v>
      </c>
      <c r="G55" s="561">
        <v>18055</v>
      </c>
      <c r="H55" s="700">
        <v>12860204</v>
      </c>
      <c r="I55" s="146">
        <v>2631245</v>
      </c>
      <c r="J55" s="700">
        <v>10640282</v>
      </c>
      <c r="K55" s="701">
        <f t="shared" si="5"/>
        <v>4851167</v>
      </c>
    </row>
    <row r="56" spans="1:11" ht="18" customHeight="1" x14ac:dyDescent="0.4">
      <c r="A56" s="183" t="s">
        <v>97</v>
      </c>
      <c r="B56" s="708" t="s">
        <v>375</v>
      </c>
      <c r="C56" s="706"/>
      <c r="D56" s="704"/>
      <c r="F56" s="643">
        <v>69522</v>
      </c>
      <c r="G56" s="643">
        <v>35136</v>
      </c>
      <c r="H56" s="707">
        <v>7054209</v>
      </c>
      <c r="I56" s="146">
        <v>3121427</v>
      </c>
      <c r="J56" s="701">
        <v>5962544</v>
      </c>
      <c r="K56" s="701">
        <f t="shared" si="5"/>
        <v>4213092</v>
      </c>
    </row>
    <row r="57" spans="1:11" ht="18" customHeight="1" x14ac:dyDescent="0.4">
      <c r="A57" s="183" t="s">
        <v>635</v>
      </c>
      <c r="B57" s="705" t="s">
        <v>636</v>
      </c>
      <c r="C57" s="706"/>
      <c r="D57" s="704"/>
      <c r="F57" s="643">
        <v>20879</v>
      </c>
      <c r="G57" s="643">
        <v>11047</v>
      </c>
      <c r="H57" s="707">
        <v>4532054</v>
      </c>
      <c r="I57" s="146">
        <v>2121203</v>
      </c>
      <c r="J57" s="701">
        <v>2956326</v>
      </c>
      <c r="K57" s="701">
        <f t="shared" si="5"/>
        <v>3696931</v>
      </c>
    </row>
    <row r="58" spans="1:11" ht="18" customHeight="1" x14ac:dyDescent="0.4">
      <c r="A58" s="183" t="s">
        <v>637</v>
      </c>
      <c r="B58" s="705" t="s">
        <v>638</v>
      </c>
      <c r="C58" s="706"/>
      <c r="D58" s="704"/>
      <c r="F58" s="643">
        <v>24219</v>
      </c>
      <c r="G58" s="643">
        <v>13611</v>
      </c>
      <c r="H58" s="707">
        <v>3947221</v>
      </c>
      <c r="I58" s="146">
        <v>2021586</v>
      </c>
      <c r="J58" s="701">
        <v>2450123</v>
      </c>
      <c r="K58" s="701">
        <f t="shared" si="5"/>
        <v>3518684</v>
      </c>
    </row>
    <row r="59" spans="1:11" ht="18" customHeight="1" x14ac:dyDescent="0.4">
      <c r="A59" s="183" t="s">
        <v>96</v>
      </c>
      <c r="B59" s="708" t="s">
        <v>374</v>
      </c>
      <c r="C59" s="706"/>
      <c r="D59" s="704"/>
      <c r="F59" s="561">
        <v>39239</v>
      </c>
      <c r="G59" s="561">
        <v>19155</v>
      </c>
      <c r="H59" s="700">
        <v>4854131</v>
      </c>
      <c r="I59" s="146">
        <v>2107048</v>
      </c>
      <c r="J59" s="700">
        <v>4463880</v>
      </c>
      <c r="K59" s="701">
        <f t="shared" si="5"/>
        <v>2497299</v>
      </c>
    </row>
    <row r="60" spans="1:11" ht="18" customHeight="1" x14ac:dyDescent="0.4">
      <c r="A60" s="183" t="s">
        <v>101</v>
      </c>
      <c r="B60" s="708" t="s">
        <v>759</v>
      </c>
      <c r="C60" s="706"/>
      <c r="D60" s="704"/>
      <c r="F60" s="561">
        <v>35500</v>
      </c>
      <c r="G60" s="561">
        <v>7451</v>
      </c>
      <c r="H60" s="700">
        <v>1839859</v>
      </c>
      <c r="I60" s="146">
        <v>1031041</v>
      </c>
      <c r="J60" s="700">
        <v>607580</v>
      </c>
      <c r="K60" s="701">
        <f t="shared" si="5"/>
        <v>2263320</v>
      </c>
    </row>
    <row r="61" spans="1:11" ht="18" customHeight="1" x14ac:dyDescent="0.4">
      <c r="A61" s="183" t="s">
        <v>51</v>
      </c>
      <c r="B61" s="708" t="s">
        <v>760</v>
      </c>
      <c r="C61" s="706"/>
      <c r="D61" s="704"/>
      <c r="F61" s="561">
        <v>31849</v>
      </c>
      <c r="G61" s="561">
        <v>29654</v>
      </c>
      <c r="H61" s="700">
        <v>4339489</v>
      </c>
      <c r="I61" s="146">
        <v>1833530</v>
      </c>
      <c r="J61" s="700">
        <v>4118688</v>
      </c>
      <c r="K61" s="701">
        <f t="shared" si="5"/>
        <v>2054331</v>
      </c>
    </row>
    <row r="62" spans="1:11" ht="18" customHeight="1" x14ac:dyDescent="0.4">
      <c r="A62" s="183" t="s">
        <v>99</v>
      </c>
      <c r="B62" s="709" t="s">
        <v>233</v>
      </c>
      <c r="C62" s="706"/>
      <c r="D62" s="704"/>
      <c r="F62" s="561">
        <v>74192</v>
      </c>
      <c r="G62" s="561">
        <v>44197</v>
      </c>
      <c r="H62" s="700">
        <v>9671678</v>
      </c>
      <c r="I62" s="146">
        <v>4583123</v>
      </c>
      <c r="J62" s="700">
        <v>7470394</v>
      </c>
      <c r="K62" s="701">
        <v>6784407</v>
      </c>
    </row>
    <row r="63" spans="1:11" ht="18" customHeight="1" x14ac:dyDescent="0.4">
      <c r="A63" s="183"/>
      <c r="I63" s="140"/>
    </row>
    <row r="64" spans="1:11" ht="18" customHeight="1" x14ac:dyDescent="0.4">
      <c r="A64" s="183" t="s">
        <v>144</v>
      </c>
      <c r="B64" s="117" t="s">
        <v>145</v>
      </c>
      <c r="E64" s="117" t="s">
        <v>7</v>
      </c>
      <c r="F64" s="560">
        <f t="shared" ref="F64:K64" si="6">SUM(F53:F63)</f>
        <v>381235</v>
      </c>
      <c r="G64" s="560">
        <f t="shared" si="6"/>
        <v>207260</v>
      </c>
      <c r="H64" s="557">
        <f t="shared" si="6"/>
        <v>60103248</v>
      </c>
      <c r="I64" s="557">
        <f t="shared" si="6"/>
        <v>25901136.686000001</v>
      </c>
      <c r="J64" s="557">
        <f t="shared" si="6"/>
        <v>42166524</v>
      </c>
      <c r="K64" s="557">
        <f t="shared" si="6"/>
        <v>43837860.686000004</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v>0</v>
      </c>
      <c r="G68" s="564">
        <v>0</v>
      </c>
      <c r="H68" s="564">
        <v>0</v>
      </c>
      <c r="I68" s="144">
        <v>0</v>
      </c>
      <c r="J68" s="564">
        <v>0</v>
      </c>
      <c r="K68" s="557">
        <f>(H68+I68)-J68</f>
        <v>0</v>
      </c>
    </row>
    <row r="69" spans="1:11" ht="18" customHeight="1" x14ac:dyDescent="0.4">
      <c r="A69" s="183" t="s">
        <v>104</v>
      </c>
      <c r="B69" s="116" t="s">
        <v>53</v>
      </c>
      <c r="F69" s="564">
        <v>0</v>
      </c>
      <c r="G69" s="564">
        <v>0</v>
      </c>
      <c r="H69" s="564">
        <v>0</v>
      </c>
      <c r="I69" s="144">
        <v>0</v>
      </c>
      <c r="J69" s="564">
        <v>0</v>
      </c>
      <c r="K69" s="557">
        <f>(H69+I69)-J69</f>
        <v>0</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0</v>
      </c>
      <c r="G74" s="566">
        <f t="shared" si="7"/>
        <v>0</v>
      </c>
      <c r="H74" s="566">
        <f t="shared" si="7"/>
        <v>0</v>
      </c>
      <c r="I74" s="145">
        <f t="shared" si="7"/>
        <v>0</v>
      </c>
      <c r="J74" s="566">
        <f t="shared" si="7"/>
        <v>0</v>
      </c>
      <c r="K74" s="567">
        <f t="shared" si="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v>0</v>
      </c>
      <c r="G77" s="555">
        <v>0</v>
      </c>
      <c r="H77" s="556">
        <v>119209</v>
      </c>
      <c r="I77" s="144">
        <v>0</v>
      </c>
      <c r="J77" s="556">
        <v>0</v>
      </c>
      <c r="K77" s="557">
        <f>(H77+I77)-J77</f>
        <v>119209</v>
      </c>
    </row>
    <row r="78" spans="1:11" ht="18" customHeight="1" x14ac:dyDescent="0.4">
      <c r="A78" s="183" t="s">
        <v>108</v>
      </c>
      <c r="B78" s="116" t="s">
        <v>55</v>
      </c>
      <c r="F78" s="555">
        <v>0</v>
      </c>
      <c r="G78" s="555">
        <v>0</v>
      </c>
      <c r="H78" s="556">
        <v>0</v>
      </c>
      <c r="I78" s="144">
        <v>0</v>
      </c>
      <c r="J78" s="556">
        <v>0</v>
      </c>
      <c r="K78" s="557">
        <f>(H78+I78)-J78</f>
        <v>0</v>
      </c>
    </row>
    <row r="79" spans="1:11" ht="18" customHeight="1" x14ac:dyDescent="0.4">
      <c r="A79" s="183" t="s">
        <v>109</v>
      </c>
      <c r="B79" s="116" t="s">
        <v>13</v>
      </c>
      <c r="F79" s="561">
        <v>1000</v>
      </c>
      <c r="G79" s="561">
        <v>3300</v>
      </c>
      <c r="H79" s="700">
        <v>184115</v>
      </c>
      <c r="I79" s="144">
        <v>0</v>
      </c>
      <c r="J79" s="556">
        <v>15399</v>
      </c>
      <c r="K79" s="557">
        <f>(H79+I79)-J79</f>
        <v>168716</v>
      </c>
    </row>
    <row r="80" spans="1:11" ht="18" customHeight="1" x14ac:dyDescent="0.4">
      <c r="A80" s="183" t="s">
        <v>110</v>
      </c>
      <c r="B80" s="116" t="s">
        <v>56</v>
      </c>
      <c r="F80" s="555">
        <v>0</v>
      </c>
      <c r="G80" s="555">
        <v>0</v>
      </c>
      <c r="H80" s="556">
        <v>0</v>
      </c>
      <c r="I80" s="144">
        <v>0</v>
      </c>
      <c r="J80" s="556">
        <v>0</v>
      </c>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1000</v>
      </c>
      <c r="G82" s="566">
        <f t="shared" si="8"/>
        <v>3300</v>
      </c>
      <c r="H82" s="567">
        <f t="shared" si="8"/>
        <v>303324</v>
      </c>
      <c r="I82" s="567">
        <f t="shared" si="8"/>
        <v>0</v>
      </c>
      <c r="J82" s="567">
        <f t="shared" si="8"/>
        <v>15399</v>
      </c>
      <c r="K82" s="567">
        <f t="shared" si="8"/>
        <v>287925</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0</v>
      </c>
      <c r="G86" s="555">
        <v>0</v>
      </c>
      <c r="H86" s="556">
        <v>0</v>
      </c>
      <c r="I86" s="144">
        <f t="shared" ref="I86:I96" si="9">H86*F$114</f>
        <v>0</v>
      </c>
      <c r="J86" s="556">
        <v>0</v>
      </c>
      <c r="K86" s="557">
        <f t="shared" ref="K86:K96" si="10">(H86+I86)-J86</f>
        <v>0</v>
      </c>
    </row>
    <row r="87" spans="1:11" ht="18" customHeight="1" x14ac:dyDescent="0.4">
      <c r="A87" s="183" t="s">
        <v>114</v>
      </c>
      <c r="B87" s="116" t="s">
        <v>14</v>
      </c>
      <c r="F87" s="555">
        <v>0</v>
      </c>
      <c r="G87" s="555">
        <v>0</v>
      </c>
      <c r="H87" s="556">
        <v>0</v>
      </c>
      <c r="I87" s="144">
        <f t="shared" si="9"/>
        <v>0</v>
      </c>
      <c r="J87" s="556">
        <v>0</v>
      </c>
      <c r="K87" s="557">
        <f t="shared" si="10"/>
        <v>0</v>
      </c>
    </row>
    <row r="88" spans="1:11" ht="18" customHeight="1" x14ac:dyDescent="0.4">
      <c r="A88" s="183" t="s">
        <v>115</v>
      </c>
      <c r="B88" s="116" t="s">
        <v>116</v>
      </c>
      <c r="F88" s="561">
        <v>0</v>
      </c>
      <c r="G88" s="561">
        <v>0</v>
      </c>
      <c r="H88" s="700">
        <v>0</v>
      </c>
      <c r="I88" s="144">
        <f t="shared" si="9"/>
        <v>0</v>
      </c>
      <c r="J88" s="556">
        <v>0</v>
      </c>
      <c r="K88" s="557">
        <f t="shared" si="10"/>
        <v>0</v>
      </c>
    </row>
    <row r="89" spans="1:11" ht="18" customHeight="1" x14ac:dyDescent="0.4">
      <c r="A89" s="183" t="s">
        <v>117</v>
      </c>
      <c r="B89" s="116" t="s">
        <v>58</v>
      </c>
      <c r="F89" s="555">
        <v>0</v>
      </c>
      <c r="G89" s="555">
        <v>0</v>
      </c>
      <c r="H89" s="556">
        <v>0</v>
      </c>
      <c r="I89" s="144">
        <f t="shared" si="9"/>
        <v>0</v>
      </c>
      <c r="J89" s="556">
        <v>0</v>
      </c>
      <c r="K89" s="557">
        <f t="shared" si="10"/>
        <v>0</v>
      </c>
    </row>
    <row r="90" spans="1:11" ht="18" customHeight="1" x14ac:dyDescent="0.4">
      <c r="A90" s="183" t="s">
        <v>118</v>
      </c>
      <c r="B90" s="956" t="s">
        <v>59</v>
      </c>
      <c r="C90" s="957"/>
      <c r="F90" s="555">
        <v>0</v>
      </c>
      <c r="G90" s="555">
        <v>0</v>
      </c>
      <c r="H90" s="556">
        <v>0</v>
      </c>
      <c r="I90" s="144">
        <f t="shared" si="9"/>
        <v>0</v>
      </c>
      <c r="J90" s="556">
        <v>0</v>
      </c>
      <c r="K90" s="557">
        <f t="shared" si="10"/>
        <v>0</v>
      </c>
    </row>
    <row r="91" spans="1:11" ht="18" customHeight="1" x14ac:dyDescent="0.4">
      <c r="A91" s="183" t="s">
        <v>119</v>
      </c>
      <c r="B91" s="116" t="s">
        <v>60</v>
      </c>
      <c r="F91" s="555">
        <v>1505.5</v>
      </c>
      <c r="G91" s="555">
        <v>0</v>
      </c>
      <c r="H91" s="556">
        <v>68992</v>
      </c>
      <c r="I91" s="144">
        <f t="shared" si="9"/>
        <v>57056.383999999998</v>
      </c>
      <c r="J91" s="556">
        <v>0</v>
      </c>
      <c r="K91" s="557">
        <f t="shared" si="10"/>
        <v>126048.38399999999</v>
      </c>
    </row>
    <row r="92" spans="1:11" ht="18" customHeight="1" x14ac:dyDescent="0.4">
      <c r="A92" s="183" t="s">
        <v>120</v>
      </c>
      <c r="B92" s="116" t="s">
        <v>121</v>
      </c>
      <c r="F92" s="134">
        <v>0</v>
      </c>
      <c r="G92" s="134">
        <v>0</v>
      </c>
      <c r="H92" s="135">
        <v>0</v>
      </c>
      <c r="I92" s="144">
        <f t="shared" si="9"/>
        <v>0</v>
      </c>
      <c r="J92" s="135">
        <v>0</v>
      </c>
      <c r="K92" s="557">
        <f t="shared" si="10"/>
        <v>0</v>
      </c>
    </row>
    <row r="93" spans="1:11" ht="18" customHeight="1" x14ac:dyDescent="0.4">
      <c r="A93" s="183" t="s">
        <v>122</v>
      </c>
      <c r="B93" s="116" t="s">
        <v>123</v>
      </c>
      <c r="F93" s="561">
        <v>2080</v>
      </c>
      <c r="G93" s="561">
        <v>0</v>
      </c>
      <c r="H93" s="700">
        <v>705679</v>
      </c>
      <c r="I93" s="146">
        <f t="shared" si="9"/>
        <v>583596.53299999994</v>
      </c>
      <c r="J93" s="700">
        <v>0</v>
      </c>
      <c r="K93" s="701">
        <f t="shared" si="10"/>
        <v>1289275.5329999998</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3585.5</v>
      </c>
      <c r="G98" s="560">
        <f t="shared" si="11"/>
        <v>0</v>
      </c>
      <c r="H98" s="560">
        <f t="shared" si="11"/>
        <v>774671</v>
      </c>
      <c r="I98" s="560">
        <f t="shared" si="11"/>
        <v>640652.9169999999</v>
      </c>
      <c r="J98" s="560">
        <f t="shared" si="11"/>
        <v>0</v>
      </c>
      <c r="K98" s="560">
        <f t="shared" si="11"/>
        <v>1415323.9169999999</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197</v>
      </c>
      <c r="G102" s="555">
        <v>0</v>
      </c>
      <c r="H102" s="556">
        <v>11858</v>
      </c>
      <c r="I102" s="144">
        <f>H102*F$114</f>
        <v>9806.5659999999989</v>
      </c>
      <c r="J102" s="556">
        <v>0</v>
      </c>
      <c r="K102" s="557">
        <f>(H102+I102)-J102</f>
        <v>21664.565999999999</v>
      </c>
    </row>
    <row r="103" spans="1:11" ht="18" customHeight="1" x14ac:dyDescent="0.4">
      <c r="A103" s="183" t="s">
        <v>132</v>
      </c>
      <c r="B103" s="956" t="s">
        <v>62</v>
      </c>
      <c r="C103" s="956"/>
      <c r="F103" s="555">
        <v>63</v>
      </c>
      <c r="G103" s="555">
        <v>0</v>
      </c>
      <c r="H103" s="556">
        <v>1896</v>
      </c>
      <c r="I103" s="144">
        <f>H103*F$114</f>
        <v>1567.992</v>
      </c>
      <c r="J103" s="556">
        <v>0</v>
      </c>
      <c r="K103" s="557">
        <f>(H103+I103)-J103</f>
        <v>3463.9920000000002</v>
      </c>
    </row>
    <row r="104" spans="1:11" ht="18" customHeight="1" x14ac:dyDescent="0.4">
      <c r="A104" s="183" t="s">
        <v>128</v>
      </c>
      <c r="B104" s="503" t="s">
        <v>433</v>
      </c>
      <c r="C104" s="504"/>
      <c r="D104" s="505"/>
      <c r="F104" s="555">
        <v>0</v>
      </c>
      <c r="G104" s="555">
        <v>0</v>
      </c>
      <c r="H104" s="556">
        <v>1245</v>
      </c>
      <c r="I104" s="144">
        <f>H104*F$114</f>
        <v>1029.615</v>
      </c>
      <c r="J104" s="556">
        <v>0</v>
      </c>
      <c r="K104" s="557">
        <f>(H104+I104)-J104</f>
        <v>2274.6149999999998</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260</v>
      </c>
      <c r="G108" s="560">
        <f t="shared" si="12"/>
        <v>0</v>
      </c>
      <c r="H108" s="557">
        <f t="shared" si="12"/>
        <v>14999</v>
      </c>
      <c r="I108" s="557">
        <f t="shared" si="12"/>
        <v>12404.172999999999</v>
      </c>
      <c r="J108" s="557">
        <f t="shared" si="12"/>
        <v>0</v>
      </c>
      <c r="K108" s="557">
        <f t="shared" si="12"/>
        <v>27403.172999999995</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710">
        <v>10860972</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711">
        <v>0.82699999999999996</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710">
        <v>332460820</v>
      </c>
    </row>
    <row r="118" spans="1:6" ht="18" customHeight="1" x14ac:dyDescent="0.4">
      <c r="A118" s="183" t="s">
        <v>173</v>
      </c>
      <c r="B118" s="189" t="s">
        <v>18</v>
      </c>
      <c r="F118" s="710">
        <v>7327295</v>
      </c>
    </row>
    <row r="119" spans="1:6" ht="18" customHeight="1" x14ac:dyDescent="0.4">
      <c r="A119" s="183" t="s">
        <v>174</v>
      </c>
      <c r="B119" s="117" t="s">
        <v>19</v>
      </c>
      <c r="F119" s="712">
        <f>SUM(F117:F118)</f>
        <v>339788115</v>
      </c>
    </row>
    <row r="120" spans="1:6" ht="18" customHeight="1" x14ac:dyDescent="0.4">
      <c r="A120" s="183"/>
      <c r="B120" s="117"/>
      <c r="F120" s="186"/>
    </row>
    <row r="121" spans="1:6" ht="18" customHeight="1" x14ac:dyDescent="0.4">
      <c r="A121" s="183" t="s">
        <v>167</v>
      </c>
      <c r="B121" s="117" t="s">
        <v>36</v>
      </c>
      <c r="F121" s="710">
        <v>330368433</v>
      </c>
    </row>
    <row r="122" spans="1:6" ht="18" customHeight="1" x14ac:dyDescent="0.4">
      <c r="A122" s="183"/>
      <c r="F122" s="186"/>
    </row>
    <row r="123" spans="1:6" ht="18" customHeight="1" x14ac:dyDescent="0.4">
      <c r="A123" s="183" t="s">
        <v>175</v>
      </c>
      <c r="B123" s="117" t="s">
        <v>20</v>
      </c>
      <c r="F123" s="710">
        <v>9419682</v>
      </c>
    </row>
    <row r="124" spans="1:6" ht="18" customHeight="1" x14ac:dyDescent="0.4">
      <c r="A124" s="183"/>
      <c r="F124" s="186"/>
    </row>
    <row r="125" spans="1:6" ht="18" customHeight="1" x14ac:dyDescent="0.4">
      <c r="A125" s="183" t="s">
        <v>176</v>
      </c>
      <c r="B125" s="117" t="s">
        <v>21</v>
      </c>
      <c r="F125" s="710">
        <v>11097650</v>
      </c>
    </row>
    <row r="126" spans="1:6" ht="18" customHeight="1" x14ac:dyDescent="0.4">
      <c r="A126" s="183"/>
      <c r="F126" s="186"/>
    </row>
    <row r="127" spans="1:6" ht="18" customHeight="1" x14ac:dyDescent="0.4">
      <c r="A127" s="183" t="s">
        <v>177</v>
      </c>
      <c r="B127" s="117" t="s">
        <v>22</v>
      </c>
      <c r="F127" s="710">
        <v>20517332</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v>122</v>
      </c>
      <c r="G131" s="555">
        <v>339</v>
      </c>
      <c r="H131" s="556">
        <v>40130</v>
      </c>
      <c r="I131" s="144">
        <v>0</v>
      </c>
      <c r="J131" s="556">
        <v>35901</v>
      </c>
      <c r="K131" s="557">
        <f>(H131+I131)-J131</f>
        <v>4229</v>
      </c>
    </row>
    <row r="132" spans="1:11" ht="18" customHeight="1" x14ac:dyDescent="0.4">
      <c r="A132" s="183" t="s">
        <v>159</v>
      </c>
      <c r="B132" s="189" t="s">
        <v>25</v>
      </c>
      <c r="F132" s="555">
        <v>4</v>
      </c>
      <c r="G132" s="555">
        <v>869</v>
      </c>
      <c r="H132" s="556">
        <v>46655</v>
      </c>
      <c r="I132" s="144">
        <v>0</v>
      </c>
      <c r="J132" s="556">
        <v>46500</v>
      </c>
      <c r="K132" s="557">
        <f>(H132+I132)-J132</f>
        <v>155</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126</v>
      </c>
      <c r="G137" s="560">
        <f t="shared" si="13"/>
        <v>1208</v>
      </c>
      <c r="H137" s="557">
        <f t="shared" si="13"/>
        <v>86785</v>
      </c>
      <c r="I137" s="557">
        <f t="shared" si="13"/>
        <v>0</v>
      </c>
      <c r="J137" s="557">
        <f t="shared" si="13"/>
        <v>82401</v>
      </c>
      <c r="K137" s="557">
        <f t="shared" si="13"/>
        <v>4384</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16696.5</v>
      </c>
      <c r="G141" s="136">
        <f t="shared" si="14"/>
        <v>28595</v>
      </c>
      <c r="H141" s="136">
        <f t="shared" si="14"/>
        <v>941300</v>
      </c>
      <c r="I141" s="136">
        <f t="shared" si="14"/>
        <v>778455.09600000002</v>
      </c>
      <c r="J141" s="136">
        <f t="shared" si="14"/>
        <v>13415</v>
      </c>
      <c r="K141" s="136">
        <f t="shared" si="14"/>
        <v>1706340.0959999999</v>
      </c>
    </row>
    <row r="142" spans="1:11" ht="18" customHeight="1" x14ac:dyDescent="0.4">
      <c r="A142" s="183" t="s">
        <v>142</v>
      </c>
      <c r="B142" s="117" t="s">
        <v>65</v>
      </c>
      <c r="F142" s="136">
        <f t="shared" ref="F142:K142" si="15">F49</f>
        <v>16143</v>
      </c>
      <c r="G142" s="136">
        <f t="shared" si="15"/>
        <v>71489</v>
      </c>
      <c r="H142" s="136">
        <f t="shared" si="15"/>
        <v>1842435</v>
      </c>
      <c r="I142" s="136">
        <f t="shared" si="15"/>
        <v>0</v>
      </c>
      <c r="J142" s="136">
        <f t="shared" si="15"/>
        <v>0</v>
      </c>
      <c r="K142" s="136">
        <f t="shared" si="15"/>
        <v>1842435</v>
      </c>
    </row>
    <row r="143" spans="1:11" ht="18" customHeight="1" x14ac:dyDescent="0.4">
      <c r="A143" s="183" t="s">
        <v>144</v>
      </c>
      <c r="B143" s="117" t="s">
        <v>66</v>
      </c>
      <c r="F143" s="136">
        <f t="shared" ref="F143:K143" si="16">F64</f>
        <v>381235</v>
      </c>
      <c r="G143" s="136">
        <f t="shared" si="16"/>
        <v>207260</v>
      </c>
      <c r="H143" s="136">
        <f t="shared" si="16"/>
        <v>60103248</v>
      </c>
      <c r="I143" s="136">
        <f t="shared" si="16"/>
        <v>25901136.686000001</v>
      </c>
      <c r="J143" s="136">
        <f t="shared" si="16"/>
        <v>42166524</v>
      </c>
      <c r="K143" s="136">
        <f t="shared" si="16"/>
        <v>43837860.686000004</v>
      </c>
    </row>
    <row r="144" spans="1:11" ht="18" customHeight="1" x14ac:dyDescent="0.4">
      <c r="A144" s="183" t="s">
        <v>146</v>
      </c>
      <c r="B144" s="117" t="s">
        <v>67</v>
      </c>
      <c r="F144" s="136">
        <f t="shared" ref="F144:K144" si="17">F74</f>
        <v>0</v>
      </c>
      <c r="G144" s="136">
        <f t="shared" si="17"/>
        <v>0</v>
      </c>
      <c r="H144" s="136">
        <f t="shared" si="17"/>
        <v>0</v>
      </c>
      <c r="I144" s="136">
        <f t="shared" si="17"/>
        <v>0</v>
      </c>
      <c r="J144" s="136">
        <f t="shared" si="17"/>
        <v>0</v>
      </c>
      <c r="K144" s="136">
        <f t="shared" si="17"/>
        <v>0</v>
      </c>
    </row>
    <row r="145" spans="1:11" ht="18" customHeight="1" x14ac:dyDescent="0.4">
      <c r="A145" s="183" t="s">
        <v>148</v>
      </c>
      <c r="B145" s="117" t="s">
        <v>68</v>
      </c>
      <c r="F145" s="136">
        <f t="shared" ref="F145:K145" si="18">F82</f>
        <v>1000</v>
      </c>
      <c r="G145" s="136">
        <f t="shared" si="18"/>
        <v>3300</v>
      </c>
      <c r="H145" s="136">
        <f t="shared" si="18"/>
        <v>303324</v>
      </c>
      <c r="I145" s="136">
        <f t="shared" si="18"/>
        <v>0</v>
      </c>
      <c r="J145" s="136">
        <f t="shared" si="18"/>
        <v>15399</v>
      </c>
      <c r="K145" s="136">
        <f t="shared" si="18"/>
        <v>287925</v>
      </c>
    </row>
    <row r="146" spans="1:11" ht="18" customHeight="1" x14ac:dyDescent="0.4">
      <c r="A146" s="183" t="s">
        <v>150</v>
      </c>
      <c r="B146" s="117" t="s">
        <v>69</v>
      </c>
      <c r="F146" s="136">
        <f t="shared" ref="F146:K146" si="19">F98</f>
        <v>3585.5</v>
      </c>
      <c r="G146" s="136">
        <f t="shared" si="19"/>
        <v>0</v>
      </c>
      <c r="H146" s="136">
        <f t="shared" si="19"/>
        <v>774671</v>
      </c>
      <c r="I146" s="136">
        <f t="shared" si="19"/>
        <v>640652.9169999999</v>
      </c>
      <c r="J146" s="136">
        <f t="shared" si="19"/>
        <v>0</v>
      </c>
      <c r="K146" s="136">
        <f t="shared" si="19"/>
        <v>1415323.9169999999</v>
      </c>
    </row>
    <row r="147" spans="1:11" ht="18" customHeight="1" x14ac:dyDescent="0.4">
      <c r="A147" s="183" t="s">
        <v>153</v>
      </c>
      <c r="B147" s="117" t="s">
        <v>61</v>
      </c>
      <c r="F147" s="560">
        <f t="shared" ref="F147:K147" si="20">F108</f>
        <v>260</v>
      </c>
      <c r="G147" s="560">
        <f t="shared" si="20"/>
        <v>0</v>
      </c>
      <c r="H147" s="560">
        <f t="shared" si="20"/>
        <v>14999</v>
      </c>
      <c r="I147" s="560">
        <f t="shared" si="20"/>
        <v>12404.172999999999</v>
      </c>
      <c r="J147" s="560">
        <f t="shared" si="20"/>
        <v>0</v>
      </c>
      <c r="K147" s="560">
        <f t="shared" si="20"/>
        <v>27403.172999999995</v>
      </c>
    </row>
    <row r="148" spans="1:11" ht="18" customHeight="1" x14ac:dyDescent="0.4">
      <c r="A148" s="183" t="s">
        <v>155</v>
      </c>
      <c r="B148" s="117" t="s">
        <v>70</v>
      </c>
      <c r="F148" s="137" t="s">
        <v>73</v>
      </c>
      <c r="G148" s="137" t="s">
        <v>73</v>
      </c>
      <c r="H148" s="138" t="s">
        <v>73</v>
      </c>
      <c r="I148" s="138" t="s">
        <v>73</v>
      </c>
      <c r="J148" s="138" t="s">
        <v>73</v>
      </c>
      <c r="K148" s="133">
        <f>F111</f>
        <v>10860972</v>
      </c>
    </row>
    <row r="149" spans="1:11" ht="18" customHeight="1" x14ac:dyDescent="0.4">
      <c r="A149" s="183" t="s">
        <v>163</v>
      </c>
      <c r="B149" s="117" t="s">
        <v>71</v>
      </c>
      <c r="F149" s="560">
        <f t="shared" ref="F149:K149" si="21">F137</f>
        <v>126</v>
      </c>
      <c r="G149" s="560">
        <f t="shared" si="21"/>
        <v>1208</v>
      </c>
      <c r="H149" s="560">
        <f t="shared" si="21"/>
        <v>86785</v>
      </c>
      <c r="I149" s="560">
        <f t="shared" si="21"/>
        <v>0</v>
      </c>
      <c r="J149" s="560">
        <f t="shared" si="21"/>
        <v>82401</v>
      </c>
      <c r="K149" s="560">
        <f t="shared" si="21"/>
        <v>4384</v>
      </c>
    </row>
    <row r="150" spans="1:11" ht="18" customHeight="1" x14ac:dyDescent="0.4">
      <c r="A150" s="183" t="s">
        <v>185</v>
      </c>
      <c r="B150" s="117" t="s">
        <v>186</v>
      </c>
      <c r="F150" s="137" t="s">
        <v>73</v>
      </c>
      <c r="G150" s="137" t="s">
        <v>73</v>
      </c>
      <c r="H150" s="560">
        <f>H18</f>
        <v>6181825</v>
      </c>
      <c r="I150" s="560">
        <f>I18</f>
        <v>0</v>
      </c>
      <c r="J150" s="560">
        <f>J18</f>
        <v>5139119</v>
      </c>
      <c r="K150" s="560">
        <f>K18</f>
        <v>1042706</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419046</v>
      </c>
      <c r="G152" s="143">
        <f t="shared" si="22"/>
        <v>311852</v>
      </c>
      <c r="H152" s="143">
        <f t="shared" si="22"/>
        <v>70248587</v>
      </c>
      <c r="I152" s="143">
        <f t="shared" si="22"/>
        <v>27332648.872000001</v>
      </c>
      <c r="J152" s="143">
        <f t="shared" si="22"/>
        <v>47416858</v>
      </c>
      <c r="K152" s="143">
        <f t="shared" si="22"/>
        <v>61025349.872000009</v>
      </c>
    </row>
    <row r="154" spans="1:11" ht="18" customHeight="1" x14ac:dyDescent="0.4">
      <c r="A154" s="120" t="s">
        <v>168</v>
      </c>
      <c r="B154" s="117" t="s">
        <v>28</v>
      </c>
      <c r="F154" s="571">
        <f>K152/F121</f>
        <v>0.18471907051724887</v>
      </c>
    </row>
    <row r="155" spans="1:11" ht="18" customHeight="1" x14ac:dyDescent="0.4">
      <c r="A155" s="120" t="s">
        <v>169</v>
      </c>
      <c r="B155" s="117" t="s">
        <v>72</v>
      </c>
      <c r="F155" s="571">
        <f>K152/F127</f>
        <v>2.9743316466292988</v>
      </c>
      <c r="G155" s="117"/>
    </row>
    <row r="156" spans="1:11" ht="18" customHeight="1" x14ac:dyDescent="0.4">
      <c r="G156" s="117"/>
    </row>
  </sheetData>
  <mergeCells count="27">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 ref="B52:C52"/>
    <mergeCell ref="B90:C90"/>
    <mergeCell ref="B134:D134"/>
    <mergeCell ref="B135:D135"/>
    <mergeCell ref="B133:D133"/>
    <mergeCell ref="B105:D105"/>
    <mergeCell ref="B106:D106"/>
    <mergeCell ref="B103:C103"/>
    <mergeCell ref="B96:D96"/>
    <mergeCell ref="B95:D95"/>
    <mergeCell ref="B94:D94"/>
  </mergeCells>
  <hyperlinks>
    <hyperlink ref="C11" r:id="rId1"/>
  </hyperlinks>
  <printOptions headings="1" gridLines="1"/>
  <pageMargins left="0.17" right="0.16" top="0.35" bottom="0.32" header="0.17" footer="0.17"/>
  <pageSetup scale="59" fitToHeight="3" orientation="landscape" horizontalDpi="1200"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156"/>
  <sheetViews>
    <sheetView topLeftCell="A49" zoomScale="80" zoomScaleNormal="80" workbookViewId="0">
      <selection activeCell="A2" sqref="A2"/>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595</v>
      </c>
      <c r="D5" s="962"/>
      <c r="E5" s="962"/>
      <c r="F5" s="962"/>
      <c r="G5" s="963"/>
    </row>
    <row r="6" spans="1:11" ht="18" customHeight="1" x14ac:dyDescent="0.4">
      <c r="B6" s="183" t="s">
        <v>3</v>
      </c>
      <c r="C6" s="1058">
        <v>210028</v>
      </c>
      <c r="D6" s="1059"/>
      <c r="E6" s="1059"/>
      <c r="F6" s="1059"/>
      <c r="G6" s="1060"/>
    </row>
    <row r="7" spans="1:11" ht="18" customHeight="1" x14ac:dyDescent="0.4">
      <c r="B7" s="183" t="s">
        <v>4</v>
      </c>
      <c r="C7" s="967">
        <v>1200</v>
      </c>
      <c r="D7" s="968"/>
      <c r="E7" s="968"/>
      <c r="F7" s="968"/>
      <c r="G7" s="969"/>
    </row>
    <row r="9" spans="1:11" ht="18" customHeight="1" x14ac:dyDescent="0.4">
      <c r="B9" s="183" t="s">
        <v>1</v>
      </c>
      <c r="C9" s="961" t="s">
        <v>469</v>
      </c>
      <c r="D9" s="962"/>
      <c r="E9" s="962"/>
      <c r="F9" s="962"/>
      <c r="G9" s="963"/>
    </row>
    <row r="10" spans="1:11" ht="18" customHeight="1" x14ac:dyDescent="0.4">
      <c r="B10" s="183" t="s">
        <v>2</v>
      </c>
      <c r="C10" s="970" t="s">
        <v>470</v>
      </c>
      <c r="D10" s="971"/>
      <c r="E10" s="971"/>
      <c r="F10" s="971"/>
      <c r="G10" s="972"/>
    </row>
    <row r="11" spans="1:11" ht="18" customHeight="1" x14ac:dyDescent="0.4">
      <c r="B11" s="183" t="s">
        <v>32</v>
      </c>
      <c r="C11" s="954" t="s">
        <v>471</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3541062.9699484385</v>
      </c>
      <c r="I18" s="144">
        <v>0</v>
      </c>
      <c r="J18" s="556">
        <v>2943782</v>
      </c>
      <c r="K18" s="557">
        <v>597280.96994843846</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3271</v>
      </c>
      <c r="G21" s="555">
        <v>8255</v>
      </c>
      <c r="H21" s="556">
        <v>149561</v>
      </c>
      <c r="I21" s="144">
        <v>88098</v>
      </c>
      <c r="J21" s="556">
        <v>14257</v>
      </c>
      <c r="K21" s="557">
        <v>223402</v>
      </c>
    </row>
    <row r="22" spans="1:11" ht="18" customHeight="1" x14ac:dyDescent="0.4">
      <c r="A22" s="183" t="s">
        <v>76</v>
      </c>
      <c r="B22" s="189" t="s">
        <v>6</v>
      </c>
      <c r="F22" s="555">
        <v>691</v>
      </c>
      <c r="G22" s="555">
        <v>787</v>
      </c>
      <c r="H22" s="556">
        <v>27731</v>
      </c>
      <c r="I22" s="144">
        <v>19884</v>
      </c>
      <c r="J22" s="556"/>
      <c r="K22" s="557">
        <v>47615</v>
      </c>
    </row>
    <row r="23" spans="1:11" ht="18" customHeight="1" x14ac:dyDescent="0.4">
      <c r="A23" s="183" t="s">
        <v>77</v>
      </c>
      <c r="B23" s="189" t="s">
        <v>43</v>
      </c>
      <c r="F23" s="555"/>
      <c r="G23" s="555"/>
      <c r="H23" s="556"/>
      <c r="I23" s="144">
        <v>0</v>
      </c>
      <c r="J23" s="556"/>
      <c r="K23" s="557">
        <v>0</v>
      </c>
    </row>
    <row r="24" spans="1:11" ht="18" customHeight="1" x14ac:dyDescent="0.4">
      <c r="A24" s="183" t="s">
        <v>78</v>
      </c>
      <c r="B24" s="189" t="s">
        <v>44</v>
      </c>
      <c r="F24" s="555">
        <v>1291</v>
      </c>
      <c r="G24" s="555">
        <v>824</v>
      </c>
      <c r="H24" s="556">
        <v>76658</v>
      </c>
      <c r="I24" s="144">
        <v>46870</v>
      </c>
      <c r="J24" s="556">
        <v>7080</v>
      </c>
      <c r="K24" s="557">
        <v>116448</v>
      </c>
    </row>
    <row r="25" spans="1:11" ht="18" customHeight="1" x14ac:dyDescent="0.4">
      <c r="A25" s="183" t="s">
        <v>79</v>
      </c>
      <c r="B25" s="189" t="s">
        <v>5</v>
      </c>
      <c r="F25" s="555">
        <v>136</v>
      </c>
      <c r="G25" s="555">
        <v>606</v>
      </c>
      <c r="H25" s="556">
        <v>6163</v>
      </c>
      <c r="I25" s="144">
        <v>506</v>
      </c>
      <c r="J25" s="556"/>
      <c r="K25" s="557">
        <v>6669</v>
      </c>
    </row>
    <row r="26" spans="1:11" ht="18" customHeight="1" x14ac:dyDescent="0.4">
      <c r="A26" s="183" t="s">
        <v>80</v>
      </c>
      <c r="B26" s="189" t="s">
        <v>45</v>
      </c>
      <c r="F26" s="555"/>
      <c r="G26" s="555"/>
      <c r="H26" s="556"/>
      <c r="I26" s="144">
        <v>0</v>
      </c>
      <c r="J26" s="556"/>
      <c r="K26" s="557">
        <v>0</v>
      </c>
    </row>
    <row r="27" spans="1:11" ht="18" customHeight="1" x14ac:dyDescent="0.4">
      <c r="A27" s="183" t="s">
        <v>81</v>
      </c>
      <c r="B27" s="189" t="s">
        <v>498</v>
      </c>
      <c r="F27" s="555"/>
      <c r="G27" s="555"/>
      <c r="H27" s="556"/>
      <c r="I27" s="144">
        <v>0</v>
      </c>
      <c r="J27" s="556"/>
      <c r="K27" s="557">
        <v>0</v>
      </c>
    </row>
    <row r="28" spans="1:11" ht="18" customHeight="1" x14ac:dyDescent="0.4">
      <c r="A28" s="183" t="s">
        <v>82</v>
      </c>
      <c r="B28" s="189" t="s">
        <v>47</v>
      </c>
      <c r="F28" s="555"/>
      <c r="G28" s="555"/>
      <c r="H28" s="556"/>
      <c r="I28" s="144">
        <v>0</v>
      </c>
      <c r="J28" s="556"/>
      <c r="K28" s="557">
        <v>0</v>
      </c>
    </row>
    <row r="29" spans="1:11" ht="18" customHeight="1" x14ac:dyDescent="0.4">
      <c r="A29" s="183" t="s">
        <v>83</v>
      </c>
      <c r="B29" s="189" t="s">
        <v>48</v>
      </c>
      <c r="F29" s="555">
        <v>13060</v>
      </c>
      <c r="G29" s="555">
        <v>3777</v>
      </c>
      <c r="H29" s="556">
        <v>478357</v>
      </c>
      <c r="I29" s="144">
        <v>258295</v>
      </c>
      <c r="J29" s="556"/>
      <c r="K29" s="557">
        <v>736652</v>
      </c>
    </row>
    <row r="30" spans="1:11" ht="18" customHeight="1" x14ac:dyDescent="0.4">
      <c r="A30" s="183" t="s">
        <v>84</v>
      </c>
      <c r="B30" s="951"/>
      <c r="C30" s="952"/>
      <c r="D30" s="953"/>
      <c r="F30" s="555"/>
      <c r="G30" s="555"/>
      <c r="H30" s="556"/>
      <c r="I30" s="144">
        <v>0</v>
      </c>
      <c r="J30" s="556"/>
      <c r="K30" s="557">
        <v>0</v>
      </c>
    </row>
    <row r="31" spans="1:11" ht="18" customHeight="1" x14ac:dyDescent="0.4">
      <c r="A31" s="183" t="s">
        <v>133</v>
      </c>
      <c r="B31" s="951"/>
      <c r="C31" s="952"/>
      <c r="D31" s="953"/>
      <c r="F31" s="555"/>
      <c r="G31" s="555"/>
      <c r="H31" s="556"/>
      <c r="I31" s="144">
        <v>0</v>
      </c>
      <c r="J31" s="556"/>
      <c r="K31" s="557">
        <v>0</v>
      </c>
    </row>
    <row r="32" spans="1:11" ht="18" customHeight="1" x14ac:dyDescent="0.4">
      <c r="A32" s="183" t="s">
        <v>134</v>
      </c>
      <c r="B32" s="500"/>
      <c r="C32" s="501"/>
      <c r="D32" s="502"/>
      <c r="F32" s="555"/>
      <c r="G32" s="558" t="s">
        <v>85</v>
      </c>
      <c r="H32" s="556"/>
      <c r="I32" s="144">
        <v>0</v>
      </c>
      <c r="J32" s="556"/>
      <c r="K32" s="557">
        <v>0</v>
      </c>
    </row>
    <row r="33" spans="1:11" ht="18" customHeight="1" x14ac:dyDescent="0.4">
      <c r="A33" s="183" t="s">
        <v>135</v>
      </c>
      <c r="B33" s="500"/>
      <c r="C33" s="501"/>
      <c r="D33" s="502"/>
      <c r="F33" s="555"/>
      <c r="G33" s="558" t="s">
        <v>85</v>
      </c>
      <c r="H33" s="556"/>
      <c r="I33" s="144">
        <v>0</v>
      </c>
      <c r="J33" s="556"/>
      <c r="K33" s="557">
        <v>0</v>
      </c>
    </row>
    <row r="34" spans="1:11" ht="18" customHeight="1" x14ac:dyDescent="0.4">
      <c r="A34" s="183" t="s">
        <v>136</v>
      </c>
      <c r="B34" s="951"/>
      <c r="C34" s="952"/>
      <c r="D34" s="953"/>
      <c r="F34" s="555"/>
      <c r="G34" s="558" t="s">
        <v>85</v>
      </c>
      <c r="H34" s="556"/>
      <c r="I34" s="144">
        <v>0</v>
      </c>
      <c r="J34" s="556"/>
      <c r="K34" s="557">
        <v>0</v>
      </c>
    </row>
    <row r="35" spans="1:11" ht="18" customHeight="1" x14ac:dyDescent="0.35">
      <c r="K35" s="559"/>
    </row>
    <row r="36" spans="1:11" ht="18" customHeight="1" x14ac:dyDescent="0.4">
      <c r="A36" s="120" t="s">
        <v>137</v>
      </c>
      <c r="B36" s="117" t="s">
        <v>138</v>
      </c>
      <c r="E36" s="117" t="s">
        <v>7</v>
      </c>
      <c r="F36" s="560">
        <v>18449</v>
      </c>
      <c r="G36" s="560">
        <v>14249</v>
      </c>
      <c r="H36" s="560">
        <v>738470</v>
      </c>
      <c r="I36" s="557">
        <v>413653</v>
      </c>
      <c r="J36" s="557">
        <v>21337</v>
      </c>
      <c r="K36" s="557">
        <v>1130786</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c r="G40" s="555"/>
      <c r="H40" s="556"/>
      <c r="I40" s="144">
        <v>0</v>
      </c>
      <c r="J40" s="556"/>
      <c r="K40" s="557">
        <v>0</v>
      </c>
    </row>
    <row r="41" spans="1:11" ht="18" customHeight="1" x14ac:dyDescent="0.4">
      <c r="A41" s="183" t="s">
        <v>88</v>
      </c>
      <c r="B41" s="956" t="s">
        <v>50</v>
      </c>
      <c r="C41" s="957"/>
      <c r="F41" s="555"/>
      <c r="G41" s="555"/>
      <c r="H41" s="556"/>
      <c r="I41" s="144">
        <v>0</v>
      </c>
      <c r="J41" s="556"/>
      <c r="K41" s="557">
        <v>0</v>
      </c>
    </row>
    <row r="42" spans="1:11" ht="18" customHeight="1" x14ac:dyDescent="0.4">
      <c r="A42" s="183" t="s">
        <v>89</v>
      </c>
      <c r="B42" s="116" t="s">
        <v>11</v>
      </c>
      <c r="F42" s="555">
        <v>541</v>
      </c>
      <c r="G42" s="555">
        <v>86</v>
      </c>
      <c r="H42" s="556">
        <v>22799</v>
      </c>
      <c r="I42" s="144">
        <v>16506</v>
      </c>
      <c r="J42" s="556"/>
      <c r="K42" s="557">
        <v>39305</v>
      </c>
    </row>
    <row r="43" spans="1:11" ht="18" customHeight="1" x14ac:dyDescent="0.4">
      <c r="A43" s="183" t="s">
        <v>90</v>
      </c>
      <c r="B43" s="141" t="s">
        <v>10</v>
      </c>
      <c r="C43" s="123"/>
      <c r="D43" s="123"/>
      <c r="F43" s="555"/>
      <c r="G43" s="555">
        <v>8</v>
      </c>
      <c r="H43" s="556">
        <v>123200</v>
      </c>
      <c r="I43" s="144">
        <v>89197</v>
      </c>
      <c r="J43" s="556"/>
      <c r="K43" s="557">
        <v>212397</v>
      </c>
    </row>
    <row r="44" spans="1:11" ht="18" customHeight="1" x14ac:dyDescent="0.4">
      <c r="A44" s="183" t="s">
        <v>91</v>
      </c>
      <c r="B44" s="951"/>
      <c r="C44" s="952"/>
      <c r="D44" s="953"/>
      <c r="F44" s="561"/>
      <c r="G44" s="561"/>
      <c r="H44" s="561"/>
      <c r="I44" s="146">
        <v>0</v>
      </c>
      <c r="J44" s="561"/>
      <c r="K44" s="562">
        <v>0</v>
      </c>
    </row>
    <row r="45" spans="1:11" ht="18" customHeight="1" x14ac:dyDescent="0.4">
      <c r="A45" s="183" t="s">
        <v>139</v>
      </c>
      <c r="B45" s="951"/>
      <c r="C45" s="952"/>
      <c r="D45" s="953"/>
      <c r="F45" s="555"/>
      <c r="G45" s="555"/>
      <c r="H45" s="556"/>
      <c r="I45" s="144">
        <v>0</v>
      </c>
      <c r="J45" s="556"/>
      <c r="K45" s="557">
        <v>0</v>
      </c>
    </row>
    <row r="46" spans="1:11" ht="18" customHeight="1" x14ac:dyDescent="0.4">
      <c r="A46" s="183" t="s">
        <v>140</v>
      </c>
      <c r="B46" s="951"/>
      <c r="C46" s="952"/>
      <c r="D46" s="953"/>
      <c r="F46" s="555"/>
      <c r="G46" s="555"/>
      <c r="H46" s="556"/>
      <c r="I46" s="144">
        <v>0</v>
      </c>
      <c r="J46" s="556"/>
      <c r="K46" s="557">
        <v>0</v>
      </c>
    </row>
    <row r="47" spans="1:11" ht="18" customHeight="1" x14ac:dyDescent="0.4">
      <c r="A47" s="183" t="s">
        <v>141</v>
      </c>
      <c r="B47" s="951"/>
      <c r="C47" s="952"/>
      <c r="D47" s="953"/>
      <c r="F47" s="555"/>
      <c r="G47" s="555"/>
      <c r="H47" s="556"/>
      <c r="I47" s="144">
        <v>0</v>
      </c>
      <c r="J47" s="556"/>
      <c r="K47" s="557">
        <v>0</v>
      </c>
    </row>
    <row r="49" spans="1:11" ht="18" customHeight="1" x14ac:dyDescent="0.4">
      <c r="A49" s="120" t="s">
        <v>142</v>
      </c>
      <c r="B49" s="117" t="s">
        <v>143</v>
      </c>
      <c r="E49" s="117" t="s">
        <v>7</v>
      </c>
      <c r="F49" s="563">
        <v>541</v>
      </c>
      <c r="G49" s="563">
        <v>94</v>
      </c>
      <c r="H49" s="557">
        <v>145999</v>
      </c>
      <c r="I49" s="557">
        <v>105703</v>
      </c>
      <c r="J49" s="557">
        <v>0</v>
      </c>
      <c r="K49" s="557">
        <v>251702</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315</v>
      </c>
      <c r="C53" s="979"/>
      <c r="D53" s="975"/>
      <c r="F53" s="555"/>
      <c r="G53" s="555"/>
      <c r="H53" s="556">
        <v>1908862</v>
      </c>
      <c r="I53" s="144">
        <v>0</v>
      </c>
      <c r="J53" s="556"/>
      <c r="K53" s="557">
        <v>1908862</v>
      </c>
    </row>
    <row r="54" spans="1:11" ht="18" customHeight="1" x14ac:dyDescent="0.4">
      <c r="A54" s="183" t="s">
        <v>93</v>
      </c>
      <c r="B54" s="503"/>
      <c r="C54" s="504"/>
      <c r="D54" s="505"/>
      <c r="F54" s="555"/>
      <c r="G54" s="555"/>
      <c r="H54" s="556"/>
      <c r="I54" s="144">
        <v>0</v>
      </c>
      <c r="J54" s="556"/>
      <c r="K54" s="557">
        <v>0</v>
      </c>
    </row>
    <row r="55" spans="1:11" ht="18" customHeight="1" x14ac:dyDescent="0.4">
      <c r="A55" s="183" t="s">
        <v>94</v>
      </c>
      <c r="B55" s="980" t="s">
        <v>316</v>
      </c>
      <c r="C55" s="974"/>
      <c r="D55" s="975"/>
      <c r="F55" s="555"/>
      <c r="G55" s="555"/>
      <c r="H55" s="556">
        <v>6624825</v>
      </c>
      <c r="I55" s="144">
        <v>0</v>
      </c>
      <c r="J55" s="556">
        <v>1597641</v>
      </c>
      <c r="K55" s="557">
        <v>5027184</v>
      </c>
    </row>
    <row r="56" spans="1:11" ht="18" customHeight="1" x14ac:dyDescent="0.4">
      <c r="A56" s="183" t="s">
        <v>95</v>
      </c>
      <c r="B56" s="980"/>
      <c r="C56" s="974"/>
      <c r="D56" s="975"/>
      <c r="F56" s="555"/>
      <c r="G56" s="555"/>
      <c r="H56" s="556"/>
      <c r="I56" s="144">
        <v>0</v>
      </c>
      <c r="J56" s="556"/>
      <c r="K56" s="557">
        <v>0</v>
      </c>
    </row>
    <row r="57" spans="1:11" ht="18" customHeight="1" x14ac:dyDescent="0.4">
      <c r="A57" s="183" t="s">
        <v>96</v>
      </c>
      <c r="B57" s="980" t="s">
        <v>596</v>
      </c>
      <c r="C57" s="974"/>
      <c r="D57" s="975"/>
      <c r="F57" s="555"/>
      <c r="G57" s="555"/>
      <c r="H57" s="556">
        <v>983651</v>
      </c>
      <c r="I57" s="144">
        <v>0</v>
      </c>
      <c r="J57" s="556"/>
      <c r="K57" s="557">
        <v>983651</v>
      </c>
    </row>
    <row r="58" spans="1:11" ht="18" customHeight="1" x14ac:dyDescent="0.4">
      <c r="A58" s="183" t="s">
        <v>97</v>
      </c>
      <c r="B58" s="503"/>
      <c r="C58" s="504"/>
      <c r="D58" s="505"/>
      <c r="F58" s="555"/>
      <c r="G58" s="555"/>
      <c r="H58" s="556"/>
      <c r="I58" s="144">
        <v>0</v>
      </c>
      <c r="J58" s="556"/>
      <c r="K58" s="557">
        <v>0</v>
      </c>
    </row>
    <row r="59" spans="1:11" ht="18" customHeight="1" x14ac:dyDescent="0.4">
      <c r="A59" s="183" t="s">
        <v>98</v>
      </c>
      <c r="B59" s="980"/>
      <c r="C59" s="974"/>
      <c r="D59" s="975"/>
      <c r="F59" s="555"/>
      <c r="G59" s="555"/>
      <c r="H59" s="556"/>
      <c r="I59" s="144">
        <v>0</v>
      </c>
      <c r="J59" s="556"/>
      <c r="K59" s="557">
        <v>0</v>
      </c>
    </row>
    <row r="60" spans="1:11" ht="18" customHeight="1" x14ac:dyDescent="0.4">
      <c r="A60" s="183" t="s">
        <v>99</v>
      </c>
      <c r="B60" s="503" t="s">
        <v>597</v>
      </c>
      <c r="C60" s="504"/>
      <c r="D60" s="505"/>
      <c r="F60" s="555"/>
      <c r="G60" s="555"/>
      <c r="H60" s="556">
        <v>485483</v>
      </c>
      <c r="I60" s="144">
        <v>0</v>
      </c>
      <c r="J60" s="556"/>
      <c r="K60" s="557">
        <v>485483</v>
      </c>
    </row>
    <row r="61" spans="1:11" ht="18" customHeight="1" x14ac:dyDescent="0.4">
      <c r="A61" s="183" t="s">
        <v>100</v>
      </c>
      <c r="B61" s="503"/>
      <c r="C61" s="504"/>
      <c r="D61" s="505"/>
      <c r="F61" s="555"/>
      <c r="G61" s="555"/>
      <c r="H61" s="556"/>
      <c r="I61" s="144">
        <v>0</v>
      </c>
      <c r="J61" s="556"/>
      <c r="K61" s="557">
        <v>0</v>
      </c>
    </row>
    <row r="62" spans="1:11" ht="18" customHeight="1" x14ac:dyDescent="0.4">
      <c r="A62" s="183" t="s">
        <v>101</v>
      </c>
      <c r="B62" s="980"/>
      <c r="C62" s="974"/>
      <c r="D62" s="975"/>
      <c r="F62" s="555"/>
      <c r="G62" s="555"/>
      <c r="H62" s="556"/>
      <c r="I62" s="144">
        <v>0</v>
      </c>
      <c r="J62" s="556"/>
      <c r="K62" s="557">
        <v>0</v>
      </c>
    </row>
    <row r="63" spans="1:11" ht="18" customHeight="1" x14ac:dyDescent="0.4">
      <c r="A63" s="183"/>
      <c r="I63" s="140"/>
    </row>
    <row r="64" spans="1:11" ht="18" customHeight="1" x14ac:dyDescent="0.4">
      <c r="A64" s="183" t="s">
        <v>144</v>
      </c>
      <c r="B64" s="117" t="s">
        <v>145</v>
      </c>
      <c r="E64" s="117" t="s">
        <v>7</v>
      </c>
      <c r="F64" s="560">
        <v>0</v>
      </c>
      <c r="G64" s="560">
        <v>0</v>
      </c>
      <c r="H64" s="557">
        <v>10002821</v>
      </c>
      <c r="I64" s="557">
        <v>0</v>
      </c>
      <c r="J64" s="557">
        <v>1597641</v>
      </c>
      <c r="K64" s="557">
        <v>8405180</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v>0</v>
      </c>
    </row>
    <row r="69" spans="1:11" ht="18" customHeight="1" x14ac:dyDescent="0.4">
      <c r="A69" s="183" t="s">
        <v>104</v>
      </c>
      <c r="B69" s="116" t="s">
        <v>53</v>
      </c>
      <c r="F69" s="564"/>
      <c r="G69" s="564"/>
      <c r="H69" s="564"/>
      <c r="I69" s="144">
        <v>0</v>
      </c>
      <c r="J69" s="564"/>
      <c r="K69" s="557">
        <v>0</v>
      </c>
    </row>
    <row r="70" spans="1:11" ht="18" customHeight="1" x14ac:dyDescent="0.4">
      <c r="A70" s="183" t="s">
        <v>178</v>
      </c>
      <c r="B70" s="503"/>
      <c r="C70" s="504"/>
      <c r="D70" s="505"/>
      <c r="E70" s="117"/>
      <c r="F70" s="131"/>
      <c r="G70" s="131"/>
      <c r="H70" s="132"/>
      <c r="I70" s="144">
        <v>0</v>
      </c>
      <c r="J70" s="132"/>
      <c r="K70" s="557">
        <v>0</v>
      </c>
    </row>
    <row r="71" spans="1:11" ht="18" customHeight="1" x14ac:dyDescent="0.4">
      <c r="A71" s="183" t="s">
        <v>179</v>
      </c>
      <c r="B71" s="503"/>
      <c r="C71" s="504"/>
      <c r="D71" s="505"/>
      <c r="E71" s="117"/>
      <c r="F71" s="131"/>
      <c r="G71" s="131"/>
      <c r="H71" s="132"/>
      <c r="I71" s="144">
        <v>0</v>
      </c>
      <c r="J71" s="132"/>
      <c r="K71" s="557">
        <v>0</v>
      </c>
    </row>
    <row r="72" spans="1:11" ht="18" customHeight="1" x14ac:dyDescent="0.4">
      <c r="A72" s="183" t="s">
        <v>180</v>
      </c>
      <c r="B72" s="510"/>
      <c r="C72" s="508"/>
      <c r="D72" s="130"/>
      <c r="E72" s="117"/>
      <c r="F72" s="555"/>
      <c r="G72" s="555"/>
      <c r="H72" s="556"/>
      <c r="I72" s="144">
        <v>0</v>
      </c>
      <c r="J72" s="556"/>
      <c r="K72" s="557">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v>0</v>
      </c>
      <c r="G74" s="566">
        <v>0</v>
      </c>
      <c r="H74" s="566">
        <v>0</v>
      </c>
      <c r="I74" s="145">
        <v>0</v>
      </c>
      <c r="J74" s="566">
        <v>0</v>
      </c>
      <c r="K74" s="56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v>200</v>
      </c>
      <c r="H77" s="556">
        <v>30026</v>
      </c>
      <c r="I77" s="144"/>
      <c r="J77" s="556"/>
      <c r="K77" s="557">
        <v>30026</v>
      </c>
    </row>
    <row r="78" spans="1:11" ht="18" customHeight="1" x14ac:dyDescent="0.4">
      <c r="A78" s="183" t="s">
        <v>108</v>
      </c>
      <c r="B78" s="116" t="s">
        <v>55</v>
      </c>
      <c r="F78" s="555"/>
      <c r="G78" s="555"/>
      <c r="H78" s="556">
        <v>3500</v>
      </c>
      <c r="I78" s="144"/>
      <c r="J78" s="556"/>
      <c r="K78" s="557">
        <v>3500</v>
      </c>
    </row>
    <row r="79" spans="1:11" ht="18" customHeight="1" x14ac:dyDescent="0.4">
      <c r="A79" s="183" t="s">
        <v>109</v>
      </c>
      <c r="B79" s="116" t="s">
        <v>13</v>
      </c>
      <c r="F79" s="555">
        <v>86</v>
      </c>
      <c r="G79" s="555">
        <v>972</v>
      </c>
      <c r="H79" s="556">
        <v>18585</v>
      </c>
      <c r="I79" s="144">
        <v>8005</v>
      </c>
      <c r="J79" s="556"/>
      <c r="K79" s="557">
        <v>26590</v>
      </c>
    </row>
    <row r="80" spans="1:11" ht="18" customHeight="1" x14ac:dyDescent="0.4">
      <c r="A80" s="183" t="s">
        <v>110</v>
      </c>
      <c r="B80" s="116" t="s">
        <v>56</v>
      </c>
      <c r="F80" s="555"/>
      <c r="G80" s="555"/>
      <c r="H80" s="556"/>
      <c r="I80" s="144">
        <v>0</v>
      </c>
      <c r="J80" s="556"/>
      <c r="K80" s="557">
        <v>0</v>
      </c>
    </row>
    <row r="81" spans="1:11" ht="18" customHeight="1" x14ac:dyDescent="0.4">
      <c r="A81" s="183"/>
      <c r="K81" s="568"/>
    </row>
    <row r="82" spans="1:11" ht="18" customHeight="1" x14ac:dyDescent="0.4">
      <c r="A82" s="183" t="s">
        <v>148</v>
      </c>
      <c r="B82" s="117" t="s">
        <v>149</v>
      </c>
      <c r="E82" s="117" t="s">
        <v>7</v>
      </c>
      <c r="F82" s="566">
        <v>86</v>
      </c>
      <c r="G82" s="566">
        <v>1172</v>
      </c>
      <c r="H82" s="567">
        <v>52111</v>
      </c>
      <c r="I82" s="567">
        <v>8005</v>
      </c>
      <c r="J82" s="567">
        <v>0</v>
      </c>
      <c r="K82" s="567">
        <v>60116</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v>97305</v>
      </c>
      <c r="I86" s="144">
        <v>70449</v>
      </c>
      <c r="J86" s="556"/>
      <c r="K86" s="557">
        <v>167754</v>
      </c>
    </row>
    <row r="87" spans="1:11" ht="18" customHeight="1" x14ac:dyDescent="0.4">
      <c r="A87" s="183" t="s">
        <v>114</v>
      </c>
      <c r="B87" s="116" t="s">
        <v>14</v>
      </c>
      <c r="F87" s="555"/>
      <c r="G87" s="555"/>
      <c r="H87" s="556">
        <v>519259</v>
      </c>
      <c r="I87" s="144"/>
      <c r="J87" s="556"/>
      <c r="K87" s="557">
        <v>519259</v>
      </c>
    </row>
    <row r="88" spans="1:11" ht="18" customHeight="1" x14ac:dyDescent="0.4">
      <c r="A88" s="183" t="s">
        <v>115</v>
      </c>
      <c r="B88" s="116" t="s">
        <v>116</v>
      </c>
      <c r="F88" s="555"/>
      <c r="G88" s="555"/>
      <c r="H88" s="556"/>
      <c r="I88" s="144"/>
      <c r="J88" s="556"/>
      <c r="K88" s="557">
        <v>0</v>
      </c>
    </row>
    <row r="89" spans="1:11" ht="18" customHeight="1" x14ac:dyDescent="0.4">
      <c r="A89" s="183" t="s">
        <v>117</v>
      </c>
      <c r="B89" s="116" t="s">
        <v>58</v>
      </c>
      <c r="F89" s="555"/>
      <c r="G89" s="555"/>
      <c r="H89" s="556"/>
      <c r="I89" s="144"/>
      <c r="J89" s="556"/>
      <c r="K89" s="557">
        <v>0</v>
      </c>
    </row>
    <row r="90" spans="1:11" ht="18" customHeight="1" x14ac:dyDescent="0.4">
      <c r="A90" s="183" t="s">
        <v>118</v>
      </c>
      <c r="B90" s="956" t="s">
        <v>59</v>
      </c>
      <c r="C90" s="957"/>
      <c r="F90" s="555">
        <v>12</v>
      </c>
      <c r="G90" s="555"/>
      <c r="H90" s="556">
        <v>4445</v>
      </c>
      <c r="I90" s="144"/>
      <c r="J90" s="556"/>
      <c r="K90" s="557">
        <v>4445</v>
      </c>
    </row>
    <row r="91" spans="1:11" ht="18" customHeight="1" x14ac:dyDescent="0.4">
      <c r="A91" s="183" t="s">
        <v>119</v>
      </c>
      <c r="B91" s="116" t="s">
        <v>60</v>
      </c>
      <c r="F91" s="555">
        <v>87.5</v>
      </c>
      <c r="G91" s="555">
        <v>479</v>
      </c>
      <c r="H91" s="556">
        <v>3014</v>
      </c>
      <c r="I91" s="144">
        <v>2183</v>
      </c>
      <c r="J91" s="556"/>
      <c r="K91" s="557">
        <v>5197</v>
      </c>
    </row>
    <row r="92" spans="1:11" ht="18" customHeight="1" x14ac:dyDescent="0.4">
      <c r="A92" s="183" t="s">
        <v>120</v>
      </c>
      <c r="B92" s="116" t="s">
        <v>121</v>
      </c>
      <c r="F92" s="134">
        <v>63.5</v>
      </c>
      <c r="G92" s="134">
        <v>848</v>
      </c>
      <c r="H92" s="135">
        <v>28735</v>
      </c>
      <c r="I92" s="144">
        <v>1192</v>
      </c>
      <c r="J92" s="135"/>
      <c r="K92" s="557">
        <v>29927</v>
      </c>
    </row>
    <row r="93" spans="1:11" ht="18" customHeight="1" x14ac:dyDescent="0.4">
      <c r="A93" s="183" t="s">
        <v>122</v>
      </c>
      <c r="B93" s="116" t="s">
        <v>123</v>
      </c>
      <c r="F93" s="555">
        <v>32371.8</v>
      </c>
      <c r="G93" s="555">
        <v>1497</v>
      </c>
      <c r="H93" s="556">
        <v>342516</v>
      </c>
      <c r="I93" s="144">
        <v>245003</v>
      </c>
      <c r="J93" s="556"/>
      <c r="K93" s="557">
        <v>587519</v>
      </c>
    </row>
    <row r="94" spans="1:11" ht="18" customHeight="1" x14ac:dyDescent="0.4">
      <c r="A94" s="183" t="s">
        <v>124</v>
      </c>
      <c r="B94" s="980"/>
      <c r="C94" s="974"/>
      <c r="D94" s="975"/>
      <c r="F94" s="555"/>
      <c r="G94" s="555"/>
      <c r="H94" s="556"/>
      <c r="I94" s="144">
        <v>0</v>
      </c>
      <c r="J94" s="556"/>
      <c r="K94" s="557">
        <v>0</v>
      </c>
    </row>
    <row r="95" spans="1:11" ht="18" customHeight="1" x14ac:dyDescent="0.4">
      <c r="A95" s="183" t="s">
        <v>125</v>
      </c>
      <c r="B95" s="980"/>
      <c r="C95" s="974"/>
      <c r="D95" s="975"/>
      <c r="F95" s="555"/>
      <c r="G95" s="555"/>
      <c r="H95" s="556"/>
      <c r="I95" s="144">
        <v>0</v>
      </c>
      <c r="J95" s="556"/>
      <c r="K95" s="557">
        <v>0</v>
      </c>
    </row>
    <row r="96" spans="1:11" ht="18" customHeight="1" x14ac:dyDescent="0.4">
      <c r="A96" s="183" t="s">
        <v>126</v>
      </c>
      <c r="B96" s="980"/>
      <c r="C96" s="974"/>
      <c r="D96" s="975"/>
      <c r="F96" s="555"/>
      <c r="G96" s="555"/>
      <c r="H96" s="556"/>
      <c r="I96" s="144">
        <v>0</v>
      </c>
      <c r="J96" s="556"/>
      <c r="K96" s="557">
        <v>0</v>
      </c>
    </row>
    <row r="97" spans="1:11" ht="18" customHeight="1" x14ac:dyDescent="0.4">
      <c r="A97" s="183"/>
      <c r="B97" s="116"/>
    </row>
    <row r="98" spans="1:11" ht="18" customHeight="1" x14ac:dyDescent="0.4">
      <c r="A98" s="120" t="s">
        <v>150</v>
      </c>
      <c r="B98" s="117" t="s">
        <v>151</v>
      </c>
      <c r="E98" s="117" t="s">
        <v>7</v>
      </c>
      <c r="F98" s="560">
        <v>32534.799999999999</v>
      </c>
      <c r="G98" s="560">
        <v>2824</v>
      </c>
      <c r="H98" s="560">
        <v>995274</v>
      </c>
      <c r="I98" s="560">
        <v>318827</v>
      </c>
      <c r="J98" s="560">
        <v>0</v>
      </c>
      <c r="K98" s="560">
        <v>1314101</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c r="G102" s="555"/>
      <c r="H102" s="556"/>
      <c r="I102" s="144">
        <v>0</v>
      </c>
      <c r="J102" s="556"/>
      <c r="K102" s="557">
        <v>0</v>
      </c>
    </row>
    <row r="103" spans="1:11" ht="18" customHeight="1" x14ac:dyDescent="0.4">
      <c r="A103" s="183" t="s">
        <v>132</v>
      </c>
      <c r="B103" s="956" t="s">
        <v>62</v>
      </c>
      <c r="C103" s="956"/>
      <c r="F103" s="555">
        <v>6240</v>
      </c>
      <c r="G103" s="555"/>
      <c r="H103" s="556">
        <v>368883</v>
      </c>
      <c r="I103" s="144">
        <v>267070</v>
      </c>
      <c r="J103" s="556"/>
      <c r="K103" s="557">
        <v>635953</v>
      </c>
    </row>
    <row r="104" spans="1:11" ht="18" customHeight="1" x14ac:dyDescent="0.4">
      <c r="A104" s="183" t="s">
        <v>128</v>
      </c>
      <c r="B104" s="980"/>
      <c r="C104" s="974"/>
      <c r="D104" s="975"/>
      <c r="F104" s="555"/>
      <c r="G104" s="555"/>
      <c r="H104" s="556">
        <v>23578</v>
      </c>
      <c r="I104" s="144"/>
      <c r="J104" s="556"/>
      <c r="K104" s="557">
        <v>23578</v>
      </c>
    </row>
    <row r="105" spans="1:11" ht="18" customHeight="1" x14ac:dyDescent="0.4">
      <c r="A105" s="183" t="s">
        <v>127</v>
      </c>
      <c r="B105" s="980"/>
      <c r="C105" s="974"/>
      <c r="D105" s="975"/>
      <c r="F105" s="555"/>
      <c r="G105" s="555"/>
      <c r="H105" s="556"/>
      <c r="I105" s="144">
        <v>0</v>
      </c>
      <c r="J105" s="556"/>
      <c r="K105" s="557">
        <v>0</v>
      </c>
    </row>
    <row r="106" spans="1:11" ht="18" customHeight="1" x14ac:dyDescent="0.4">
      <c r="A106" s="183" t="s">
        <v>129</v>
      </c>
      <c r="B106" s="980"/>
      <c r="C106" s="974"/>
      <c r="D106" s="975"/>
      <c r="F106" s="555"/>
      <c r="G106" s="555"/>
      <c r="H106" s="556"/>
      <c r="I106" s="144">
        <v>0</v>
      </c>
      <c r="J106" s="556"/>
      <c r="K106" s="557">
        <v>0</v>
      </c>
    </row>
    <row r="107" spans="1:11" ht="18" customHeight="1" x14ac:dyDescent="0.4">
      <c r="B107" s="117"/>
    </row>
    <row r="108" spans="1:11" s="123" customFormat="1" ht="18" customHeight="1" x14ac:dyDescent="0.4">
      <c r="A108" s="120" t="s">
        <v>153</v>
      </c>
      <c r="B108" s="153" t="s">
        <v>154</v>
      </c>
      <c r="C108" s="189"/>
      <c r="D108" s="189"/>
      <c r="E108" s="117" t="s">
        <v>7</v>
      </c>
      <c r="F108" s="560">
        <v>6240</v>
      </c>
      <c r="G108" s="560">
        <v>0</v>
      </c>
      <c r="H108" s="557">
        <v>392461</v>
      </c>
      <c r="I108" s="557">
        <v>267070</v>
      </c>
      <c r="J108" s="557">
        <v>0</v>
      </c>
      <c r="K108" s="557">
        <v>659531</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4627204</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0.72360000000000002</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170276632</v>
      </c>
    </row>
    <row r="118" spans="1:6" ht="18" customHeight="1" x14ac:dyDescent="0.4">
      <c r="A118" s="183" t="s">
        <v>173</v>
      </c>
      <c r="B118" s="189" t="s">
        <v>18</v>
      </c>
      <c r="F118" s="556">
        <v>1733321</v>
      </c>
    </row>
    <row r="119" spans="1:6" ht="18" customHeight="1" x14ac:dyDescent="0.4">
      <c r="A119" s="183" t="s">
        <v>174</v>
      </c>
      <c r="B119" s="117" t="s">
        <v>19</v>
      </c>
      <c r="F119" s="567">
        <v>172009953</v>
      </c>
    </row>
    <row r="120" spans="1:6" ht="18" customHeight="1" x14ac:dyDescent="0.4">
      <c r="A120" s="183"/>
      <c r="B120" s="117"/>
    </row>
    <row r="121" spans="1:6" ht="18" customHeight="1" x14ac:dyDescent="0.4">
      <c r="A121" s="183" t="s">
        <v>167</v>
      </c>
      <c r="B121" s="117" t="s">
        <v>36</v>
      </c>
      <c r="F121" s="556">
        <v>160019685</v>
      </c>
    </row>
    <row r="122" spans="1:6" ht="18" customHeight="1" x14ac:dyDescent="0.4">
      <c r="A122" s="183"/>
    </row>
    <row r="123" spans="1:6" ht="18" customHeight="1" x14ac:dyDescent="0.4">
      <c r="A123" s="183" t="s">
        <v>175</v>
      </c>
      <c r="B123" s="117" t="s">
        <v>20</v>
      </c>
      <c r="F123" s="556">
        <v>11990268</v>
      </c>
    </row>
    <row r="124" spans="1:6" ht="18" customHeight="1" x14ac:dyDescent="0.4">
      <c r="A124" s="183"/>
    </row>
    <row r="125" spans="1:6" ht="18" customHeight="1" x14ac:dyDescent="0.4">
      <c r="A125" s="183" t="s">
        <v>176</v>
      </c>
      <c r="B125" s="117" t="s">
        <v>21</v>
      </c>
      <c r="F125" s="556">
        <v>285332</v>
      </c>
    </row>
    <row r="126" spans="1:6" ht="18" customHeight="1" x14ac:dyDescent="0.4">
      <c r="A126" s="183"/>
    </row>
    <row r="127" spans="1:6" ht="18" customHeight="1" x14ac:dyDescent="0.4">
      <c r="A127" s="183" t="s">
        <v>177</v>
      </c>
      <c r="B127" s="117" t="s">
        <v>22</v>
      </c>
      <c r="F127" s="556">
        <v>12275600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v>0</v>
      </c>
    </row>
    <row r="132" spans="1:11" ht="18" customHeight="1" x14ac:dyDescent="0.4">
      <c r="A132" s="183" t="s">
        <v>159</v>
      </c>
      <c r="B132" s="189" t="s">
        <v>25</v>
      </c>
      <c r="F132" s="555"/>
      <c r="G132" s="555"/>
      <c r="H132" s="556"/>
      <c r="I132" s="144">
        <v>0</v>
      </c>
      <c r="J132" s="556"/>
      <c r="K132" s="557">
        <v>0</v>
      </c>
    </row>
    <row r="133" spans="1:11" ht="18" customHeight="1" x14ac:dyDescent="0.4">
      <c r="A133" s="183" t="s">
        <v>160</v>
      </c>
      <c r="B133" s="951"/>
      <c r="C133" s="952"/>
      <c r="D133" s="953"/>
      <c r="F133" s="555"/>
      <c r="G133" s="555"/>
      <c r="H133" s="556"/>
      <c r="I133" s="144">
        <v>0</v>
      </c>
      <c r="J133" s="556"/>
      <c r="K133" s="557">
        <v>0</v>
      </c>
    </row>
    <row r="134" spans="1:11" ht="18" customHeight="1" x14ac:dyDescent="0.4">
      <c r="A134" s="183" t="s">
        <v>161</v>
      </c>
      <c r="B134" s="951"/>
      <c r="C134" s="952"/>
      <c r="D134" s="953"/>
      <c r="F134" s="555"/>
      <c r="G134" s="555"/>
      <c r="H134" s="556"/>
      <c r="I134" s="144">
        <v>0</v>
      </c>
      <c r="J134" s="556"/>
      <c r="K134" s="557">
        <v>0</v>
      </c>
    </row>
    <row r="135" spans="1:11" ht="18" customHeight="1" x14ac:dyDescent="0.4">
      <c r="A135" s="183" t="s">
        <v>162</v>
      </c>
      <c r="B135" s="951"/>
      <c r="C135" s="952"/>
      <c r="D135" s="953"/>
      <c r="F135" s="555"/>
      <c r="G135" s="555"/>
      <c r="H135" s="556"/>
      <c r="I135" s="144">
        <v>0</v>
      </c>
      <c r="J135" s="556"/>
      <c r="K135" s="557">
        <v>0</v>
      </c>
    </row>
    <row r="136" spans="1:11" ht="18" customHeight="1" x14ac:dyDescent="0.4">
      <c r="A136" s="120"/>
    </row>
    <row r="137" spans="1:11" ht="18" customHeight="1" x14ac:dyDescent="0.4">
      <c r="A137" s="120" t="s">
        <v>163</v>
      </c>
      <c r="B137" s="117" t="s">
        <v>27</v>
      </c>
      <c r="F137" s="560">
        <v>0</v>
      </c>
      <c r="G137" s="560">
        <v>0</v>
      </c>
      <c r="H137" s="557">
        <v>0</v>
      </c>
      <c r="I137" s="557">
        <v>0</v>
      </c>
      <c r="J137" s="557">
        <v>0</v>
      </c>
      <c r="K137" s="557">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v>18449</v>
      </c>
      <c r="G141" s="136">
        <v>14249</v>
      </c>
      <c r="H141" s="136">
        <v>738470</v>
      </c>
      <c r="I141" s="136">
        <v>413653</v>
      </c>
      <c r="J141" s="136">
        <v>21337</v>
      </c>
      <c r="K141" s="136">
        <v>1130786</v>
      </c>
    </row>
    <row r="142" spans="1:11" ht="18" customHeight="1" x14ac:dyDescent="0.4">
      <c r="A142" s="183" t="s">
        <v>142</v>
      </c>
      <c r="B142" s="117" t="s">
        <v>65</v>
      </c>
      <c r="F142" s="136">
        <v>541</v>
      </c>
      <c r="G142" s="136">
        <v>94</v>
      </c>
      <c r="H142" s="136">
        <v>145999</v>
      </c>
      <c r="I142" s="136">
        <v>105703</v>
      </c>
      <c r="J142" s="136">
        <v>0</v>
      </c>
      <c r="K142" s="136">
        <v>251702</v>
      </c>
    </row>
    <row r="143" spans="1:11" ht="18" customHeight="1" x14ac:dyDescent="0.4">
      <c r="A143" s="183" t="s">
        <v>144</v>
      </c>
      <c r="B143" s="117" t="s">
        <v>66</v>
      </c>
      <c r="F143" s="136">
        <v>0</v>
      </c>
      <c r="G143" s="136">
        <v>0</v>
      </c>
      <c r="H143" s="136">
        <v>10002821</v>
      </c>
      <c r="I143" s="136">
        <v>0</v>
      </c>
      <c r="J143" s="136">
        <v>1597641</v>
      </c>
      <c r="K143" s="136">
        <v>8405180</v>
      </c>
    </row>
    <row r="144" spans="1:11" ht="18" customHeight="1" x14ac:dyDescent="0.4">
      <c r="A144" s="183" t="s">
        <v>146</v>
      </c>
      <c r="B144" s="117" t="s">
        <v>67</v>
      </c>
      <c r="F144" s="136">
        <v>0</v>
      </c>
      <c r="G144" s="136">
        <v>0</v>
      </c>
      <c r="H144" s="136">
        <v>0</v>
      </c>
      <c r="I144" s="136">
        <v>0</v>
      </c>
      <c r="J144" s="136">
        <v>0</v>
      </c>
      <c r="K144" s="136">
        <v>0</v>
      </c>
    </row>
    <row r="145" spans="1:11" ht="18" customHeight="1" x14ac:dyDescent="0.4">
      <c r="A145" s="183" t="s">
        <v>148</v>
      </c>
      <c r="B145" s="117" t="s">
        <v>68</v>
      </c>
      <c r="F145" s="136">
        <v>86</v>
      </c>
      <c r="G145" s="136">
        <v>1172</v>
      </c>
      <c r="H145" s="136">
        <v>52111</v>
      </c>
      <c r="I145" s="136">
        <v>8005</v>
      </c>
      <c r="J145" s="136">
        <v>0</v>
      </c>
      <c r="K145" s="136">
        <v>60116</v>
      </c>
    </row>
    <row r="146" spans="1:11" ht="18" customHeight="1" x14ac:dyDescent="0.4">
      <c r="A146" s="183" t="s">
        <v>150</v>
      </c>
      <c r="B146" s="117" t="s">
        <v>69</v>
      </c>
      <c r="F146" s="136">
        <v>32534.799999999999</v>
      </c>
      <c r="G146" s="136">
        <v>2824</v>
      </c>
      <c r="H146" s="136">
        <v>995274</v>
      </c>
      <c r="I146" s="136">
        <v>318827</v>
      </c>
      <c r="J146" s="136">
        <v>0</v>
      </c>
      <c r="K146" s="136">
        <v>1314101</v>
      </c>
    </row>
    <row r="147" spans="1:11" ht="18" customHeight="1" x14ac:dyDescent="0.4">
      <c r="A147" s="183" t="s">
        <v>153</v>
      </c>
      <c r="B147" s="117" t="s">
        <v>61</v>
      </c>
      <c r="F147" s="560">
        <v>6240</v>
      </c>
      <c r="G147" s="560">
        <v>0</v>
      </c>
      <c r="H147" s="560">
        <v>392461</v>
      </c>
      <c r="I147" s="560">
        <v>267070</v>
      </c>
      <c r="J147" s="560">
        <v>0</v>
      </c>
      <c r="K147" s="560">
        <v>659531</v>
      </c>
    </row>
    <row r="148" spans="1:11" ht="18" customHeight="1" x14ac:dyDescent="0.4">
      <c r="A148" s="183" t="s">
        <v>155</v>
      </c>
      <c r="B148" s="117" t="s">
        <v>70</v>
      </c>
      <c r="F148" s="137" t="s">
        <v>73</v>
      </c>
      <c r="G148" s="137" t="s">
        <v>73</v>
      </c>
      <c r="H148" s="138" t="s">
        <v>73</v>
      </c>
      <c r="I148" s="138" t="s">
        <v>73</v>
      </c>
      <c r="J148" s="138" t="s">
        <v>73</v>
      </c>
      <c r="K148" s="133">
        <v>4627204</v>
      </c>
    </row>
    <row r="149" spans="1:11" ht="18" customHeight="1" x14ac:dyDescent="0.4">
      <c r="A149" s="183" t="s">
        <v>163</v>
      </c>
      <c r="B149" s="117" t="s">
        <v>71</v>
      </c>
      <c r="F149" s="560">
        <v>0</v>
      </c>
      <c r="G149" s="560">
        <v>0</v>
      </c>
      <c r="H149" s="560">
        <v>0</v>
      </c>
      <c r="I149" s="560">
        <v>0</v>
      </c>
      <c r="J149" s="560">
        <v>0</v>
      </c>
      <c r="K149" s="560">
        <v>0</v>
      </c>
    </row>
    <row r="150" spans="1:11" ht="18" customHeight="1" x14ac:dyDescent="0.4">
      <c r="A150" s="183" t="s">
        <v>185</v>
      </c>
      <c r="B150" s="117" t="s">
        <v>186</v>
      </c>
      <c r="F150" s="137" t="s">
        <v>73</v>
      </c>
      <c r="G150" s="137" t="s">
        <v>73</v>
      </c>
      <c r="H150" s="560">
        <v>3541062.9699484385</v>
      </c>
      <c r="I150" s="560">
        <v>0</v>
      </c>
      <c r="J150" s="560">
        <v>2943782</v>
      </c>
      <c r="K150" s="560">
        <v>597280.96994843846</v>
      </c>
    </row>
    <row r="151" spans="1:11" ht="18" customHeight="1" x14ac:dyDescent="0.4">
      <c r="B151" s="117"/>
      <c r="F151" s="142"/>
      <c r="G151" s="142"/>
      <c r="H151" s="142"/>
      <c r="I151" s="142"/>
      <c r="J151" s="142"/>
      <c r="K151" s="142"/>
    </row>
    <row r="152" spans="1:11" ht="18" customHeight="1" x14ac:dyDescent="0.4">
      <c r="A152" s="120" t="s">
        <v>165</v>
      </c>
      <c r="B152" s="117" t="s">
        <v>26</v>
      </c>
      <c r="F152" s="143">
        <v>57850.8</v>
      </c>
      <c r="G152" s="143">
        <v>18339</v>
      </c>
      <c r="H152" s="143">
        <v>15868198.969948439</v>
      </c>
      <c r="I152" s="143">
        <v>1113258</v>
      </c>
      <c r="J152" s="143">
        <v>4562760</v>
      </c>
      <c r="K152" s="143">
        <v>17045900.969948437</v>
      </c>
    </row>
    <row r="154" spans="1:11" ht="18" customHeight="1" x14ac:dyDescent="0.4">
      <c r="A154" s="120" t="s">
        <v>168</v>
      </c>
      <c r="B154" s="117" t="s">
        <v>28</v>
      </c>
      <c r="F154" s="571">
        <v>0.10652377530894676</v>
      </c>
    </row>
    <row r="155" spans="1:11" ht="18" customHeight="1" x14ac:dyDescent="0.4">
      <c r="A155" s="120" t="s">
        <v>169</v>
      </c>
      <c r="B155" s="117" t="s">
        <v>72</v>
      </c>
      <c r="F155" s="571">
        <v>1.3886002289051809</v>
      </c>
      <c r="G155" s="117"/>
    </row>
    <row r="156" spans="1:11" ht="18" customHeight="1" x14ac:dyDescent="0.4">
      <c r="G156" s="117"/>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hyperlinks>
  <pageMargins left="0.7" right="0.7" top="0.75" bottom="0.75" header="0.3" footer="0.3"/>
  <pageSetup scale="40" orientation="landscape" r:id="rId2"/>
  <headerFooter>
    <oddFooter>&amp;L&amp;Z&amp;F&amp;A&amp;R&amp;P of &amp;N</oddFooter>
  </headerFooter>
  <rowBreaks count="2" manualBreakCount="2">
    <brk id="65" max="16383" man="1"/>
    <brk id="10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59999389629810485"/>
    <pageSetUpPr fitToPage="1"/>
  </sheetPr>
  <dimension ref="A1:S130"/>
  <sheetViews>
    <sheetView tabSelected="1" topLeftCell="A19" zoomScale="80" zoomScaleNormal="80" zoomScaleSheetLayoutView="70" workbookViewId="0">
      <selection activeCell="A21" sqref="A21"/>
    </sheetView>
  </sheetViews>
  <sheetFormatPr defaultColWidth="9.265625" defaultRowHeight="14.25" x14ac:dyDescent="0.45"/>
  <cols>
    <col min="1" max="1" width="23" style="195" customWidth="1"/>
    <col min="2" max="2" width="19.1328125" style="195" bestFit="1" customWidth="1"/>
    <col min="3" max="3" width="18.59765625" style="195" customWidth="1"/>
    <col min="4" max="4" width="17.59765625" style="195" customWidth="1"/>
    <col min="5" max="5" width="22.265625" style="195" customWidth="1"/>
    <col min="6" max="17" width="9.265625" style="195"/>
    <col min="18" max="18" width="27" style="195" customWidth="1"/>
    <col min="19" max="16384" width="9.265625" style="195"/>
  </cols>
  <sheetData>
    <row r="1" spans="1:19" x14ac:dyDescent="0.45">
      <c r="A1" s="231" t="s">
        <v>416</v>
      </c>
      <c r="B1" s="5"/>
      <c r="C1" s="5"/>
      <c r="D1" s="5"/>
      <c r="E1" s="5"/>
      <c r="F1" s="5"/>
      <c r="G1" s="5"/>
      <c r="H1" s="5"/>
      <c r="I1" s="5"/>
      <c r="J1" s="5"/>
      <c r="K1" s="5"/>
      <c r="L1" s="5"/>
      <c r="M1" s="5"/>
      <c r="N1" s="5"/>
      <c r="O1" s="5"/>
    </row>
    <row r="2" spans="1:19" ht="42.75" x14ac:dyDescent="0.45">
      <c r="A2" s="232" t="s">
        <v>220</v>
      </c>
      <c r="B2" s="232" t="s">
        <v>205</v>
      </c>
      <c r="C2" s="232" t="s">
        <v>207</v>
      </c>
      <c r="D2" s="5"/>
      <c r="E2" s="5"/>
      <c r="F2" s="5"/>
      <c r="G2" s="5"/>
      <c r="H2" s="5"/>
      <c r="I2" s="5"/>
      <c r="J2" s="5"/>
      <c r="K2" s="5"/>
      <c r="L2" s="5"/>
      <c r="M2" s="5"/>
      <c r="N2" s="5"/>
      <c r="O2" s="5"/>
    </row>
    <row r="3" spans="1:19" ht="41.25" customHeight="1" x14ac:dyDescent="0.45">
      <c r="A3" s="233" t="s">
        <v>552</v>
      </c>
      <c r="B3" s="234">
        <f>'CB Table 1'!E12</f>
        <v>0.17254371073284774</v>
      </c>
      <c r="C3" s="234">
        <f>'CB Table 1'!G12</f>
        <v>3.6478806038622906E-2</v>
      </c>
      <c r="D3" s="5"/>
      <c r="E3" s="5"/>
      <c r="F3" s="5"/>
      <c r="G3" s="5"/>
      <c r="H3" s="5"/>
      <c r="I3" s="5"/>
      <c r="J3" s="5"/>
      <c r="K3" s="5"/>
      <c r="L3" s="5"/>
      <c r="M3" s="5"/>
      <c r="N3" s="5"/>
      <c r="O3" s="5"/>
      <c r="Q3" s="198"/>
      <c r="R3" s="199"/>
      <c r="S3" s="197"/>
    </row>
    <row r="4" spans="1:19" ht="26.25" x14ac:dyDescent="0.45">
      <c r="A4" s="233" t="s">
        <v>210</v>
      </c>
      <c r="B4" s="234">
        <f>'CB Table 1'!$E$6</f>
        <v>0.3681873664801445</v>
      </c>
      <c r="C4" s="234">
        <f>'CB Table 1'!$G$6</f>
        <v>0.56178787691829135</v>
      </c>
      <c r="D4" s="5"/>
      <c r="E4" s="5"/>
      <c r="F4" s="5"/>
      <c r="G4" s="5"/>
      <c r="H4" s="5"/>
      <c r="I4" s="5"/>
      <c r="J4" s="5"/>
      <c r="K4" s="5"/>
      <c r="L4" s="5"/>
      <c r="M4" s="5"/>
      <c r="N4" s="5"/>
      <c r="O4" s="5"/>
      <c r="Q4" s="198"/>
      <c r="R4" s="199"/>
      <c r="S4" s="197"/>
    </row>
    <row r="5" spans="1:19" ht="26.25" x14ac:dyDescent="0.45">
      <c r="A5" s="233" t="s">
        <v>209</v>
      </c>
      <c r="B5" s="234">
        <f>'CB Table 1'!$E$5</f>
        <v>0.31445285854763894</v>
      </c>
      <c r="C5" s="234">
        <f>'CB Table 1'!$G$5</f>
        <v>0.18076997967913203</v>
      </c>
      <c r="D5" s="5"/>
      <c r="E5" s="5"/>
      <c r="F5" s="5"/>
      <c r="G5" s="5"/>
      <c r="H5" s="5"/>
      <c r="I5" s="5"/>
      <c r="J5" s="5"/>
      <c r="K5" s="5"/>
      <c r="L5" s="5"/>
      <c r="M5" s="5"/>
      <c r="N5" s="5"/>
      <c r="O5" s="5"/>
      <c r="Q5" s="198"/>
      <c r="R5" s="199"/>
      <c r="S5" s="197"/>
    </row>
    <row r="6" spans="1:19" ht="27" customHeight="1" x14ac:dyDescent="0.45">
      <c r="A6" s="233" t="s">
        <v>64</v>
      </c>
      <c r="B6" s="234">
        <f>'CB Table 1'!E4</f>
        <v>6.9437354374086255E-2</v>
      </c>
      <c r="C6" s="234">
        <f>'CB Table 1'!G4</f>
        <v>0.10594894731333648</v>
      </c>
      <c r="D6" s="5"/>
      <c r="E6" s="5"/>
      <c r="F6" s="5"/>
      <c r="G6" s="5"/>
      <c r="H6" s="5"/>
      <c r="I6" s="5"/>
      <c r="J6" s="5"/>
      <c r="K6" s="5"/>
      <c r="L6" s="5"/>
      <c r="M6" s="5"/>
      <c r="N6" s="5"/>
      <c r="O6" s="5"/>
      <c r="Q6" s="198"/>
      <c r="R6" s="199"/>
      <c r="S6" s="197"/>
    </row>
    <row r="7" spans="1:19" x14ac:dyDescent="0.45">
      <c r="A7" s="233" t="s">
        <v>208</v>
      </c>
      <c r="B7" s="234">
        <f>'CB Table 1'!E3</f>
        <v>2.9772789812886793E-2</v>
      </c>
      <c r="C7" s="234">
        <f>'CB Table 1'!G3</f>
        <v>4.542793670194601E-2</v>
      </c>
      <c r="D7" s="5"/>
      <c r="E7" s="5"/>
      <c r="F7" s="5"/>
      <c r="G7" s="5"/>
      <c r="H7" s="5"/>
      <c r="I7" s="5"/>
      <c r="J7" s="5"/>
      <c r="K7" s="5"/>
      <c r="L7" s="5"/>
      <c r="M7" s="5"/>
      <c r="N7" s="5"/>
      <c r="O7" s="5"/>
      <c r="Q7" s="198"/>
      <c r="R7" s="199"/>
      <c r="S7" s="197"/>
    </row>
    <row r="8" spans="1:19" x14ac:dyDescent="0.45">
      <c r="A8" s="233" t="s">
        <v>25</v>
      </c>
      <c r="B8" s="234">
        <f>'CB Table 1'!$E$9</f>
        <v>1.8601311865526944E-2</v>
      </c>
      <c r="C8" s="234">
        <f>'CB Table 1'!$G$9</f>
        <v>2.8382265260024738E-2</v>
      </c>
      <c r="D8" s="5"/>
      <c r="E8" s="5"/>
      <c r="F8" s="5"/>
      <c r="G8" s="5"/>
      <c r="H8" s="5"/>
      <c r="I8" s="5"/>
      <c r="J8" s="5"/>
      <c r="K8" s="5"/>
      <c r="L8" s="5"/>
      <c r="M8" s="5"/>
      <c r="N8" s="5"/>
      <c r="O8" s="5"/>
      <c r="Q8" s="198"/>
      <c r="R8" s="199"/>
      <c r="S8" s="197"/>
    </row>
    <row r="9" spans="1:19" ht="27.75" customHeight="1" x14ac:dyDescent="0.45">
      <c r="A9" s="233" t="s">
        <v>68</v>
      </c>
      <c r="B9" s="234">
        <f>'CB Table 1'!$E$8</f>
        <v>9.2166096196574007E-3</v>
      </c>
      <c r="C9" s="234">
        <f>'CB Table 1'!$G$8</f>
        <v>1.4062893032184626E-2</v>
      </c>
      <c r="D9" s="5"/>
      <c r="E9" s="5"/>
      <c r="F9" s="5"/>
      <c r="G9" s="5"/>
      <c r="H9" s="5"/>
      <c r="I9" s="5"/>
      <c r="J9" s="5"/>
      <c r="K9" s="5"/>
      <c r="L9" s="5"/>
      <c r="M9" s="5"/>
      <c r="N9" s="5"/>
      <c r="O9" s="5"/>
      <c r="Q9" s="198"/>
      <c r="R9" s="199"/>
      <c r="S9" s="197"/>
    </row>
    <row r="10" spans="1:19" ht="22.5" customHeight="1" x14ac:dyDescent="0.45">
      <c r="A10" s="233" t="s">
        <v>67</v>
      </c>
      <c r="B10" s="234">
        <f>'CB Table 1'!$E$7</f>
        <v>7.3506009180121989E-3</v>
      </c>
      <c r="C10" s="234">
        <f>'CB Table 1'!$G$7</f>
        <v>1.1215698472441775E-2</v>
      </c>
      <c r="D10" s="5"/>
      <c r="E10" s="5"/>
      <c r="F10" s="5"/>
      <c r="G10" s="5"/>
      <c r="H10" s="5"/>
      <c r="I10" s="5"/>
      <c r="J10" s="5"/>
      <c r="K10" s="5"/>
      <c r="L10" s="5"/>
      <c r="M10" s="5"/>
      <c r="N10" s="5"/>
      <c r="O10" s="5"/>
      <c r="Q10" s="198"/>
      <c r="R10" s="199"/>
      <c r="S10" s="197"/>
    </row>
    <row r="11" spans="1:19" ht="26.25" x14ac:dyDescent="0.45">
      <c r="A11" s="233" t="s">
        <v>61</v>
      </c>
      <c r="B11" s="234">
        <f>'CB Table 1'!$E$10</f>
        <v>7.5070359379553024E-3</v>
      </c>
      <c r="C11" s="234">
        <f>'CB Table 1'!$G$10</f>
        <v>1.1454390252036678E-2</v>
      </c>
      <c r="D11" s="5"/>
      <c r="E11" s="5"/>
      <c r="F11" s="5"/>
      <c r="G11" s="5"/>
      <c r="H11" s="5"/>
      <c r="I11" s="5"/>
      <c r="J11" s="5"/>
      <c r="K11" s="5"/>
      <c r="L11" s="5"/>
      <c r="M11" s="5"/>
      <c r="N11" s="5"/>
      <c r="O11" s="5"/>
      <c r="Q11" s="198"/>
      <c r="R11" s="199"/>
      <c r="S11" s="197"/>
    </row>
    <row r="12" spans="1:19" x14ac:dyDescent="0.45">
      <c r="A12" s="5"/>
      <c r="B12" s="235">
        <f>SUM(B3:B11)</f>
        <v>0.99706963828875617</v>
      </c>
      <c r="C12" s="235">
        <f>SUM(C3:C11)</f>
        <v>0.9955287936680165</v>
      </c>
      <c r="D12" s="5"/>
      <c r="E12" s="5"/>
      <c r="F12" s="5"/>
      <c r="G12" s="5"/>
      <c r="H12" s="5"/>
      <c r="I12" s="5"/>
      <c r="J12" s="5"/>
      <c r="K12" s="5"/>
      <c r="L12" s="5"/>
      <c r="M12" s="5"/>
      <c r="N12" s="5"/>
      <c r="O12" s="5"/>
    </row>
    <row r="13" spans="1:19" x14ac:dyDescent="0.45">
      <c r="A13" s="85" t="s">
        <v>414</v>
      </c>
      <c r="B13" s="5"/>
      <c r="C13" s="5"/>
      <c r="D13" s="5"/>
      <c r="E13" s="5"/>
      <c r="F13" s="5"/>
      <c r="G13" s="5"/>
      <c r="H13" s="5"/>
      <c r="I13" s="5"/>
      <c r="J13" s="5"/>
      <c r="K13" s="5"/>
      <c r="L13" s="5"/>
      <c r="M13" s="5"/>
      <c r="N13" s="5"/>
      <c r="O13" s="5"/>
    </row>
    <row r="14" spans="1:19" x14ac:dyDescent="0.45">
      <c r="A14" s="5"/>
      <c r="B14" s="5"/>
      <c r="C14" s="5"/>
      <c r="D14" s="5"/>
      <c r="E14" s="5"/>
      <c r="F14" s="5"/>
      <c r="G14" s="5"/>
      <c r="H14" s="5"/>
      <c r="I14" s="5"/>
      <c r="J14" s="5"/>
      <c r="K14" s="5"/>
      <c r="L14" s="5"/>
      <c r="M14" s="5"/>
      <c r="N14" s="5"/>
      <c r="O14" s="5"/>
    </row>
    <row r="15" spans="1:19" x14ac:dyDescent="0.45">
      <c r="A15" s="5"/>
      <c r="B15" s="5"/>
      <c r="C15" s="5"/>
      <c r="D15" s="5"/>
      <c r="E15" s="5"/>
      <c r="F15" s="5"/>
      <c r="G15" s="5"/>
      <c r="H15" s="5"/>
      <c r="I15" s="5"/>
      <c r="J15" s="5"/>
      <c r="K15" s="5"/>
      <c r="L15" s="5"/>
      <c r="M15" s="5"/>
      <c r="N15" s="5"/>
      <c r="O15" s="5"/>
    </row>
    <row r="16" spans="1:19" x14ac:dyDescent="0.45">
      <c r="A16" s="5"/>
      <c r="B16" s="5"/>
      <c r="C16" s="5"/>
      <c r="D16" s="5"/>
      <c r="E16" s="5"/>
      <c r="F16" s="5"/>
      <c r="G16" s="5"/>
      <c r="H16" s="5"/>
      <c r="I16" s="5"/>
      <c r="J16" s="5"/>
      <c r="K16" s="5"/>
      <c r="L16" s="5"/>
      <c r="M16" s="5"/>
      <c r="N16" s="5"/>
      <c r="O16" s="5"/>
    </row>
    <row r="17" spans="1:15" x14ac:dyDescent="0.45">
      <c r="A17" s="5"/>
      <c r="B17" s="5"/>
      <c r="C17" s="5"/>
      <c r="D17" s="5"/>
      <c r="E17" s="5"/>
      <c r="F17" s="5"/>
      <c r="G17" s="5"/>
      <c r="H17" s="5"/>
      <c r="I17" s="5"/>
      <c r="J17" s="5"/>
      <c r="K17" s="5"/>
      <c r="L17" s="5"/>
      <c r="M17" s="5"/>
      <c r="N17" s="5"/>
      <c r="O17" s="5"/>
    </row>
    <row r="18" spans="1:15" x14ac:dyDescent="0.45">
      <c r="A18" s="5"/>
      <c r="B18" s="5"/>
      <c r="C18" s="5"/>
      <c r="D18" s="5"/>
      <c r="E18" s="5"/>
      <c r="F18" s="5"/>
      <c r="G18" s="5"/>
      <c r="H18" s="5"/>
      <c r="I18" s="5"/>
      <c r="J18" s="5"/>
      <c r="K18" s="5"/>
      <c r="L18" s="5"/>
      <c r="M18" s="5"/>
      <c r="N18" s="5"/>
      <c r="O18" s="5"/>
    </row>
    <row r="19" spans="1:15" ht="18" x14ac:dyDescent="0.55000000000000004">
      <c r="A19" s="236" t="s">
        <v>817</v>
      </c>
      <c r="B19" s="5"/>
      <c r="C19" s="5"/>
      <c r="D19" s="5"/>
      <c r="E19" s="5"/>
      <c r="F19" s="5"/>
      <c r="G19" s="5"/>
      <c r="H19" s="5"/>
      <c r="I19" s="5"/>
      <c r="J19" s="5"/>
      <c r="K19" s="5"/>
      <c r="L19" s="5"/>
      <c r="M19" s="5"/>
      <c r="N19" s="5"/>
      <c r="O19" s="5"/>
    </row>
    <row r="20" spans="1:15" x14ac:dyDescent="0.45">
      <c r="A20" s="5"/>
      <c r="B20" s="5"/>
      <c r="C20" s="5"/>
      <c r="D20" s="5"/>
      <c r="E20" s="5"/>
      <c r="F20" s="5"/>
      <c r="G20" s="5"/>
      <c r="H20" s="5"/>
      <c r="I20" s="5"/>
      <c r="J20" s="5"/>
      <c r="K20" s="5"/>
      <c r="L20" s="5"/>
      <c r="M20" s="5"/>
      <c r="N20" s="5"/>
      <c r="O20" s="5"/>
    </row>
    <row r="21" spans="1:15" x14ac:dyDescent="0.45">
      <c r="A21" s="237" t="s">
        <v>213</v>
      </c>
      <c r="B21" s="237" t="s">
        <v>70</v>
      </c>
      <c r="C21" s="237" t="s">
        <v>200</v>
      </c>
      <c r="D21" s="237" t="s">
        <v>219</v>
      </c>
      <c r="E21" s="238" t="s">
        <v>412</v>
      </c>
      <c r="F21" s="5"/>
      <c r="G21" s="5"/>
      <c r="H21" s="5"/>
      <c r="I21" s="5"/>
      <c r="J21" s="5"/>
      <c r="K21" s="5"/>
      <c r="L21" s="5"/>
      <c r="M21" s="5"/>
      <c r="N21" s="5"/>
      <c r="O21" s="5"/>
    </row>
    <row r="22" spans="1:15" x14ac:dyDescent="0.45">
      <c r="A22" s="5">
        <v>2010</v>
      </c>
      <c r="B22" s="239">
        <f t="shared" ref="B22:D31" si="0">+B32/1000000</f>
        <v>312.049419</v>
      </c>
      <c r="C22" s="239">
        <f t="shared" si="0"/>
        <v>211.86369999999999</v>
      </c>
      <c r="D22" s="239">
        <f t="shared" si="0"/>
        <v>11.676030000000001</v>
      </c>
      <c r="E22" s="239">
        <f t="shared" ref="E22:E36" si="1">SUM(B22:D22)</f>
        <v>535.58914900000002</v>
      </c>
      <c r="F22" s="5"/>
      <c r="G22" s="5"/>
      <c r="H22" s="5"/>
      <c r="I22" s="5"/>
      <c r="J22" s="5"/>
      <c r="K22" s="5"/>
      <c r="L22" s="5"/>
      <c r="M22" s="5"/>
      <c r="N22" s="5"/>
      <c r="O22" s="5"/>
    </row>
    <row r="23" spans="1:15" x14ac:dyDescent="0.45">
      <c r="A23" s="5">
        <v>2011</v>
      </c>
      <c r="B23" s="239">
        <f t="shared" si="0"/>
        <v>374.89863100000002</v>
      </c>
      <c r="C23" s="239">
        <f t="shared" si="0"/>
        <v>235.386426</v>
      </c>
      <c r="D23" s="239">
        <f t="shared" si="0"/>
        <v>12.317156000000001</v>
      </c>
      <c r="E23" s="239">
        <f t="shared" si="1"/>
        <v>622.60221300000001</v>
      </c>
      <c r="F23" s="5"/>
      <c r="G23" s="5"/>
      <c r="H23" s="5"/>
      <c r="I23" s="5"/>
      <c r="J23" s="5"/>
      <c r="K23" s="5"/>
      <c r="L23" s="5"/>
      <c r="M23" s="5"/>
      <c r="N23" s="5"/>
      <c r="O23" s="5"/>
    </row>
    <row r="24" spans="1:15" x14ac:dyDescent="0.45">
      <c r="A24" s="5">
        <v>2012</v>
      </c>
      <c r="B24" s="239">
        <f t="shared" si="0"/>
        <v>442.00888400000002</v>
      </c>
      <c r="C24" s="239">
        <f t="shared" si="0"/>
        <v>272.34654399999999</v>
      </c>
      <c r="D24" s="239">
        <f t="shared" si="0"/>
        <v>12.259686</v>
      </c>
      <c r="E24" s="239">
        <f t="shared" si="1"/>
        <v>726.61511400000006</v>
      </c>
      <c r="F24" s="5"/>
      <c r="G24" s="5"/>
      <c r="H24" s="5"/>
      <c r="I24" s="5"/>
      <c r="J24" s="5"/>
      <c r="K24" s="5"/>
      <c r="L24" s="5"/>
      <c r="M24" s="5"/>
      <c r="N24" s="5"/>
      <c r="O24" s="5"/>
    </row>
    <row r="25" spans="1:15" x14ac:dyDescent="0.45">
      <c r="A25" s="5">
        <v>2013</v>
      </c>
      <c r="B25" s="239">
        <f t="shared" si="0"/>
        <v>462.590418</v>
      </c>
      <c r="C25" s="239">
        <f t="shared" si="0"/>
        <v>316.213911</v>
      </c>
      <c r="D25" s="239">
        <f t="shared" si="0"/>
        <v>13.303674000000001</v>
      </c>
      <c r="E25" s="239">
        <f t="shared" si="1"/>
        <v>792.10800300000005</v>
      </c>
      <c r="F25" s="5"/>
      <c r="G25" s="5"/>
      <c r="H25" s="5"/>
      <c r="I25" s="5"/>
      <c r="J25" s="5"/>
      <c r="K25" s="5"/>
      <c r="L25" s="5"/>
      <c r="M25" s="5"/>
      <c r="N25" s="5"/>
      <c r="O25" s="5"/>
    </row>
    <row r="26" spans="1:15" x14ac:dyDescent="0.45">
      <c r="A26" s="5">
        <v>2014</v>
      </c>
      <c r="B26" s="239">
        <f t="shared" si="0"/>
        <v>463.908838</v>
      </c>
      <c r="C26" s="239">
        <f t="shared" si="0"/>
        <v>294.40706</v>
      </c>
      <c r="D26" s="239">
        <f t="shared" si="0"/>
        <v>15.140921000000001</v>
      </c>
      <c r="E26" s="239">
        <f t="shared" si="1"/>
        <v>773.45681900000011</v>
      </c>
      <c r="F26" s="5"/>
      <c r="G26" s="5"/>
      <c r="H26" s="5"/>
      <c r="I26" s="5"/>
      <c r="J26" s="5"/>
      <c r="K26" s="5"/>
      <c r="L26" s="5"/>
      <c r="M26" s="5"/>
      <c r="N26" s="5"/>
      <c r="O26" s="5"/>
    </row>
    <row r="27" spans="1:15" x14ac:dyDescent="0.45">
      <c r="A27" s="5">
        <v>2015</v>
      </c>
      <c r="B27" s="239">
        <f t="shared" si="0"/>
        <v>428.14220477171256</v>
      </c>
      <c r="C27" s="239">
        <f t="shared" si="0"/>
        <v>302.62216699999999</v>
      </c>
      <c r="D27" s="239">
        <f t="shared" si="0"/>
        <v>15.335908928590001</v>
      </c>
      <c r="E27" s="239">
        <f t="shared" ref="E27:E29" si="2">SUM(B27:D27)</f>
        <v>746.10028070030262</v>
      </c>
      <c r="F27" s="5"/>
      <c r="G27" s="5"/>
      <c r="H27" s="5"/>
      <c r="I27" s="5"/>
      <c r="J27" s="5"/>
      <c r="K27" s="5"/>
      <c r="L27" s="5"/>
      <c r="M27" s="5"/>
      <c r="N27" s="5"/>
      <c r="O27" s="5"/>
    </row>
    <row r="28" spans="1:15" x14ac:dyDescent="0.45">
      <c r="A28" s="5">
        <v>2016</v>
      </c>
      <c r="B28" s="239">
        <f t="shared" si="0"/>
        <v>343.87975935278638</v>
      </c>
      <c r="C28" s="239">
        <f t="shared" si="0"/>
        <v>336.45116132896806</v>
      </c>
      <c r="D28" s="239">
        <f t="shared" si="0"/>
        <v>15.674793067800005</v>
      </c>
      <c r="E28" s="239">
        <f t="shared" si="2"/>
        <v>696.00571374955439</v>
      </c>
      <c r="F28" s="5"/>
      <c r="G28" s="5"/>
      <c r="H28" s="5"/>
      <c r="I28" s="5"/>
      <c r="J28" s="5"/>
      <c r="K28" s="5"/>
      <c r="L28" s="5"/>
      <c r="M28" s="5"/>
      <c r="N28" s="5"/>
      <c r="O28" s="5"/>
    </row>
    <row r="29" spans="1:15" x14ac:dyDescent="0.45">
      <c r="A29" s="5">
        <v>2017</v>
      </c>
      <c r="B29" s="239">
        <f t="shared" si="0"/>
        <v>307.57909999999998</v>
      </c>
      <c r="C29" s="239">
        <f t="shared" si="0"/>
        <v>342.76940100000002</v>
      </c>
      <c r="D29" s="239">
        <f t="shared" si="0"/>
        <v>16.218247999999999</v>
      </c>
      <c r="E29" s="239">
        <f t="shared" si="2"/>
        <v>666.56674899999996</v>
      </c>
      <c r="F29" s="5"/>
      <c r="G29" s="5"/>
      <c r="H29" s="5"/>
      <c r="I29" s="5"/>
      <c r="J29" s="5"/>
      <c r="K29" s="5"/>
      <c r="L29" s="5"/>
      <c r="M29" s="5"/>
      <c r="N29" s="5"/>
      <c r="O29" s="5"/>
    </row>
    <row r="30" spans="1:15" x14ac:dyDescent="0.45">
      <c r="A30" s="5">
        <v>2018</v>
      </c>
      <c r="B30" s="239">
        <f t="shared" si="0"/>
        <v>301.54137674841866</v>
      </c>
      <c r="C30" s="239">
        <f t="shared" si="0"/>
        <v>344.07951964127801</v>
      </c>
      <c r="D30" s="239">
        <f t="shared" si="0"/>
        <v>16.639269999</v>
      </c>
      <c r="E30" s="239">
        <f>SUM(B30:D30)</f>
        <v>662.26016638869669</v>
      </c>
      <c r="F30" s="5"/>
      <c r="G30" s="5"/>
      <c r="H30" s="5"/>
      <c r="I30" s="5"/>
      <c r="J30" s="5"/>
      <c r="K30" s="5"/>
      <c r="L30" s="5"/>
      <c r="M30" s="5"/>
      <c r="N30" s="5"/>
      <c r="O30" s="5"/>
    </row>
    <row r="31" spans="1:15" x14ac:dyDescent="0.45">
      <c r="A31" s="5">
        <v>2019</v>
      </c>
      <c r="B31" s="239">
        <f t="shared" si="0"/>
        <v>280.32054054977982</v>
      </c>
      <c r="C31" s="239">
        <f t="shared" si="0"/>
        <v>352.61474722317746</v>
      </c>
      <c r="D31" s="239">
        <f t="shared" si="0"/>
        <v>16.992206434180002</v>
      </c>
      <c r="E31" s="239">
        <f>SUM(B31:D31)</f>
        <v>649.92749420713733</v>
      </c>
      <c r="F31" s="5"/>
      <c r="G31" s="5"/>
      <c r="H31" s="5"/>
      <c r="I31" s="5"/>
      <c r="J31" s="5"/>
      <c r="K31" s="5"/>
      <c r="L31" s="5"/>
      <c r="M31" s="5"/>
      <c r="N31" s="5"/>
      <c r="O31" s="5"/>
    </row>
    <row r="32" spans="1:15" x14ac:dyDescent="0.45">
      <c r="A32" s="5">
        <v>2010</v>
      </c>
      <c r="B32" s="889">
        <v>312049419</v>
      </c>
      <c r="C32" s="239">
        <v>211863700</v>
      </c>
      <c r="D32" s="239">
        <v>11676030</v>
      </c>
      <c r="E32" s="239">
        <f t="shared" si="1"/>
        <v>535589149</v>
      </c>
      <c r="F32" s="5"/>
      <c r="G32" s="5"/>
      <c r="H32" s="5"/>
      <c r="I32" s="5"/>
      <c r="J32" s="5"/>
      <c r="K32" s="5"/>
      <c r="L32" s="5"/>
      <c r="M32" s="5"/>
      <c r="N32" s="5"/>
      <c r="O32" s="5"/>
    </row>
    <row r="33" spans="1:15" x14ac:dyDescent="0.45">
      <c r="A33" s="5">
        <v>2011</v>
      </c>
      <c r="B33" s="889">
        <v>374898631</v>
      </c>
      <c r="C33" s="239">
        <v>235386426</v>
      </c>
      <c r="D33" s="239">
        <v>12317156</v>
      </c>
      <c r="E33" s="239">
        <f t="shared" si="1"/>
        <v>622602213</v>
      </c>
      <c r="F33" s="5"/>
      <c r="G33" s="5"/>
      <c r="H33" s="5"/>
      <c r="I33" s="5"/>
      <c r="J33" s="5"/>
      <c r="K33" s="5"/>
      <c r="L33" s="5"/>
      <c r="M33" s="5"/>
      <c r="N33" s="5"/>
      <c r="O33" s="5"/>
    </row>
    <row r="34" spans="1:15" x14ac:dyDescent="0.45">
      <c r="A34" s="5">
        <v>2012</v>
      </c>
      <c r="B34" s="889">
        <v>442008884</v>
      </c>
      <c r="C34" s="239">
        <v>272346544</v>
      </c>
      <c r="D34" s="239">
        <v>12259686</v>
      </c>
      <c r="E34" s="239">
        <f t="shared" si="1"/>
        <v>726615114</v>
      </c>
      <c r="F34" s="5"/>
      <c r="G34" s="5"/>
      <c r="H34" s="5"/>
      <c r="I34" s="5"/>
      <c r="J34" s="5"/>
      <c r="K34" s="5"/>
      <c r="L34" s="5"/>
      <c r="M34" s="5"/>
      <c r="N34" s="5"/>
      <c r="O34" s="5"/>
    </row>
    <row r="35" spans="1:15" x14ac:dyDescent="0.45">
      <c r="A35" s="5">
        <v>2013</v>
      </c>
      <c r="B35" s="889">
        <v>462590418</v>
      </c>
      <c r="C35" s="239">
        <v>316213911</v>
      </c>
      <c r="D35" s="239">
        <v>13303674</v>
      </c>
      <c r="E35" s="239">
        <f t="shared" si="1"/>
        <v>792108003</v>
      </c>
      <c r="F35" s="5"/>
      <c r="G35" s="5"/>
      <c r="H35" s="5"/>
      <c r="I35" s="5"/>
      <c r="J35" s="5"/>
      <c r="K35" s="5"/>
      <c r="L35" s="5"/>
      <c r="M35" s="5"/>
      <c r="N35" s="5"/>
      <c r="O35" s="5"/>
    </row>
    <row r="36" spans="1:15" x14ac:dyDescent="0.45">
      <c r="A36" s="5">
        <v>2014</v>
      </c>
      <c r="B36" s="889">
        <v>463908838</v>
      </c>
      <c r="C36" s="239">
        <v>294407060</v>
      </c>
      <c r="D36" s="239">
        <v>15140921</v>
      </c>
      <c r="E36" s="239">
        <f t="shared" si="1"/>
        <v>773456819</v>
      </c>
      <c r="F36" s="5"/>
      <c r="G36" s="5"/>
      <c r="H36" s="5"/>
      <c r="I36" s="5"/>
      <c r="J36" s="5"/>
      <c r="K36" s="5"/>
      <c r="L36" s="5"/>
      <c r="M36" s="5"/>
      <c r="N36" s="5"/>
      <c r="O36" s="5"/>
    </row>
    <row r="37" spans="1:15" x14ac:dyDescent="0.45">
      <c r="A37" s="5">
        <v>2015</v>
      </c>
      <c r="B37" s="889">
        <v>428142204.77171254</v>
      </c>
      <c r="C37" s="239">
        <v>302622167</v>
      </c>
      <c r="D37" s="239">
        <v>15335908.928590002</v>
      </c>
      <c r="E37" s="239">
        <f t="shared" ref="E37:E39" si="3">SUM(B37:D37)</f>
        <v>746100280.7003026</v>
      </c>
      <c r="F37" s="5"/>
      <c r="G37" s="5"/>
      <c r="H37" s="5"/>
      <c r="I37" s="5"/>
      <c r="J37" s="5"/>
      <c r="K37" s="5"/>
      <c r="L37" s="5"/>
      <c r="M37" s="5"/>
      <c r="N37" s="5"/>
      <c r="O37" s="5"/>
    </row>
    <row r="38" spans="1:15" x14ac:dyDescent="0.45">
      <c r="A38" s="5">
        <v>2016</v>
      </c>
      <c r="B38" s="889">
        <v>343879759.35278636</v>
      </c>
      <c r="C38" s="239">
        <v>336451161.32896805</v>
      </c>
      <c r="D38" s="239">
        <v>15674793.067800004</v>
      </c>
      <c r="E38" s="239">
        <f t="shared" si="3"/>
        <v>696005713.7495544</v>
      </c>
      <c r="F38" s="5"/>
      <c r="G38" s="5"/>
      <c r="H38" s="5"/>
      <c r="I38" s="5"/>
      <c r="J38" s="5"/>
      <c r="K38" s="5"/>
      <c r="L38" s="5"/>
      <c r="M38" s="5"/>
      <c r="N38" s="5"/>
      <c r="O38" s="5"/>
    </row>
    <row r="39" spans="1:15" x14ac:dyDescent="0.45">
      <c r="A39" s="5">
        <v>2017</v>
      </c>
      <c r="B39" s="445">
        <v>307579100</v>
      </c>
      <c r="C39" s="445">
        <v>342769401</v>
      </c>
      <c r="D39" s="445">
        <v>16218248</v>
      </c>
      <c r="E39" s="239">
        <f t="shared" si="3"/>
        <v>666566749</v>
      </c>
      <c r="F39" s="5"/>
      <c r="G39" s="5"/>
      <c r="H39" s="5"/>
      <c r="I39" s="5"/>
      <c r="J39" s="5"/>
      <c r="K39" s="5"/>
      <c r="L39" s="5"/>
      <c r="M39" s="5"/>
      <c r="N39" s="5"/>
      <c r="O39" s="5"/>
    </row>
    <row r="40" spans="1:15" x14ac:dyDescent="0.45">
      <c r="A40" s="5">
        <v>2018</v>
      </c>
      <c r="B40" s="445">
        <v>301541376.74841863</v>
      </c>
      <c r="C40" s="445">
        <v>344079519.64127803</v>
      </c>
      <c r="D40" s="445">
        <v>16639269.999</v>
      </c>
      <c r="E40" s="239">
        <v>662260166.38869655</v>
      </c>
      <c r="F40" s="5"/>
      <c r="G40" s="5"/>
      <c r="H40" s="5"/>
      <c r="I40" s="5"/>
      <c r="J40" s="5"/>
      <c r="K40" s="5"/>
      <c r="L40" s="5"/>
      <c r="M40" s="5"/>
      <c r="N40" s="5"/>
      <c r="O40" s="5"/>
    </row>
    <row r="41" spans="1:15" x14ac:dyDescent="0.45">
      <c r="A41" s="5">
        <v>2019</v>
      </c>
      <c r="B41" s="889">
        <f>'Rate Support-Attachment I'!E53</f>
        <v>280320540.54977983</v>
      </c>
      <c r="C41" s="239">
        <f>'Rate Support-Attachment I'!C53</f>
        <v>352614747.22317743</v>
      </c>
      <c r="D41" s="239">
        <f>'Rate Support-Attachment I'!D53</f>
        <v>16992206.434180003</v>
      </c>
      <c r="E41" s="239">
        <f>SUM(B41:D41)</f>
        <v>649927494.20713735</v>
      </c>
      <c r="F41" s="5"/>
      <c r="G41" s="5"/>
      <c r="H41" s="5"/>
      <c r="I41" s="5"/>
      <c r="J41" s="5"/>
      <c r="K41" s="5"/>
      <c r="L41" s="5"/>
      <c r="M41" s="5"/>
      <c r="N41" s="5"/>
      <c r="O41" s="5"/>
    </row>
    <row r="42" spans="1:15" x14ac:dyDescent="0.45">
      <c r="A42" s="5"/>
      <c r="B42" s="5"/>
      <c r="C42" s="5"/>
      <c r="D42" s="5"/>
      <c r="E42" s="5"/>
      <c r="F42" s="5"/>
      <c r="G42" s="5"/>
      <c r="H42" s="5"/>
      <c r="I42" s="5"/>
      <c r="J42" s="5"/>
      <c r="K42" s="5"/>
      <c r="L42" s="5"/>
      <c r="M42" s="5"/>
      <c r="N42" s="5"/>
      <c r="O42" s="5"/>
    </row>
    <row r="43" spans="1:15" x14ac:dyDescent="0.45">
      <c r="A43" s="890" t="s">
        <v>818</v>
      </c>
      <c r="B43" s="5"/>
      <c r="C43" s="5"/>
      <c r="D43" s="5"/>
      <c r="E43" s="5"/>
      <c r="F43" s="5"/>
      <c r="G43" s="5"/>
      <c r="H43" s="5"/>
      <c r="I43" s="5"/>
      <c r="J43" s="5"/>
      <c r="K43" s="5"/>
      <c r="L43" s="5"/>
      <c r="M43" s="5"/>
      <c r="N43" s="5"/>
      <c r="O43" s="5"/>
    </row>
    <row r="44" spans="1:15" ht="28.5" x14ac:dyDescent="0.45">
      <c r="A44" s="240" t="s">
        <v>213</v>
      </c>
      <c r="B44" s="241" t="s">
        <v>218</v>
      </c>
      <c r="C44" s="241" t="s">
        <v>217</v>
      </c>
      <c r="D44" s="5"/>
      <c r="E44" s="5"/>
      <c r="F44" s="5"/>
      <c r="G44" s="5"/>
      <c r="H44" s="5"/>
      <c r="I44" s="5"/>
      <c r="J44" s="5"/>
      <c r="K44" s="5"/>
      <c r="L44" s="5"/>
      <c r="M44" s="5"/>
      <c r="N44" s="5"/>
      <c r="O44" s="5"/>
    </row>
    <row r="45" spans="1:15" x14ac:dyDescent="0.45">
      <c r="A45" s="5">
        <v>2010</v>
      </c>
      <c r="B45" s="239">
        <f t="shared" ref="B45:C54" si="4">+C57</f>
        <v>1051.0517503757258</v>
      </c>
      <c r="C45" s="239">
        <f t="shared" si="4"/>
        <v>515.46260137572574</v>
      </c>
      <c r="D45" s="256"/>
      <c r="E45" s="5"/>
      <c r="F45" s="5"/>
      <c r="G45" s="5"/>
      <c r="H45" s="5"/>
      <c r="I45" s="5"/>
      <c r="J45" s="5"/>
      <c r="K45" s="5"/>
      <c r="L45" s="5"/>
      <c r="M45" s="5"/>
      <c r="N45" s="5"/>
      <c r="O45" s="5"/>
    </row>
    <row r="46" spans="1:15" x14ac:dyDescent="0.45">
      <c r="A46" s="5">
        <v>2011</v>
      </c>
      <c r="B46" s="239">
        <f t="shared" si="4"/>
        <v>1203.0176928095927</v>
      </c>
      <c r="C46" s="239">
        <f t="shared" si="4"/>
        <v>580.41547980959274</v>
      </c>
      <c r="D46" s="5"/>
      <c r="E46" s="5"/>
      <c r="F46" s="5"/>
      <c r="G46" s="5"/>
      <c r="H46" s="5"/>
      <c r="I46" s="5"/>
      <c r="J46" s="5"/>
      <c r="K46" s="5"/>
      <c r="L46" s="5"/>
      <c r="M46" s="5"/>
      <c r="N46" s="5"/>
      <c r="O46" s="5"/>
    </row>
    <row r="47" spans="1:15" x14ac:dyDescent="0.45">
      <c r="A47" s="5">
        <v>2012</v>
      </c>
      <c r="B47" s="239">
        <f t="shared" si="4"/>
        <v>1378.3019303951344</v>
      </c>
      <c r="C47" s="239">
        <f t="shared" si="4"/>
        <v>651.68681639513431</v>
      </c>
      <c r="D47" s="5"/>
      <c r="E47" s="5"/>
      <c r="F47" s="5"/>
      <c r="G47" s="5"/>
      <c r="H47" s="5"/>
      <c r="I47" s="5"/>
      <c r="J47" s="5"/>
      <c r="K47" s="5"/>
      <c r="L47" s="5"/>
      <c r="M47" s="5"/>
      <c r="N47" s="5"/>
      <c r="O47" s="5"/>
    </row>
    <row r="48" spans="1:15" x14ac:dyDescent="0.45">
      <c r="A48" s="5">
        <v>2013</v>
      </c>
      <c r="B48" s="239">
        <f t="shared" si="4"/>
        <v>1505.554321846221</v>
      </c>
      <c r="C48" s="239">
        <f t="shared" si="4"/>
        <v>713.44631884622095</v>
      </c>
      <c r="D48" s="5"/>
      <c r="E48" s="5"/>
      <c r="F48" s="5"/>
      <c r="G48" s="5"/>
      <c r="H48" s="5"/>
      <c r="I48" s="5"/>
      <c r="J48" s="5"/>
      <c r="K48" s="5"/>
      <c r="L48" s="5"/>
      <c r="M48" s="5"/>
      <c r="N48" s="5"/>
      <c r="O48" s="5"/>
    </row>
    <row r="49" spans="1:15" x14ac:dyDescent="0.45">
      <c r="A49" s="5">
        <v>2014</v>
      </c>
      <c r="B49" s="239">
        <f t="shared" si="4"/>
        <v>1498.125311</v>
      </c>
      <c r="C49" s="239">
        <f t="shared" si="4"/>
        <v>724.6684919999999</v>
      </c>
      <c r="D49" s="5"/>
      <c r="E49" s="5"/>
      <c r="F49" s="5"/>
      <c r="G49" s="5"/>
      <c r="H49" s="5"/>
      <c r="I49" s="5"/>
      <c r="J49" s="5"/>
      <c r="K49" s="5"/>
      <c r="L49" s="5"/>
      <c r="M49" s="5"/>
      <c r="N49" s="5"/>
      <c r="O49" s="5"/>
    </row>
    <row r="50" spans="1:15" x14ac:dyDescent="0.45">
      <c r="A50" s="5">
        <v>2015</v>
      </c>
      <c r="B50" s="239">
        <f t="shared" si="4"/>
        <v>1477.3026560000001</v>
      </c>
      <c r="C50" s="239">
        <f t="shared" si="4"/>
        <v>731.20237529969745</v>
      </c>
      <c r="D50" s="5"/>
      <c r="E50" s="5"/>
      <c r="F50" s="5"/>
      <c r="G50" s="5"/>
      <c r="H50" s="5"/>
      <c r="I50" s="5"/>
      <c r="J50" s="5"/>
      <c r="K50" s="5"/>
      <c r="L50" s="5"/>
      <c r="M50" s="5"/>
      <c r="N50" s="5"/>
      <c r="O50" s="5"/>
    </row>
    <row r="51" spans="1:15" x14ac:dyDescent="0.45">
      <c r="A51" s="5">
        <v>2016</v>
      </c>
      <c r="B51" s="239">
        <f t="shared" si="4"/>
        <v>1523.6728668289177</v>
      </c>
      <c r="C51" s="239">
        <f t="shared" si="4"/>
        <v>827.66715307936329</v>
      </c>
      <c r="D51" s="5"/>
      <c r="E51" s="5"/>
      <c r="F51" s="5"/>
      <c r="G51" s="5"/>
      <c r="H51" s="5"/>
      <c r="I51" s="5"/>
      <c r="J51" s="5"/>
      <c r="K51" s="5"/>
      <c r="L51" s="5"/>
      <c r="M51" s="5"/>
      <c r="N51" s="5"/>
      <c r="O51" s="5"/>
    </row>
    <row r="52" spans="1:15" x14ac:dyDescent="0.45">
      <c r="A52" s="5">
        <v>2017</v>
      </c>
      <c r="B52" s="239">
        <f t="shared" si="4"/>
        <v>1562.5152129999999</v>
      </c>
      <c r="C52" s="239">
        <f t="shared" si="4"/>
        <v>895.94846399999994</v>
      </c>
      <c r="D52" s="5"/>
      <c r="E52" s="5"/>
      <c r="F52" s="5"/>
      <c r="G52" s="5"/>
      <c r="H52" s="5"/>
      <c r="I52" s="5"/>
      <c r="J52" s="5"/>
      <c r="K52" s="5"/>
      <c r="L52" s="5"/>
      <c r="M52" s="5"/>
      <c r="N52" s="5"/>
      <c r="O52" s="5"/>
    </row>
    <row r="53" spans="1:15" x14ac:dyDescent="0.45">
      <c r="A53" s="5">
        <v>2018</v>
      </c>
      <c r="B53" s="239">
        <f t="shared" si="4"/>
        <v>1748.4416889699364</v>
      </c>
      <c r="C53" s="239">
        <f t="shared" si="4"/>
        <v>1086.1815225812397</v>
      </c>
      <c r="D53" s="5"/>
      <c r="E53" s="5"/>
      <c r="F53" s="5"/>
      <c r="G53" s="5"/>
      <c r="H53" s="5"/>
      <c r="I53" s="5"/>
      <c r="J53" s="5"/>
      <c r="K53" s="5"/>
      <c r="L53" s="5"/>
      <c r="M53" s="5"/>
      <c r="N53" s="5"/>
      <c r="O53" s="5"/>
    </row>
    <row r="54" spans="1:15" x14ac:dyDescent="0.45">
      <c r="A54" s="5">
        <v>2019</v>
      </c>
      <c r="B54" s="239">
        <f t="shared" si="4"/>
        <v>1885.9526062099812</v>
      </c>
      <c r="C54" s="239">
        <f t="shared" si="4"/>
        <v>1236.0251120028438</v>
      </c>
      <c r="D54" s="5"/>
      <c r="E54" s="5"/>
      <c r="F54" s="5"/>
      <c r="G54" s="5"/>
      <c r="H54" s="5"/>
      <c r="I54" s="5"/>
      <c r="J54" s="5"/>
      <c r="K54" s="5"/>
      <c r="L54" s="5"/>
      <c r="M54" s="5"/>
      <c r="N54" s="5"/>
      <c r="O54" s="5"/>
    </row>
    <row r="55" spans="1:15" x14ac:dyDescent="0.45">
      <c r="A55" s="5"/>
      <c r="B55" s="5"/>
      <c r="C55" s="5"/>
      <c r="D55" s="5"/>
      <c r="E55" s="5"/>
      <c r="F55" s="5"/>
      <c r="G55" s="5"/>
      <c r="H55" s="5"/>
      <c r="I55" s="5"/>
      <c r="J55" s="5"/>
      <c r="K55" s="5"/>
      <c r="L55" s="5"/>
      <c r="M55" s="5"/>
      <c r="N55" s="5"/>
      <c r="O55" s="5"/>
    </row>
    <row r="56" spans="1:15" ht="28.5" x14ac:dyDescent="0.45">
      <c r="A56" s="240" t="s">
        <v>213</v>
      </c>
      <c r="B56" s="241" t="s">
        <v>216</v>
      </c>
      <c r="C56" s="241" t="s">
        <v>214</v>
      </c>
      <c r="D56" s="242" t="s">
        <v>415</v>
      </c>
      <c r="E56" s="5"/>
      <c r="F56" s="5"/>
      <c r="G56" s="5"/>
      <c r="H56" s="5"/>
      <c r="I56" s="5"/>
      <c r="J56" s="5"/>
      <c r="K56" s="5"/>
      <c r="L56" s="5"/>
      <c r="M56" s="5"/>
      <c r="N56" s="5"/>
      <c r="O56" s="5"/>
    </row>
    <row r="57" spans="1:15" x14ac:dyDescent="0.45">
      <c r="A57" s="5">
        <v>2010</v>
      </c>
      <c r="B57" s="239">
        <f t="shared" ref="B57:C61" si="5">+B81/1000000</f>
        <v>12647.785379358338</v>
      </c>
      <c r="C57" s="239">
        <f t="shared" si="5"/>
        <v>1051.0517503757258</v>
      </c>
      <c r="D57" s="239">
        <f t="shared" ref="D57:D66" si="6">+C57-E22</f>
        <v>515.46260137572574</v>
      </c>
      <c r="E57" s="243"/>
      <c r="F57" s="5"/>
      <c r="G57" s="5"/>
      <c r="H57" s="5"/>
      <c r="I57" s="5"/>
      <c r="J57" s="5"/>
      <c r="K57" s="5"/>
      <c r="L57" s="5"/>
      <c r="M57" s="5"/>
      <c r="N57" s="5"/>
      <c r="O57" s="5"/>
    </row>
    <row r="58" spans="1:15" x14ac:dyDescent="0.45">
      <c r="A58" s="5">
        <v>2011</v>
      </c>
      <c r="B58" s="239">
        <f t="shared" si="5"/>
        <v>13039.588671793743</v>
      </c>
      <c r="C58" s="239">
        <f t="shared" si="5"/>
        <v>1203.0176928095927</v>
      </c>
      <c r="D58" s="239">
        <f t="shared" si="6"/>
        <v>580.41547980959274</v>
      </c>
      <c r="E58" s="243"/>
      <c r="F58" s="5"/>
      <c r="G58" s="5"/>
      <c r="H58" s="5"/>
      <c r="I58" s="5"/>
      <c r="J58" s="5"/>
      <c r="K58" s="5"/>
      <c r="L58" s="5"/>
      <c r="M58" s="5"/>
      <c r="N58" s="5"/>
      <c r="O58" s="5"/>
    </row>
    <row r="59" spans="1:15" x14ac:dyDescent="0.45">
      <c r="A59" s="5">
        <v>2012</v>
      </c>
      <c r="B59" s="239">
        <f t="shared" si="5"/>
        <v>13532.154004168002</v>
      </c>
      <c r="C59" s="239">
        <f t="shared" si="5"/>
        <v>1378.3019303951344</v>
      </c>
      <c r="D59" s="239">
        <f t="shared" si="6"/>
        <v>651.68681639513431</v>
      </c>
      <c r="E59" s="243"/>
      <c r="F59" s="5"/>
      <c r="G59" s="5"/>
      <c r="H59" s="5"/>
      <c r="I59" s="5"/>
      <c r="J59" s="5"/>
      <c r="K59" s="5"/>
      <c r="L59" s="5"/>
      <c r="M59" s="5"/>
      <c r="N59" s="5"/>
      <c r="O59" s="5"/>
    </row>
    <row r="60" spans="1:15" x14ac:dyDescent="0.45">
      <c r="A60" s="5">
        <v>2013</v>
      </c>
      <c r="B60" s="239">
        <f t="shared" si="5"/>
        <v>13625.073340212002</v>
      </c>
      <c r="C60" s="239">
        <f t="shared" si="5"/>
        <v>1505.554321846221</v>
      </c>
      <c r="D60" s="239">
        <f t="shared" si="6"/>
        <v>713.44631884622095</v>
      </c>
      <c r="E60" s="243"/>
      <c r="F60" s="5"/>
      <c r="G60" s="5"/>
      <c r="H60" s="5"/>
      <c r="I60" s="5"/>
      <c r="J60" s="5"/>
      <c r="K60" s="5"/>
      <c r="L60" s="5"/>
      <c r="M60" s="5"/>
      <c r="N60" s="5"/>
      <c r="O60" s="5"/>
    </row>
    <row r="61" spans="1:15" x14ac:dyDescent="0.45">
      <c r="A61" s="5">
        <v>2014</v>
      </c>
      <c r="B61" s="239">
        <f t="shared" si="5"/>
        <v>14105.52369</v>
      </c>
      <c r="C61" s="239">
        <f t="shared" si="5"/>
        <v>1498.125311</v>
      </c>
      <c r="D61" s="239">
        <f t="shared" si="6"/>
        <v>724.6684919999999</v>
      </c>
      <c r="E61" s="243"/>
      <c r="F61" s="243"/>
      <c r="G61" s="5"/>
      <c r="H61" s="5"/>
      <c r="I61" s="5"/>
      <c r="J61" s="5"/>
      <c r="K61" s="5"/>
      <c r="L61" s="5"/>
      <c r="M61" s="5"/>
      <c r="N61" s="5"/>
      <c r="O61" s="5"/>
    </row>
    <row r="62" spans="1:15" x14ac:dyDescent="0.45">
      <c r="A62" s="5">
        <v>2015</v>
      </c>
      <c r="B62" s="239">
        <f t="shared" ref="B62:C64" si="7">+B86/1000000</f>
        <v>14693.452601719999</v>
      </c>
      <c r="C62" s="239">
        <f t="shared" si="7"/>
        <v>1477.3026560000001</v>
      </c>
      <c r="D62" s="239">
        <f t="shared" si="6"/>
        <v>731.20237529969745</v>
      </c>
      <c r="E62" s="243"/>
      <c r="F62" s="5"/>
      <c r="G62" s="5"/>
      <c r="H62" s="5"/>
      <c r="I62" s="5"/>
      <c r="J62" s="5"/>
      <c r="K62" s="5"/>
      <c r="L62" s="5"/>
      <c r="M62" s="5"/>
      <c r="N62" s="5"/>
      <c r="O62" s="5"/>
    </row>
    <row r="63" spans="1:15" x14ac:dyDescent="0.45">
      <c r="A63" s="5">
        <v>2016</v>
      </c>
      <c r="B63" s="239">
        <f t="shared" si="7"/>
        <v>16329.405720936335</v>
      </c>
      <c r="C63" s="239">
        <f t="shared" si="7"/>
        <v>1523.6728668289177</v>
      </c>
      <c r="D63" s="239">
        <f t="shared" si="6"/>
        <v>827.66715307936329</v>
      </c>
      <c r="E63" s="243"/>
      <c r="F63" s="5"/>
      <c r="G63" s="5"/>
      <c r="H63" s="5"/>
      <c r="I63" s="5"/>
      <c r="J63" s="5"/>
      <c r="K63" s="5"/>
      <c r="L63" s="5"/>
      <c r="M63" s="5"/>
      <c r="N63" s="5"/>
      <c r="O63" s="5"/>
    </row>
    <row r="64" spans="1:15" x14ac:dyDescent="0.45">
      <c r="A64" s="5">
        <v>2017</v>
      </c>
      <c r="B64" s="239">
        <f t="shared" si="7"/>
        <v>15834.40826</v>
      </c>
      <c r="C64" s="239">
        <f t="shared" si="7"/>
        <v>1562.5152129999999</v>
      </c>
      <c r="D64" s="239">
        <f t="shared" si="6"/>
        <v>895.94846399999994</v>
      </c>
      <c r="E64" s="243"/>
      <c r="F64" s="5"/>
      <c r="G64" s="5"/>
      <c r="H64" s="5"/>
      <c r="I64" s="5"/>
      <c r="J64" s="5"/>
      <c r="K64" s="5"/>
      <c r="L64" s="5"/>
      <c r="M64" s="5"/>
      <c r="N64" s="5"/>
      <c r="O64" s="5"/>
    </row>
    <row r="65" spans="1:15" x14ac:dyDescent="0.45">
      <c r="A65" s="5">
        <v>2018</v>
      </c>
      <c r="B65" s="239">
        <f>+B89/1000000</f>
        <v>16143.540167628906</v>
      </c>
      <c r="C65" s="239">
        <f>+C89/1000000</f>
        <v>1748.4416889699364</v>
      </c>
      <c r="D65" s="239">
        <f t="shared" si="6"/>
        <v>1086.1815225812397</v>
      </c>
      <c r="E65" s="243"/>
      <c r="F65" s="5"/>
      <c r="G65" s="5"/>
      <c r="H65" s="5"/>
      <c r="I65" s="5"/>
      <c r="J65" s="5"/>
      <c r="K65" s="5"/>
      <c r="L65" s="5"/>
      <c r="M65" s="5"/>
      <c r="N65" s="5"/>
      <c r="O65" s="5"/>
    </row>
    <row r="66" spans="1:15" x14ac:dyDescent="0.45">
      <c r="A66" s="5">
        <v>2019</v>
      </c>
      <c r="B66" s="239">
        <f>+B90/1000000</f>
        <v>16778.744994412515</v>
      </c>
      <c r="C66" s="239">
        <f>+C90/1000000</f>
        <v>1885.9526062099812</v>
      </c>
      <c r="D66" s="239">
        <f t="shared" si="6"/>
        <v>1236.0251120028438</v>
      </c>
      <c r="E66" s="243"/>
      <c r="F66" s="5"/>
      <c r="G66" s="5"/>
      <c r="H66" s="5"/>
      <c r="I66" s="5"/>
      <c r="J66" s="5"/>
      <c r="K66" s="5"/>
      <c r="L66" s="5"/>
      <c r="M66" s="5"/>
      <c r="N66" s="5"/>
      <c r="O66" s="5"/>
    </row>
    <row r="67" spans="1:15" x14ac:dyDescent="0.45">
      <c r="A67" s="5"/>
      <c r="B67" s="5"/>
      <c r="C67" s="5"/>
      <c r="D67" s="5"/>
      <c r="E67" s="5"/>
      <c r="F67" s="5"/>
      <c r="G67" s="5"/>
      <c r="H67" s="5"/>
      <c r="I67" s="5"/>
      <c r="J67" s="5"/>
      <c r="K67" s="5"/>
      <c r="L67" s="5"/>
      <c r="M67" s="5"/>
      <c r="N67" s="5"/>
      <c r="O67" s="5"/>
    </row>
    <row r="68" spans="1:15" ht="42.75" x14ac:dyDescent="0.45">
      <c r="A68" s="240" t="s">
        <v>213</v>
      </c>
      <c r="B68" s="241" t="s">
        <v>212</v>
      </c>
      <c r="C68" s="253" t="s">
        <v>494</v>
      </c>
      <c r="D68" s="5"/>
      <c r="E68" s="5"/>
      <c r="F68" s="5"/>
      <c r="G68" s="5"/>
      <c r="H68" s="5"/>
      <c r="I68" s="5"/>
      <c r="J68" s="5"/>
      <c r="K68" s="5"/>
      <c r="L68" s="5"/>
      <c r="M68" s="5"/>
      <c r="N68" s="5"/>
      <c r="O68" s="5"/>
    </row>
    <row r="69" spans="1:15" x14ac:dyDescent="0.45">
      <c r="A69" s="5">
        <v>2010</v>
      </c>
      <c r="B69" s="243">
        <f t="shared" ref="B69:B78" si="8">+C57/B57</f>
        <v>8.3101643398462613E-2</v>
      </c>
      <c r="C69" s="244">
        <f t="shared" ref="C69:C78" si="9">D57/B57</f>
        <v>4.0755166688468646E-2</v>
      </c>
      <c r="D69" s="5"/>
      <c r="E69" s="5"/>
      <c r="F69" s="5"/>
      <c r="G69" s="5"/>
      <c r="H69" s="5"/>
      <c r="I69" s="5"/>
      <c r="J69" s="5"/>
      <c r="K69" s="5"/>
      <c r="L69" s="5"/>
      <c r="M69" s="5"/>
      <c r="N69" s="5"/>
      <c r="O69" s="5"/>
    </row>
    <row r="70" spans="1:15" x14ac:dyDescent="0.45">
      <c r="A70" s="5">
        <v>2011</v>
      </c>
      <c r="B70" s="243">
        <f t="shared" si="8"/>
        <v>9.2258868211991238E-2</v>
      </c>
      <c r="C70" s="244">
        <f t="shared" si="9"/>
        <v>4.4511793617010624E-2</v>
      </c>
      <c r="D70" s="5"/>
      <c r="E70" s="5"/>
      <c r="F70" s="5"/>
      <c r="G70" s="5"/>
      <c r="H70" s="5"/>
      <c r="I70" s="5"/>
      <c r="J70" s="5"/>
      <c r="K70" s="5"/>
      <c r="L70" s="5"/>
      <c r="M70" s="5"/>
      <c r="N70" s="5"/>
      <c r="O70" s="5"/>
    </row>
    <row r="71" spans="1:15" x14ac:dyDescent="0.45">
      <c r="A71" s="5">
        <v>2012</v>
      </c>
      <c r="B71" s="243">
        <f t="shared" si="8"/>
        <v>0.10185384603002651</v>
      </c>
      <c r="C71" s="244">
        <f t="shared" si="9"/>
        <v>4.8158394901093353E-2</v>
      </c>
      <c r="D71" s="5"/>
      <c r="E71" s="5"/>
      <c r="F71" s="5"/>
      <c r="G71" s="5"/>
      <c r="H71" s="5"/>
      <c r="I71" s="5"/>
      <c r="J71" s="5"/>
      <c r="K71" s="5"/>
      <c r="L71" s="5"/>
      <c r="M71" s="5"/>
      <c r="N71" s="5"/>
      <c r="O71" s="5"/>
    </row>
    <row r="72" spans="1:15" x14ac:dyDescent="0.45">
      <c r="A72" s="5">
        <v>2013</v>
      </c>
      <c r="B72" s="243">
        <f t="shared" si="8"/>
        <v>0.1104988049791147</v>
      </c>
      <c r="C72" s="244">
        <f t="shared" si="9"/>
        <v>5.2362750719338144E-2</v>
      </c>
      <c r="D72" s="5"/>
      <c r="E72" s="5"/>
      <c r="F72" s="5"/>
      <c r="G72" s="5"/>
      <c r="H72" s="5"/>
      <c r="I72" s="5"/>
      <c r="J72" s="5"/>
      <c r="K72" s="5"/>
      <c r="L72" s="5"/>
      <c r="M72" s="5"/>
      <c r="N72" s="5"/>
      <c r="O72" s="5"/>
    </row>
    <row r="73" spans="1:15" x14ac:dyDescent="0.45">
      <c r="A73" s="5">
        <v>2014</v>
      </c>
      <c r="B73" s="243">
        <f t="shared" si="8"/>
        <v>0.10620841479725308</v>
      </c>
      <c r="C73" s="244">
        <f t="shared" si="9"/>
        <v>5.1374802377152994E-2</v>
      </c>
      <c r="D73" s="5"/>
      <c r="E73" s="5"/>
      <c r="F73" s="5"/>
      <c r="G73" s="5"/>
      <c r="H73" s="5"/>
      <c r="I73" s="5"/>
      <c r="J73" s="5"/>
      <c r="K73" s="5"/>
      <c r="L73" s="5"/>
      <c r="M73" s="5"/>
      <c r="N73" s="5"/>
      <c r="O73" s="5"/>
    </row>
    <row r="74" spans="1:15" x14ac:dyDescent="0.45">
      <c r="A74" s="5">
        <v>2015</v>
      </c>
      <c r="B74" s="243">
        <f t="shared" si="8"/>
        <v>0.10054156065587122</v>
      </c>
      <c r="C74" s="244">
        <f t="shared" si="9"/>
        <v>4.9763823052323575E-2</v>
      </c>
      <c r="D74" s="5"/>
      <c r="E74" s="5"/>
      <c r="F74" s="5"/>
      <c r="G74" s="5"/>
      <c r="H74" s="5"/>
      <c r="I74" s="5"/>
      <c r="J74" s="5"/>
      <c r="K74" s="5"/>
      <c r="L74" s="5"/>
      <c r="M74" s="5"/>
      <c r="N74" s="5"/>
      <c r="O74" s="5"/>
    </row>
    <row r="75" spans="1:15" x14ac:dyDescent="0.45">
      <c r="A75" s="5">
        <v>2016</v>
      </c>
      <c r="B75" s="243">
        <f t="shared" si="8"/>
        <v>9.3308531422878357E-2</v>
      </c>
      <c r="C75" s="244">
        <f t="shared" si="9"/>
        <v>5.0685687355920786E-2</v>
      </c>
      <c r="D75" s="5"/>
      <c r="E75" s="5"/>
      <c r="F75" s="5"/>
      <c r="G75" s="5"/>
      <c r="H75" s="5"/>
      <c r="I75" s="5"/>
      <c r="J75" s="5"/>
      <c r="K75" s="5"/>
      <c r="L75" s="5"/>
      <c r="M75" s="5"/>
      <c r="N75" s="5"/>
      <c r="O75" s="5"/>
    </row>
    <row r="76" spans="1:15" x14ac:dyDescent="0.45">
      <c r="A76" s="5">
        <v>2017</v>
      </c>
      <c r="B76" s="243">
        <f t="shared" si="8"/>
        <v>9.8678472055513361E-2</v>
      </c>
      <c r="C76" s="244">
        <f t="shared" si="9"/>
        <v>5.6582377395389953E-2</v>
      </c>
      <c r="D76" s="5"/>
      <c r="E76" s="5"/>
      <c r="F76" s="5"/>
      <c r="G76" s="5"/>
      <c r="H76" s="5"/>
      <c r="I76" s="5"/>
      <c r="J76" s="5"/>
      <c r="K76" s="5"/>
      <c r="L76" s="5"/>
      <c r="M76" s="5"/>
      <c r="N76" s="5"/>
      <c r="O76" s="5"/>
    </row>
    <row r="77" spans="1:15" x14ac:dyDescent="0.45">
      <c r="A77" s="5">
        <v>2018</v>
      </c>
      <c r="B77" s="243">
        <f t="shared" si="8"/>
        <v>0.1083059645415272</v>
      </c>
      <c r="C77" s="244">
        <f t="shared" si="9"/>
        <v>6.7282734226985441E-2</v>
      </c>
      <c r="D77" s="5"/>
      <c r="E77" s="5"/>
      <c r="F77" s="5"/>
      <c r="G77" s="5"/>
      <c r="H77" s="5"/>
      <c r="I77" s="5"/>
      <c r="J77" s="5"/>
      <c r="K77" s="5"/>
      <c r="L77" s="5"/>
      <c r="M77" s="5"/>
      <c r="N77" s="5"/>
      <c r="O77" s="5"/>
    </row>
    <row r="78" spans="1:15" x14ac:dyDescent="0.45">
      <c r="A78" s="5">
        <v>2019</v>
      </c>
      <c r="B78" s="243">
        <f t="shared" si="8"/>
        <v>0.11240129144569644</v>
      </c>
      <c r="C78" s="244">
        <f t="shared" si="9"/>
        <v>7.3666124159730187E-2</v>
      </c>
      <c r="D78" s="5"/>
      <c r="E78" s="5"/>
      <c r="F78" s="5"/>
      <c r="G78" s="5"/>
      <c r="H78" s="5"/>
      <c r="I78" s="5"/>
      <c r="J78" s="5"/>
      <c r="K78" s="5"/>
      <c r="L78" s="5"/>
      <c r="M78" s="5"/>
      <c r="N78" s="5"/>
      <c r="O78" s="5"/>
    </row>
    <row r="79" spans="1:15" x14ac:dyDescent="0.45">
      <c r="A79" s="5"/>
      <c r="B79" s="5"/>
      <c r="C79" s="5"/>
      <c r="D79" s="5"/>
      <c r="E79" s="5"/>
      <c r="F79" s="5"/>
      <c r="G79" s="5"/>
      <c r="H79" s="5"/>
      <c r="I79" s="5"/>
      <c r="J79" s="5"/>
      <c r="K79" s="5"/>
      <c r="L79" s="5"/>
      <c r="M79" s="5"/>
      <c r="N79" s="5"/>
      <c r="O79" s="5"/>
    </row>
    <row r="80" spans="1:15" ht="28.5" x14ac:dyDescent="0.45">
      <c r="A80" s="245" t="s">
        <v>213</v>
      </c>
      <c r="B80" s="246" t="s">
        <v>413</v>
      </c>
      <c r="C80" s="279" t="s">
        <v>553</v>
      </c>
      <c r="D80" s="5"/>
      <c r="E80" s="5"/>
      <c r="F80" s="5"/>
      <c r="G80" s="5"/>
      <c r="H80" s="5"/>
      <c r="I80" s="5"/>
      <c r="J80" s="5"/>
      <c r="K80" s="5"/>
      <c r="L80" s="5"/>
      <c r="M80" s="5"/>
      <c r="N80" s="5"/>
      <c r="O80" s="5"/>
    </row>
    <row r="81" spans="1:15" x14ac:dyDescent="0.45">
      <c r="A81" s="5">
        <v>2010</v>
      </c>
      <c r="B81" s="247">
        <v>12647785379.358337</v>
      </c>
      <c r="C81" s="247">
        <v>1051051750.3757259</v>
      </c>
      <c r="D81" s="5"/>
      <c r="E81" s="5"/>
      <c r="F81" s="5"/>
      <c r="G81" s="5"/>
      <c r="H81" s="5"/>
      <c r="I81" s="5"/>
      <c r="J81" s="5"/>
      <c r="K81" s="5"/>
      <c r="L81" s="5"/>
      <c r="M81" s="5"/>
      <c r="N81" s="5"/>
      <c r="O81" s="5"/>
    </row>
    <row r="82" spans="1:15" x14ac:dyDescent="0.45">
      <c r="A82" s="5">
        <v>2011</v>
      </c>
      <c r="B82" s="247">
        <v>13039588671.793743</v>
      </c>
      <c r="C82" s="247">
        <v>1203017692.8095927</v>
      </c>
      <c r="D82" s="5"/>
      <c r="E82" s="5"/>
      <c r="F82" s="5"/>
      <c r="G82" s="5"/>
      <c r="H82" s="5"/>
      <c r="I82" s="5"/>
      <c r="J82" s="5"/>
      <c r="K82" s="5"/>
      <c r="L82" s="5"/>
      <c r="M82" s="5"/>
      <c r="N82" s="5"/>
      <c r="O82" s="5"/>
    </row>
    <row r="83" spans="1:15" x14ac:dyDescent="0.45">
      <c r="A83" s="5">
        <v>2012</v>
      </c>
      <c r="B83" s="247">
        <v>13532154004.168001</v>
      </c>
      <c r="C83" s="247">
        <v>1378301930.3951344</v>
      </c>
      <c r="D83" s="5"/>
      <c r="E83" s="5"/>
      <c r="F83" s="5"/>
      <c r="G83" s="5"/>
      <c r="H83" s="5"/>
      <c r="I83" s="5"/>
      <c r="J83" s="5"/>
      <c r="K83" s="5"/>
      <c r="L83" s="5"/>
      <c r="M83" s="5"/>
      <c r="N83" s="5"/>
      <c r="O83" s="5"/>
    </row>
    <row r="84" spans="1:15" x14ac:dyDescent="0.45">
      <c r="A84" s="5">
        <v>2013</v>
      </c>
      <c r="B84" s="247">
        <v>13625073340.212002</v>
      </c>
      <c r="C84" s="247">
        <v>1505554321.846221</v>
      </c>
      <c r="D84" s="5"/>
      <c r="E84" s="5"/>
      <c r="F84" s="5"/>
      <c r="G84" s="5"/>
      <c r="H84" s="5"/>
      <c r="I84" s="5"/>
      <c r="J84" s="5"/>
      <c r="K84" s="5"/>
      <c r="L84" s="5"/>
      <c r="M84" s="5"/>
      <c r="N84" s="5"/>
      <c r="O84" s="5"/>
    </row>
    <row r="85" spans="1:15" x14ac:dyDescent="0.45">
      <c r="A85" s="5">
        <v>2014</v>
      </c>
      <c r="B85" s="247">
        <v>14105523690</v>
      </c>
      <c r="C85" s="247">
        <v>1498125311</v>
      </c>
      <c r="D85" s="5"/>
      <c r="E85" s="5"/>
      <c r="F85" s="5"/>
      <c r="G85" s="5"/>
      <c r="H85" s="5"/>
      <c r="I85" s="5"/>
      <c r="J85" s="5"/>
      <c r="K85" s="5"/>
      <c r="L85" s="5"/>
      <c r="M85" s="5"/>
      <c r="N85" s="5"/>
      <c r="O85" s="5"/>
    </row>
    <row r="86" spans="1:15" x14ac:dyDescent="0.45">
      <c r="A86">
        <v>2015</v>
      </c>
      <c r="B86" s="248">
        <v>14693452601.719999</v>
      </c>
      <c r="C86" s="257">
        <v>1477302656</v>
      </c>
      <c r="D86"/>
      <c r="E86"/>
      <c r="F86"/>
      <c r="G86"/>
      <c r="H86"/>
      <c r="I86"/>
      <c r="J86"/>
      <c r="K86"/>
      <c r="L86"/>
      <c r="M86"/>
      <c r="N86"/>
      <c r="O86"/>
    </row>
    <row r="87" spans="1:15" x14ac:dyDescent="0.45">
      <c r="A87" s="189">
        <v>2016</v>
      </c>
      <c r="B87" s="248">
        <v>16329405720.936335</v>
      </c>
      <c r="C87" s="257">
        <v>1523672866.8289177</v>
      </c>
      <c r="D87" s="189"/>
      <c r="E87" s="189"/>
      <c r="F87" s="189"/>
      <c r="G87" s="189"/>
      <c r="H87" s="189"/>
      <c r="I87" s="189"/>
      <c r="J87" s="189"/>
      <c r="K87" s="189"/>
      <c r="L87" s="189"/>
      <c r="M87" s="189"/>
      <c r="N87" s="189"/>
      <c r="O87" s="189"/>
    </row>
    <row r="88" spans="1:15" x14ac:dyDescent="0.45">
      <c r="A88">
        <v>2017</v>
      </c>
      <c r="B88" s="446">
        <v>15834408260</v>
      </c>
      <c r="C88" s="446">
        <v>1562515213</v>
      </c>
      <c r="D88"/>
      <c r="E88"/>
      <c r="F88"/>
      <c r="G88"/>
      <c r="H88"/>
      <c r="I88"/>
      <c r="J88"/>
      <c r="K88"/>
      <c r="L88"/>
      <c r="M88"/>
      <c r="N88"/>
      <c r="O88"/>
    </row>
    <row r="89" spans="1:15" x14ac:dyDescent="0.45">
      <c r="A89" s="189">
        <v>2018</v>
      </c>
      <c r="B89" s="281">
        <v>16143540167.628906</v>
      </c>
      <c r="C89" s="281">
        <v>1748441688.9699364</v>
      </c>
      <c r="D89" s="189"/>
      <c r="E89" s="189"/>
      <c r="F89" s="189"/>
      <c r="G89" s="189"/>
      <c r="H89" s="189"/>
      <c r="I89" s="189"/>
      <c r="J89" s="189"/>
      <c r="K89" s="189"/>
      <c r="L89" s="189"/>
      <c r="M89" s="189"/>
      <c r="N89" s="189"/>
      <c r="O89" s="189"/>
    </row>
    <row r="90" spans="1:15" x14ac:dyDescent="0.45">
      <c r="A90" s="189">
        <v>2019</v>
      </c>
      <c r="B90" s="248">
        <f>'Attachment II-All Hospitals'!$E$55</f>
        <v>16778744994.412516</v>
      </c>
      <c r="C90" s="248">
        <f>'Attachment II-All Hospitals'!F55</f>
        <v>1885952606.2099812</v>
      </c>
      <c r="D90" s="189"/>
      <c r="E90" s="189"/>
      <c r="F90" s="189"/>
      <c r="G90" s="189"/>
      <c r="H90" s="189"/>
      <c r="I90" s="189"/>
      <c r="J90" s="189"/>
      <c r="K90" s="189"/>
      <c r="L90" s="189"/>
      <c r="M90" s="189"/>
      <c r="N90" s="189"/>
      <c r="O90" s="189"/>
    </row>
    <row r="92" spans="1:15" x14ac:dyDescent="0.45">
      <c r="C92" s="200"/>
    </row>
    <row r="93" spans="1:15" x14ac:dyDescent="0.45">
      <c r="B93" s="196"/>
      <c r="C93" s="200"/>
    </row>
    <row r="94" spans="1:15" x14ac:dyDescent="0.45">
      <c r="C94" s="200"/>
    </row>
    <row r="95" spans="1:15" x14ac:dyDescent="0.45">
      <c r="C95" s="201"/>
    </row>
    <row r="96" spans="1:15" x14ac:dyDescent="0.45">
      <c r="C96" s="202"/>
    </row>
    <row r="98" spans="1:5" x14ac:dyDescent="0.45">
      <c r="C98" s="200"/>
    </row>
    <row r="99" spans="1:5" x14ac:dyDescent="0.45">
      <c r="B99" s="196"/>
      <c r="C99" s="200"/>
    </row>
    <row r="101" spans="1:5" x14ac:dyDescent="0.45">
      <c r="C101" s="201"/>
    </row>
    <row r="102" spans="1:5" x14ac:dyDescent="0.45">
      <c r="C102" s="202"/>
    </row>
    <row r="106" spans="1:5" ht="18" x14ac:dyDescent="0.55000000000000004">
      <c r="A106" s="203"/>
      <c r="B106" s="204"/>
      <c r="D106" s="205"/>
      <c r="E106" s="206"/>
    </row>
    <row r="107" spans="1:5" x14ac:dyDescent="0.45">
      <c r="B107" s="204"/>
      <c r="D107" s="207"/>
    </row>
    <row r="108" spans="1:5" x14ac:dyDescent="0.45">
      <c r="B108" s="204"/>
      <c r="D108" s="207"/>
      <c r="E108" s="207"/>
    </row>
    <row r="109" spans="1:5" x14ac:dyDescent="0.45">
      <c r="B109" s="204"/>
      <c r="D109" s="200"/>
      <c r="E109" s="200"/>
    </row>
    <row r="110" spans="1:5" ht="16.5" x14ac:dyDescent="0.75">
      <c r="B110" s="204"/>
      <c r="D110" s="208"/>
      <c r="E110" s="208"/>
    </row>
    <row r="111" spans="1:5" x14ac:dyDescent="0.45">
      <c r="A111" s="209"/>
      <c r="B111" s="210"/>
      <c r="C111" s="209"/>
      <c r="D111" s="211"/>
      <c r="E111" s="211"/>
    </row>
    <row r="112" spans="1:5" x14ac:dyDescent="0.45">
      <c r="B112" s="204"/>
      <c r="D112" s="207"/>
    </row>
    <row r="113" spans="1:5" x14ac:dyDescent="0.45">
      <c r="A113" s="212"/>
      <c r="D113" s="200"/>
    </row>
    <row r="114" spans="1:5" x14ac:dyDescent="0.45">
      <c r="A114" s="213"/>
      <c r="D114" s="200"/>
    </row>
    <row r="115" spans="1:5" x14ac:dyDescent="0.45">
      <c r="D115" s="200"/>
    </row>
    <row r="116" spans="1:5" x14ac:dyDescent="0.45">
      <c r="D116" s="200"/>
    </row>
    <row r="117" spans="1:5" x14ac:dyDescent="0.45">
      <c r="D117" s="200"/>
    </row>
    <row r="118" spans="1:5" ht="16.5" x14ac:dyDescent="0.75">
      <c r="D118" s="208"/>
    </row>
    <row r="119" spans="1:5" ht="16.5" x14ac:dyDescent="0.75">
      <c r="A119" s="209"/>
      <c r="B119" s="209"/>
      <c r="C119" s="209"/>
      <c r="D119" s="214"/>
      <c r="E119" s="215"/>
    </row>
    <row r="120" spans="1:5" x14ac:dyDescent="0.45">
      <c r="A120" s="209"/>
      <c r="B120" s="209"/>
      <c r="C120" s="209"/>
      <c r="D120" s="209"/>
      <c r="E120" s="216"/>
    </row>
    <row r="121" spans="1:5" ht="16.5" x14ac:dyDescent="0.75">
      <c r="D121" s="217"/>
      <c r="E121" s="218"/>
    </row>
    <row r="124" spans="1:5" ht="16.5" x14ac:dyDescent="0.75">
      <c r="D124" s="219"/>
      <c r="E124" s="215"/>
    </row>
    <row r="126" spans="1:5" ht="16.5" x14ac:dyDescent="0.75">
      <c r="D126" s="220"/>
      <c r="E126" s="220"/>
    </row>
    <row r="128" spans="1:5" ht="16.5" x14ac:dyDescent="0.75">
      <c r="D128" s="215"/>
      <c r="E128" s="215"/>
    </row>
    <row r="130" spans="1:5" ht="18" x14ac:dyDescent="0.55000000000000004">
      <c r="A130" s="221"/>
      <c r="B130" s="221"/>
      <c r="C130" s="221"/>
      <c r="D130" s="222"/>
      <c r="E130" s="222"/>
    </row>
  </sheetData>
  <sortState ref="Q3:S12">
    <sortCondition descending="1" ref="Q3:Q12"/>
  </sortState>
  <pageMargins left="0.7" right="0.7" top="0.75" bottom="0.75" header="0.3" footer="0.3"/>
  <pageSetup scale="64" fitToHeight="0" orientation="landscape" horizontalDpi="1200" verticalDpi="1200" r:id="rId1"/>
  <rowBreaks count="1" manualBreakCount="1">
    <brk id="38"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0"/>
    <pageSetUpPr fitToPage="1"/>
  </sheetPr>
  <dimension ref="A1:K156"/>
  <sheetViews>
    <sheetView topLeftCell="A47" zoomScale="85" zoomScaleNormal="85" workbookViewId="0">
      <selection activeCell="H150" sqref="H150"/>
    </sheetView>
  </sheetViews>
  <sheetFormatPr defaultColWidth="9" defaultRowHeight="12.75" x14ac:dyDescent="0.35"/>
  <cols>
    <col min="1" max="1" width="6.86328125" style="189" customWidth="1"/>
    <col min="2" max="2" width="40.73046875" style="189" bestFit="1" customWidth="1"/>
    <col min="3" max="3" width="6.73046875" style="189" customWidth="1"/>
    <col min="4" max="4" width="6.265625" style="189" customWidth="1"/>
    <col min="5" max="5" width="9.1328125" style="189" customWidth="1"/>
    <col min="6" max="6" width="14.59765625" style="189" customWidth="1"/>
    <col min="7" max="11" width="19.1328125" style="189" customWidth="1"/>
    <col min="12" max="16384" width="9" style="189"/>
  </cols>
  <sheetData>
    <row r="1" spans="1:11" ht="13.15" x14ac:dyDescent="0.4">
      <c r="A1" s="187"/>
      <c r="B1" s="187"/>
      <c r="C1" s="104"/>
      <c r="D1" s="521"/>
      <c r="E1" s="104"/>
      <c r="F1" s="104"/>
      <c r="G1" s="104"/>
      <c r="H1" s="104"/>
      <c r="I1" s="104"/>
      <c r="J1" s="104"/>
      <c r="K1" s="104"/>
    </row>
    <row r="2" spans="1:11" ht="15" x14ac:dyDescent="0.4">
      <c r="A2" s="187"/>
      <c r="B2" s="187"/>
      <c r="C2" s="187"/>
      <c r="D2" s="1041" t="s">
        <v>730</v>
      </c>
      <c r="E2" s="1041"/>
      <c r="F2" s="1041"/>
      <c r="G2" s="1041"/>
      <c r="H2" s="1041"/>
      <c r="I2" s="187"/>
      <c r="J2" s="187"/>
      <c r="K2" s="187"/>
    </row>
    <row r="3" spans="1:11" ht="13.15" x14ac:dyDescent="0.4">
      <c r="A3" s="187"/>
      <c r="B3" s="155" t="s">
        <v>0</v>
      </c>
      <c r="C3" s="187"/>
      <c r="D3" s="187"/>
      <c r="E3" s="187"/>
      <c r="F3" s="187"/>
      <c r="G3" s="187"/>
      <c r="H3" s="187"/>
      <c r="I3" s="187"/>
      <c r="J3" s="187"/>
      <c r="K3" s="187"/>
    </row>
    <row r="5" spans="1:11" ht="13.15" x14ac:dyDescent="0.4">
      <c r="A5" s="187"/>
      <c r="B5" s="188" t="s">
        <v>40</v>
      </c>
      <c r="C5" s="1043" t="s">
        <v>229</v>
      </c>
      <c r="D5" s="1053"/>
      <c r="E5" s="1053"/>
      <c r="F5" s="1053"/>
      <c r="G5" s="1090"/>
      <c r="H5" s="187"/>
      <c r="I5" s="187"/>
      <c r="J5" s="187"/>
      <c r="K5" s="187"/>
    </row>
    <row r="6" spans="1:11" ht="13.15" x14ac:dyDescent="0.4">
      <c r="A6" s="187"/>
      <c r="B6" s="188" t="s">
        <v>3</v>
      </c>
      <c r="C6" s="1046" t="s">
        <v>286</v>
      </c>
      <c r="D6" s="1047"/>
      <c r="E6" s="1047"/>
      <c r="F6" s="1047"/>
      <c r="G6" s="1048"/>
      <c r="H6" s="187"/>
      <c r="I6" s="187"/>
      <c r="J6" s="187"/>
      <c r="K6" s="187"/>
    </row>
    <row r="7" spans="1:11" ht="13.15" x14ac:dyDescent="0.4">
      <c r="A7" s="187"/>
      <c r="B7" s="188" t="s">
        <v>4</v>
      </c>
      <c r="C7" s="1094">
        <v>3479</v>
      </c>
      <c r="D7" s="1095"/>
      <c r="E7" s="1095"/>
      <c r="F7" s="1095"/>
      <c r="G7" s="1096"/>
      <c r="H7" s="187"/>
      <c r="I7" s="187"/>
      <c r="J7" s="187"/>
      <c r="K7" s="187"/>
    </row>
    <row r="9" spans="1:11" ht="13.15" x14ac:dyDescent="0.4">
      <c r="A9" s="187"/>
      <c r="B9" s="188" t="s">
        <v>1</v>
      </c>
      <c r="C9" s="1097" t="s">
        <v>287</v>
      </c>
      <c r="D9" s="1098"/>
      <c r="E9" s="1098"/>
      <c r="F9" s="1098"/>
      <c r="G9" s="1099"/>
      <c r="H9" s="187"/>
      <c r="I9" s="187"/>
      <c r="J9" s="187"/>
      <c r="K9" s="187"/>
    </row>
    <row r="10" spans="1:11" ht="13.15" x14ac:dyDescent="0.4">
      <c r="A10" s="187"/>
      <c r="B10" s="188" t="s">
        <v>2</v>
      </c>
      <c r="C10" s="1038" t="s">
        <v>288</v>
      </c>
      <c r="D10" s="1092"/>
      <c r="E10" s="1092"/>
      <c r="F10" s="1092"/>
      <c r="G10" s="1093"/>
      <c r="H10" s="187"/>
      <c r="I10" s="187"/>
      <c r="J10" s="187"/>
      <c r="K10" s="187"/>
    </row>
    <row r="11" spans="1:11" ht="13.15" x14ac:dyDescent="0.4">
      <c r="A11" s="187"/>
      <c r="B11" s="188" t="s">
        <v>32</v>
      </c>
      <c r="C11" s="1043" t="s">
        <v>289</v>
      </c>
      <c r="D11" s="1053"/>
      <c r="E11" s="1053"/>
      <c r="F11" s="1053"/>
      <c r="G11" s="1090"/>
      <c r="H11" s="187"/>
      <c r="I11" s="187"/>
      <c r="J11" s="187"/>
      <c r="K11" s="187"/>
    </row>
    <row r="12" spans="1:11" ht="13.15" x14ac:dyDescent="0.4">
      <c r="A12" s="187"/>
      <c r="B12" s="188"/>
      <c r="C12" s="188"/>
      <c r="D12" s="188"/>
      <c r="E12" s="188"/>
      <c r="F12" s="188"/>
      <c r="G12" s="188"/>
      <c r="H12" s="187"/>
      <c r="I12" s="187"/>
      <c r="J12" s="187"/>
      <c r="K12" s="187"/>
    </row>
    <row r="13" spans="1:11" x14ac:dyDescent="0.35">
      <c r="A13" s="187"/>
      <c r="B13" s="1054"/>
      <c r="C13" s="1054"/>
      <c r="D13" s="1054"/>
      <c r="E13" s="1054"/>
      <c r="F13" s="1054"/>
      <c r="G13" s="1054"/>
      <c r="H13" s="1054"/>
      <c r="I13" s="104"/>
      <c r="J13" s="187"/>
      <c r="K13" s="187"/>
    </row>
    <row r="14" spans="1:11" x14ac:dyDescent="0.35">
      <c r="A14" s="187"/>
      <c r="B14" s="157"/>
      <c r="C14" s="187"/>
      <c r="D14" s="187"/>
      <c r="E14" s="187"/>
      <c r="F14" s="187"/>
      <c r="G14" s="187"/>
      <c r="H14" s="187"/>
      <c r="I14" s="187"/>
      <c r="J14" s="187"/>
      <c r="K14" s="187"/>
    </row>
    <row r="15" spans="1:11" x14ac:dyDescent="0.35">
      <c r="A15" s="187"/>
      <c r="B15" s="157"/>
      <c r="C15" s="187"/>
      <c r="D15" s="187"/>
      <c r="E15" s="187"/>
      <c r="F15" s="187"/>
      <c r="G15" s="187"/>
      <c r="H15" s="187"/>
      <c r="I15" s="187"/>
      <c r="J15" s="187"/>
      <c r="K15" s="187"/>
    </row>
    <row r="16" spans="1:11" ht="26.25" x14ac:dyDescent="0.4">
      <c r="A16" s="1091" t="s">
        <v>181</v>
      </c>
      <c r="B16" s="1091"/>
      <c r="C16" s="104"/>
      <c r="D16" s="104"/>
      <c r="E16" s="104"/>
      <c r="F16" s="158" t="s">
        <v>9</v>
      </c>
      <c r="G16" s="158" t="s">
        <v>37</v>
      </c>
      <c r="H16" s="158" t="s">
        <v>29</v>
      </c>
      <c r="I16" s="158" t="s">
        <v>30</v>
      </c>
      <c r="J16" s="158" t="s">
        <v>33</v>
      </c>
      <c r="K16" s="158" t="s">
        <v>34</v>
      </c>
    </row>
    <row r="17" spans="1:11" ht="13.15" x14ac:dyDescent="0.4">
      <c r="A17" s="156" t="s">
        <v>184</v>
      </c>
      <c r="B17" s="155" t="s">
        <v>182</v>
      </c>
      <c r="C17" s="187"/>
      <c r="D17" s="187"/>
      <c r="E17" s="187"/>
      <c r="F17" s="187"/>
      <c r="G17" s="187"/>
      <c r="H17" s="187"/>
      <c r="I17" s="187"/>
      <c r="J17" s="187"/>
      <c r="K17" s="187"/>
    </row>
    <row r="18" spans="1:11" ht="13.15" x14ac:dyDescent="0.4">
      <c r="A18" s="188" t="s">
        <v>185</v>
      </c>
      <c r="B18" s="154" t="s">
        <v>183</v>
      </c>
      <c r="C18" s="187"/>
      <c r="D18" s="187"/>
      <c r="E18" s="187"/>
      <c r="F18" s="606" t="s">
        <v>73</v>
      </c>
      <c r="G18" s="606" t="s">
        <v>73</v>
      </c>
      <c r="H18" s="713">
        <v>12978832.957153467</v>
      </c>
      <c r="I18" s="713">
        <v>0</v>
      </c>
      <c r="J18" s="713">
        <v>10789656.328934021</v>
      </c>
      <c r="K18" s="904">
        <f>H18+I18-J18</f>
        <v>2189176.6282194462</v>
      </c>
    </row>
    <row r="19" spans="1:11" ht="42.75" customHeight="1" x14ac:dyDescent="0.4">
      <c r="A19" s="1091" t="s">
        <v>8</v>
      </c>
      <c r="B19" s="1091"/>
      <c r="C19" s="104"/>
      <c r="D19" s="104"/>
      <c r="E19" s="104"/>
      <c r="F19" s="158" t="s">
        <v>9</v>
      </c>
      <c r="G19" s="158" t="s">
        <v>37</v>
      </c>
      <c r="H19" s="158" t="s">
        <v>29</v>
      </c>
      <c r="I19" s="158" t="s">
        <v>30</v>
      </c>
      <c r="J19" s="158" t="s">
        <v>33</v>
      </c>
      <c r="K19" s="158" t="s">
        <v>34</v>
      </c>
    </row>
    <row r="20" spans="1:11" ht="13.15" x14ac:dyDescent="0.4">
      <c r="A20" s="156" t="s">
        <v>74</v>
      </c>
      <c r="B20" s="155" t="s">
        <v>41</v>
      </c>
      <c r="C20" s="187"/>
      <c r="D20" s="187"/>
      <c r="E20" s="187"/>
      <c r="F20" s="187"/>
      <c r="G20" s="187"/>
      <c r="H20" s="187"/>
      <c r="I20" s="187"/>
      <c r="J20" s="187"/>
      <c r="K20" s="187"/>
    </row>
    <row r="21" spans="1:11" ht="13.15" x14ac:dyDescent="0.4">
      <c r="A21" s="188" t="s">
        <v>75</v>
      </c>
      <c r="B21" s="154" t="s">
        <v>42</v>
      </c>
      <c r="C21" s="187"/>
      <c r="D21" s="187"/>
      <c r="E21" s="187"/>
      <c r="F21" s="606">
        <v>18029.5</v>
      </c>
      <c r="G21" s="606">
        <v>149786</v>
      </c>
      <c r="H21" s="713">
        <v>2194666</v>
      </c>
      <c r="I21" s="713">
        <v>1329971</v>
      </c>
      <c r="J21" s="713">
        <v>101144</v>
      </c>
      <c r="K21" s="713">
        <v>3423493</v>
      </c>
    </row>
    <row r="22" spans="1:11" ht="13.15" x14ac:dyDescent="0.4">
      <c r="A22" s="188" t="s">
        <v>76</v>
      </c>
      <c r="B22" s="187" t="s">
        <v>6</v>
      </c>
      <c r="C22" s="187"/>
      <c r="D22" s="187"/>
      <c r="E22" s="187"/>
      <c r="F22" s="606">
        <v>360.25</v>
      </c>
      <c r="G22" s="606">
        <v>1956</v>
      </c>
      <c r="H22" s="713">
        <v>22039</v>
      </c>
      <c r="I22" s="713">
        <v>13354</v>
      </c>
      <c r="J22" s="713">
        <v>3575</v>
      </c>
      <c r="K22" s="713">
        <v>31818</v>
      </c>
    </row>
    <row r="23" spans="1:11" ht="13.15" x14ac:dyDescent="0.4">
      <c r="A23" s="188" t="s">
        <v>77</v>
      </c>
      <c r="B23" s="187" t="s">
        <v>43</v>
      </c>
      <c r="C23" s="187"/>
      <c r="D23" s="187"/>
      <c r="E23" s="187"/>
      <c r="F23" s="606">
        <v>0</v>
      </c>
      <c r="G23" s="606">
        <v>0</v>
      </c>
      <c r="H23" s="713">
        <v>0</v>
      </c>
      <c r="I23" s="713">
        <v>0</v>
      </c>
      <c r="J23" s="713">
        <v>0</v>
      </c>
      <c r="K23" s="713">
        <v>0</v>
      </c>
    </row>
    <row r="24" spans="1:11" ht="13.15" x14ac:dyDescent="0.4">
      <c r="A24" s="188" t="s">
        <v>78</v>
      </c>
      <c r="B24" s="187" t="s">
        <v>44</v>
      </c>
      <c r="C24" s="187"/>
      <c r="D24" s="187"/>
      <c r="E24" s="187"/>
      <c r="F24" s="606">
        <v>318</v>
      </c>
      <c r="G24" s="606">
        <v>3169</v>
      </c>
      <c r="H24" s="713">
        <v>12972</v>
      </c>
      <c r="I24" s="713">
        <v>7861</v>
      </c>
      <c r="J24" s="713">
        <v>0</v>
      </c>
      <c r="K24" s="713">
        <v>20833</v>
      </c>
    </row>
    <row r="25" spans="1:11" ht="13.15" x14ac:dyDescent="0.4">
      <c r="A25" s="188" t="s">
        <v>79</v>
      </c>
      <c r="B25" s="187" t="s">
        <v>5</v>
      </c>
      <c r="C25" s="187"/>
      <c r="D25" s="187"/>
      <c r="E25" s="187"/>
      <c r="F25" s="606">
        <v>0</v>
      </c>
      <c r="G25" s="606">
        <v>0</v>
      </c>
      <c r="H25" s="713">
        <v>0</v>
      </c>
      <c r="I25" s="713">
        <v>0</v>
      </c>
      <c r="J25" s="713">
        <v>0</v>
      </c>
      <c r="K25" s="713">
        <v>0</v>
      </c>
    </row>
    <row r="26" spans="1:11" ht="13.15" x14ac:dyDescent="0.4">
      <c r="A26" s="188" t="s">
        <v>80</v>
      </c>
      <c r="B26" s="187" t="s">
        <v>45</v>
      </c>
      <c r="C26" s="187"/>
      <c r="D26" s="187"/>
      <c r="E26" s="187"/>
      <c r="F26" s="606">
        <v>0</v>
      </c>
      <c r="G26" s="606">
        <v>0</v>
      </c>
      <c r="H26" s="713">
        <v>0</v>
      </c>
      <c r="I26" s="713">
        <v>0</v>
      </c>
      <c r="J26" s="713">
        <v>0</v>
      </c>
      <c r="K26" s="713">
        <v>0</v>
      </c>
    </row>
    <row r="27" spans="1:11" ht="13.15" x14ac:dyDescent="0.4">
      <c r="A27" s="188" t="s">
        <v>81</v>
      </c>
      <c r="B27" s="187" t="s">
        <v>46</v>
      </c>
      <c r="C27" s="187"/>
      <c r="D27" s="187"/>
      <c r="E27" s="187"/>
      <c r="F27" s="606">
        <v>0</v>
      </c>
      <c r="G27" s="606">
        <v>0</v>
      </c>
      <c r="H27" s="713">
        <v>0</v>
      </c>
      <c r="I27" s="713">
        <v>0</v>
      </c>
      <c r="J27" s="713">
        <v>0</v>
      </c>
      <c r="K27" s="713">
        <v>0</v>
      </c>
    </row>
    <row r="28" spans="1:11" ht="13.15" x14ac:dyDescent="0.4">
      <c r="A28" s="188" t="s">
        <v>82</v>
      </c>
      <c r="B28" s="187" t="s">
        <v>47</v>
      </c>
      <c r="C28" s="187"/>
      <c r="D28" s="187"/>
      <c r="E28" s="187"/>
      <c r="F28" s="606">
        <v>2884</v>
      </c>
      <c r="G28" s="606">
        <v>1642</v>
      </c>
      <c r="H28" s="713">
        <v>265682</v>
      </c>
      <c r="I28" s="713">
        <v>48354</v>
      </c>
      <c r="J28" s="713">
        <v>47303</v>
      </c>
      <c r="K28" s="713">
        <v>266733</v>
      </c>
    </row>
    <row r="29" spans="1:11" ht="13.15" x14ac:dyDescent="0.4">
      <c r="A29" s="188" t="s">
        <v>83</v>
      </c>
      <c r="B29" s="187" t="s">
        <v>48</v>
      </c>
      <c r="C29" s="187"/>
      <c r="D29" s="187"/>
      <c r="E29" s="187"/>
      <c r="F29" s="606">
        <v>6311.2</v>
      </c>
      <c r="G29" s="606">
        <v>84488</v>
      </c>
      <c r="H29" s="713">
        <v>2388953</v>
      </c>
      <c r="I29" s="713">
        <v>1033835</v>
      </c>
      <c r="J29" s="713">
        <v>0</v>
      </c>
      <c r="K29" s="713">
        <v>3422788</v>
      </c>
    </row>
    <row r="30" spans="1:11" ht="13.15" x14ac:dyDescent="0.4">
      <c r="A30" s="188" t="s">
        <v>84</v>
      </c>
      <c r="B30" s="1100" t="s">
        <v>618</v>
      </c>
      <c r="C30" s="1101"/>
      <c r="D30" s="1102"/>
      <c r="E30" s="187"/>
      <c r="F30" s="606">
        <v>2357.5</v>
      </c>
      <c r="G30" s="606">
        <v>62378</v>
      </c>
      <c r="H30" s="713">
        <v>1412412</v>
      </c>
      <c r="I30" s="713">
        <v>686467</v>
      </c>
      <c r="J30" s="713">
        <v>168648</v>
      </c>
      <c r="K30" s="713">
        <v>1930231</v>
      </c>
    </row>
    <row r="31" spans="1:11" ht="13.15" x14ac:dyDescent="0.4">
      <c r="A31" s="188" t="s">
        <v>133</v>
      </c>
      <c r="B31" s="1100"/>
      <c r="C31" s="1101"/>
      <c r="D31" s="1102"/>
      <c r="E31" s="187"/>
      <c r="F31" s="606"/>
      <c r="G31" s="606"/>
      <c r="H31" s="607"/>
      <c r="I31" s="713">
        <v>0</v>
      </c>
      <c r="J31" s="713">
        <v>0</v>
      </c>
      <c r="K31" s="713">
        <v>0</v>
      </c>
    </row>
    <row r="32" spans="1:11" ht="13.15" x14ac:dyDescent="0.4">
      <c r="A32" s="188" t="s">
        <v>134</v>
      </c>
      <c r="B32" s="522"/>
      <c r="C32" s="523"/>
      <c r="D32" s="524"/>
      <c r="E32" s="187"/>
      <c r="F32" s="606"/>
      <c r="G32" s="714" t="s">
        <v>85</v>
      </c>
      <c r="H32" s="607"/>
      <c r="I32" s="713">
        <v>0</v>
      </c>
      <c r="J32" s="713">
        <v>0</v>
      </c>
      <c r="K32" s="713">
        <v>0</v>
      </c>
    </row>
    <row r="33" spans="1:11" ht="13.15" x14ac:dyDescent="0.4">
      <c r="A33" s="188" t="s">
        <v>135</v>
      </c>
      <c r="B33" s="522"/>
      <c r="C33" s="523"/>
      <c r="D33" s="524"/>
      <c r="E33" s="187"/>
      <c r="F33" s="606"/>
      <c r="G33" s="714" t="s">
        <v>85</v>
      </c>
      <c r="H33" s="607"/>
      <c r="I33" s="713">
        <v>0</v>
      </c>
      <c r="J33" s="713">
        <v>0</v>
      </c>
      <c r="K33" s="713">
        <v>0</v>
      </c>
    </row>
    <row r="34" spans="1:11" ht="13.15" x14ac:dyDescent="0.4">
      <c r="A34" s="188" t="s">
        <v>136</v>
      </c>
      <c r="B34" s="1100"/>
      <c r="C34" s="1101"/>
      <c r="D34" s="1102"/>
      <c r="E34" s="187"/>
      <c r="F34" s="606"/>
      <c r="G34" s="714" t="s">
        <v>85</v>
      </c>
      <c r="H34" s="607"/>
      <c r="I34" s="713">
        <v>0</v>
      </c>
      <c r="J34" s="713">
        <v>0</v>
      </c>
      <c r="K34" s="713">
        <v>0</v>
      </c>
    </row>
    <row r="35" spans="1:11" x14ac:dyDescent="0.35">
      <c r="A35" s="187"/>
      <c r="B35" s="187"/>
      <c r="C35" s="187"/>
      <c r="D35" s="187"/>
      <c r="E35" s="187"/>
      <c r="F35" s="187"/>
      <c r="G35" s="187"/>
      <c r="H35" s="187"/>
      <c r="I35" s="187"/>
      <c r="J35" s="187"/>
      <c r="K35" s="609"/>
    </row>
    <row r="36" spans="1:11" ht="13.15" x14ac:dyDescent="0.4">
      <c r="A36" s="156" t="s">
        <v>137</v>
      </c>
      <c r="B36" s="155" t="s">
        <v>138</v>
      </c>
      <c r="C36" s="187"/>
      <c r="D36" s="187"/>
      <c r="E36" s="155" t="s">
        <v>7</v>
      </c>
      <c r="F36" s="610">
        <v>30260.45</v>
      </c>
      <c r="G36" s="610">
        <v>303419</v>
      </c>
      <c r="H36" s="715">
        <v>6296724</v>
      </c>
      <c r="I36" s="715">
        <v>3119842</v>
      </c>
      <c r="J36" s="715">
        <v>320670</v>
      </c>
      <c r="K36" s="715">
        <v>9095896</v>
      </c>
    </row>
    <row r="37" spans="1:11" ht="13.5" thickBot="1" x14ac:dyDescent="0.45">
      <c r="A37" s="187"/>
      <c r="B37" s="155"/>
      <c r="C37" s="187"/>
      <c r="D37" s="187"/>
      <c r="E37" s="187"/>
      <c r="F37" s="111"/>
      <c r="G37" s="111"/>
      <c r="H37" s="319"/>
      <c r="I37" s="319"/>
      <c r="J37" s="319"/>
      <c r="K37" s="320"/>
    </row>
    <row r="38" spans="1:11" ht="26.25" x14ac:dyDescent="0.4">
      <c r="A38" s="187"/>
      <c r="B38" s="187"/>
      <c r="C38" s="187"/>
      <c r="D38" s="187"/>
      <c r="E38" s="187"/>
      <c r="F38" s="158" t="s">
        <v>9</v>
      </c>
      <c r="G38" s="158" t="s">
        <v>37</v>
      </c>
      <c r="H38" s="158" t="s">
        <v>29</v>
      </c>
      <c r="I38" s="158" t="s">
        <v>30</v>
      </c>
      <c r="J38" s="158" t="s">
        <v>33</v>
      </c>
      <c r="K38" s="158" t="s">
        <v>34</v>
      </c>
    </row>
    <row r="39" spans="1:11" ht="13.15" x14ac:dyDescent="0.4">
      <c r="A39" s="156" t="s">
        <v>86</v>
      </c>
      <c r="B39" s="155" t="s">
        <v>49</v>
      </c>
      <c r="C39" s="187"/>
      <c r="D39" s="187"/>
      <c r="E39" s="187"/>
      <c r="F39" s="187"/>
      <c r="G39" s="187"/>
      <c r="H39" s="187"/>
      <c r="I39" s="187"/>
      <c r="J39" s="187"/>
      <c r="K39" s="187"/>
    </row>
    <row r="40" spans="1:11" ht="13.15" x14ac:dyDescent="0.4">
      <c r="A40" s="188" t="s">
        <v>87</v>
      </c>
      <c r="B40" s="187" t="s">
        <v>31</v>
      </c>
      <c r="C40" s="187"/>
      <c r="D40" s="187"/>
      <c r="E40" s="187"/>
      <c r="F40" s="606">
        <v>47.8</v>
      </c>
      <c r="G40" s="606">
        <v>320</v>
      </c>
      <c r="H40" s="713">
        <v>25129273</v>
      </c>
      <c r="I40" s="713">
        <v>15228341</v>
      </c>
      <c r="J40" s="713">
        <v>325</v>
      </c>
      <c r="K40" s="713">
        <v>40357289</v>
      </c>
    </row>
    <row r="41" spans="1:11" ht="13.15" x14ac:dyDescent="0.4">
      <c r="A41" s="188" t="s">
        <v>88</v>
      </c>
      <c r="B41" s="1036" t="s">
        <v>50</v>
      </c>
      <c r="C41" s="1036"/>
      <c r="D41" s="187"/>
      <c r="E41" s="187"/>
      <c r="F41" s="606">
        <v>43833.3</v>
      </c>
      <c r="G41" s="606">
        <v>1270</v>
      </c>
      <c r="H41" s="713">
        <v>2932818</v>
      </c>
      <c r="I41" s="713">
        <v>1777289</v>
      </c>
      <c r="J41" s="713">
        <v>1009</v>
      </c>
      <c r="K41" s="713">
        <v>4709098</v>
      </c>
    </row>
    <row r="42" spans="1:11" ht="13.15" x14ac:dyDescent="0.4">
      <c r="A42" s="188" t="s">
        <v>89</v>
      </c>
      <c r="B42" s="154" t="s">
        <v>11</v>
      </c>
      <c r="C42" s="187"/>
      <c r="D42" s="187"/>
      <c r="E42" s="187"/>
      <c r="F42" s="606">
        <v>30767.599999999999</v>
      </c>
      <c r="G42" s="606">
        <v>2658</v>
      </c>
      <c r="H42" s="713">
        <v>1636106</v>
      </c>
      <c r="I42" s="713">
        <v>991100</v>
      </c>
      <c r="J42" s="713">
        <v>108693</v>
      </c>
      <c r="K42" s="713">
        <v>2518513</v>
      </c>
    </row>
    <row r="43" spans="1:11" ht="13.15" x14ac:dyDescent="0.4">
      <c r="A43" s="188" t="s">
        <v>90</v>
      </c>
      <c r="B43" s="171" t="s">
        <v>10</v>
      </c>
      <c r="C43" s="159"/>
      <c r="D43" s="159"/>
      <c r="E43" s="187"/>
      <c r="F43" s="606">
        <v>734</v>
      </c>
      <c r="G43" s="606">
        <v>17</v>
      </c>
      <c r="H43" s="713">
        <v>180402</v>
      </c>
      <c r="I43" s="713">
        <v>109323</v>
      </c>
      <c r="J43" s="713">
        <v>0</v>
      </c>
      <c r="K43" s="713">
        <v>289725</v>
      </c>
    </row>
    <row r="44" spans="1:11" ht="13.15" x14ac:dyDescent="0.4">
      <c r="A44" s="188"/>
      <c r="B44" s="171"/>
      <c r="C44" s="159"/>
      <c r="D44" s="159"/>
      <c r="E44" s="187"/>
      <c r="F44" s="606"/>
      <c r="G44" s="606"/>
      <c r="H44" s="713"/>
      <c r="I44" s="713"/>
      <c r="J44" s="713"/>
      <c r="K44" s="713"/>
    </row>
    <row r="45" spans="1:11" ht="13.15" x14ac:dyDescent="0.4">
      <c r="A45" s="188"/>
      <c r="B45" s="171"/>
      <c r="C45" s="159"/>
      <c r="D45" s="159"/>
      <c r="E45" s="187"/>
      <c r="F45" s="606"/>
      <c r="G45" s="606"/>
      <c r="H45" s="713"/>
      <c r="I45" s="713"/>
      <c r="J45" s="713"/>
      <c r="K45" s="713"/>
    </row>
    <row r="46" spans="1:11" ht="13.15" x14ac:dyDescent="0.4">
      <c r="A46" s="188"/>
      <c r="B46" s="171"/>
      <c r="C46" s="159"/>
      <c r="D46" s="159"/>
      <c r="E46" s="187"/>
      <c r="F46" s="606"/>
      <c r="G46" s="606"/>
      <c r="H46" s="713"/>
      <c r="I46" s="713"/>
      <c r="J46" s="713"/>
      <c r="K46" s="713"/>
    </row>
    <row r="47" spans="1:11" ht="13.15" x14ac:dyDescent="0.4">
      <c r="A47" s="188"/>
      <c r="B47" s="171"/>
      <c r="C47" s="159"/>
      <c r="D47" s="159"/>
      <c r="E47" s="187"/>
      <c r="F47" s="606"/>
      <c r="G47" s="606"/>
      <c r="H47" s="713"/>
      <c r="I47" s="713"/>
      <c r="J47" s="713"/>
      <c r="K47" s="713"/>
    </row>
    <row r="49" spans="1:11" ht="13.15" x14ac:dyDescent="0.4">
      <c r="A49" s="156" t="s">
        <v>142</v>
      </c>
      <c r="B49" s="155" t="s">
        <v>143</v>
      </c>
      <c r="C49" s="187"/>
      <c r="D49" s="187"/>
      <c r="E49" s="155" t="s">
        <v>7</v>
      </c>
      <c r="F49" s="716">
        <v>75382.700000000012</v>
      </c>
      <c r="G49" s="716">
        <v>4265</v>
      </c>
      <c r="H49" s="715">
        <v>29878599</v>
      </c>
      <c r="I49" s="715">
        <v>18106053</v>
      </c>
      <c r="J49" s="715">
        <v>110027</v>
      </c>
      <c r="K49" s="715">
        <v>47874625</v>
      </c>
    </row>
    <row r="50" spans="1:11" ht="13.15" thickBot="1" x14ac:dyDescent="0.4">
      <c r="A50" s="187"/>
      <c r="B50" s="187"/>
      <c r="C50" s="187"/>
      <c r="D50" s="187"/>
      <c r="E50" s="187"/>
      <c r="F50" s="164"/>
      <c r="G50" s="164"/>
      <c r="H50" s="164"/>
      <c r="I50" s="164"/>
      <c r="J50" s="164"/>
      <c r="K50" s="321"/>
    </row>
    <row r="51" spans="1:11" ht="26.25" x14ac:dyDescent="0.4">
      <c r="A51" s="187"/>
      <c r="B51" s="187"/>
      <c r="C51" s="187"/>
      <c r="D51" s="187"/>
      <c r="E51" s="187"/>
      <c r="F51" s="158" t="s">
        <v>9</v>
      </c>
      <c r="G51" s="158" t="s">
        <v>37</v>
      </c>
      <c r="H51" s="158" t="s">
        <v>29</v>
      </c>
      <c r="I51" s="158" t="s">
        <v>30</v>
      </c>
      <c r="J51" s="158" t="s">
        <v>33</v>
      </c>
      <c r="K51" s="158" t="s">
        <v>34</v>
      </c>
    </row>
    <row r="52" spans="1:11" ht="15.75" customHeight="1" x14ac:dyDescent="0.4">
      <c r="A52" s="156" t="s">
        <v>92</v>
      </c>
      <c r="B52" s="1024" t="s">
        <v>38</v>
      </c>
      <c r="C52" s="1024"/>
      <c r="D52" s="187"/>
      <c r="E52" s="187"/>
      <c r="F52" s="187"/>
      <c r="G52" s="187"/>
      <c r="H52" s="187"/>
      <c r="I52" s="187"/>
      <c r="J52" s="187"/>
      <c r="K52" s="187"/>
    </row>
    <row r="53" spans="1:11" ht="15" x14ac:dyDescent="0.4">
      <c r="A53" s="188" t="s">
        <v>51</v>
      </c>
      <c r="B53" s="322" t="s">
        <v>290</v>
      </c>
      <c r="C53" s="323"/>
      <c r="D53" s="324"/>
      <c r="E53" s="187"/>
      <c r="F53" s="606">
        <v>0</v>
      </c>
      <c r="G53" s="606">
        <v>0</v>
      </c>
      <c r="H53" s="713">
        <v>1753310</v>
      </c>
      <c r="I53" s="713">
        <v>0</v>
      </c>
      <c r="J53" s="713">
        <v>999212</v>
      </c>
      <c r="K53" s="713">
        <v>754098</v>
      </c>
    </row>
    <row r="54" spans="1:11" ht="15" x14ac:dyDescent="0.4">
      <c r="A54" s="188" t="s">
        <v>93</v>
      </c>
      <c r="B54" s="325" t="s">
        <v>291</v>
      </c>
      <c r="C54" s="326"/>
      <c r="D54" s="327"/>
      <c r="E54" s="187"/>
      <c r="F54" s="606">
        <v>0</v>
      </c>
      <c r="G54" s="606">
        <v>0</v>
      </c>
      <c r="H54" s="713">
        <v>424542</v>
      </c>
      <c r="I54" s="713">
        <v>0</v>
      </c>
      <c r="J54" s="713">
        <v>0</v>
      </c>
      <c r="K54" s="713">
        <v>424542</v>
      </c>
    </row>
    <row r="55" spans="1:11" ht="15" x14ac:dyDescent="0.4">
      <c r="A55" s="188" t="s">
        <v>94</v>
      </c>
      <c r="B55" s="322" t="s">
        <v>524</v>
      </c>
      <c r="C55" s="323"/>
      <c r="D55" s="324"/>
      <c r="E55" s="187"/>
      <c r="F55" s="606">
        <v>0</v>
      </c>
      <c r="G55" s="606">
        <v>0</v>
      </c>
      <c r="H55" s="713">
        <v>2715029</v>
      </c>
      <c r="I55" s="713">
        <v>0</v>
      </c>
      <c r="J55" s="713">
        <v>0</v>
      </c>
      <c r="K55" s="713">
        <v>2715029</v>
      </c>
    </row>
    <row r="56" spans="1:11" ht="15" x14ac:dyDescent="0.4">
      <c r="A56" s="188" t="s">
        <v>95</v>
      </c>
      <c r="B56" s="322" t="s">
        <v>292</v>
      </c>
      <c r="C56" s="323"/>
      <c r="D56" s="324"/>
      <c r="E56" s="187"/>
      <c r="F56" s="606">
        <v>0</v>
      </c>
      <c r="G56" s="606">
        <v>0</v>
      </c>
      <c r="H56" s="713">
        <v>449952</v>
      </c>
      <c r="I56" s="713">
        <v>0</v>
      </c>
      <c r="J56" s="713">
        <v>0</v>
      </c>
      <c r="K56" s="713">
        <v>449952</v>
      </c>
    </row>
    <row r="57" spans="1:11" ht="13.15" x14ac:dyDescent="0.4">
      <c r="A57" s="188" t="s">
        <v>97</v>
      </c>
      <c r="B57" s="514" t="s">
        <v>293</v>
      </c>
      <c r="C57" s="515"/>
      <c r="D57" s="516"/>
      <c r="E57" s="187"/>
      <c r="F57" s="606">
        <v>83</v>
      </c>
      <c r="G57" s="606">
        <v>0</v>
      </c>
      <c r="H57" s="713">
        <v>207984</v>
      </c>
      <c r="I57" s="713">
        <v>0</v>
      </c>
      <c r="J57" s="713">
        <v>0</v>
      </c>
      <c r="K57" s="713">
        <v>207984</v>
      </c>
    </row>
    <row r="58" spans="1:11" ht="13.15" x14ac:dyDescent="0.4">
      <c r="A58" s="188" t="s">
        <v>98</v>
      </c>
      <c r="B58" s="514" t="s">
        <v>525</v>
      </c>
      <c r="C58" s="515"/>
      <c r="D58" s="516"/>
      <c r="E58" s="187"/>
      <c r="F58" s="606">
        <v>0</v>
      </c>
      <c r="G58" s="606">
        <v>0</v>
      </c>
      <c r="H58" s="713">
        <v>0</v>
      </c>
      <c r="I58" s="713">
        <v>0</v>
      </c>
      <c r="J58" s="713">
        <v>0</v>
      </c>
      <c r="K58" s="713">
        <v>0</v>
      </c>
    </row>
    <row r="59" spans="1:11" ht="13.15" x14ac:dyDescent="0.4">
      <c r="A59" s="188" t="s">
        <v>99</v>
      </c>
      <c r="B59" s="1026" t="s">
        <v>295</v>
      </c>
      <c r="C59" s="1027"/>
      <c r="D59" s="1028"/>
      <c r="E59" s="187"/>
      <c r="F59" s="606">
        <v>0</v>
      </c>
      <c r="G59" s="606">
        <v>0</v>
      </c>
      <c r="H59" s="713">
        <v>0</v>
      </c>
      <c r="I59" s="713">
        <v>0</v>
      </c>
      <c r="J59" s="713">
        <v>0</v>
      </c>
      <c r="K59" s="713">
        <v>0</v>
      </c>
    </row>
    <row r="60" spans="1:11" ht="13.15" x14ac:dyDescent="0.4">
      <c r="A60" s="188" t="s">
        <v>100</v>
      </c>
      <c r="B60" s="1026" t="s">
        <v>294</v>
      </c>
      <c r="C60" s="1027"/>
      <c r="D60" s="1028"/>
      <c r="E60" s="187"/>
      <c r="F60" s="606">
        <v>0</v>
      </c>
      <c r="G60" s="606">
        <v>0</v>
      </c>
      <c r="H60" s="713">
        <v>1597782</v>
      </c>
      <c r="I60" s="713">
        <v>0</v>
      </c>
      <c r="J60" s="713">
        <v>0</v>
      </c>
      <c r="K60" s="713">
        <v>1597782</v>
      </c>
    </row>
    <row r="61" spans="1:11" ht="13.15" x14ac:dyDescent="0.4">
      <c r="A61" s="188"/>
      <c r="B61" s="191"/>
      <c r="C61" s="191"/>
      <c r="D61" s="191"/>
      <c r="E61" s="187"/>
      <c r="F61" s="606"/>
      <c r="G61" s="606"/>
      <c r="H61" s="713"/>
      <c r="I61" s="713"/>
      <c r="J61" s="713"/>
      <c r="K61" s="713"/>
    </row>
    <row r="62" spans="1:11" ht="13.15" x14ac:dyDescent="0.4">
      <c r="A62" s="188"/>
      <c r="B62" s="191"/>
      <c r="C62" s="191"/>
      <c r="D62" s="191"/>
      <c r="E62" s="187"/>
      <c r="F62" s="606"/>
      <c r="G62" s="606"/>
      <c r="H62" s="713"/>
      <c r="I62" s="713"/>
      <c r="J62" s="713"/>
      <c r="K62" s="713"/>
    </row>
    <row r="63" spans="1:11" ht="13.15" x14ac:dyDescent="0.4">
      <c r="A63" s="188"/>
      <c r="B63" s="187"/>
      <c r="C63" s="187"/>
      <c r="D63" s="187"/>
      <c r="E63" s="187"/>
      <c r="F63" s="187"/>
      <c r="G63" s="187"/>
      <c r="H63" s="187"/>
      <c r="I63" s="717"/>
      <c r="J63" s="187"/>
      <c r="K63" s="187"/>
    </row>
    <row r="64" spans="1:11" ht="13.15" x14ac:dyDescent="0.4">
      <c r="A64" s="188" t="s">
        <v>144</v>
      </c>
      <c r="B64" s="155" t="s">
        <v>145</v>
      </c>
      <c r="C64" s="187"/>
      <c r="D64" s="187"/>
      <c r="E64" s="155" t="s">
        <v>7</v>
      </c>
      <c r="F64" s="610">
        <v>83</v>
      </c>
      <c r="G64" s="610">
        <v>0</v>
      </c>
      <c r="H64" s="715">
        <v>7148599</v>
      </c>
      <c r="I64" s="715">
        <v>0</v>
      </c>
      <c r="J64" s="715">
        <v>999212</v>
      </c>
      <c r="K64" s="715">
        <v>6149387</v>
      </c>
    </row>
    <row r="65" spans="1:11" x14ac:dyDescent="0.35">
      <c r="A65" s="187"/>
      <c r="B65" s="187"/>
      <c r="C65" s="187"/>
      <c r="D65" s="187"/>
      <c r="E65" s="187"/>
      <c r="F65" s="172"/>
      <c r="G65" s="172"/>
      <c r="H65" s="172"/>
      <c r="I65" s="172"/>
      <c r="J65" s="172"/>
      <c r="K65" s="172"/>
    </row>
    <row r="66" spans="1:11" ht="26.25" x14ac:dyDescent="0.4">
      <c r="A66" s="187"/>
      <c r="B66" s="187"/>
      <c r="C66" s="187"/>
      <c r="D66" s="187"/>
      <c r="E66" s="187"/>
      <c r="F66" s="176" t="s">
        <v>9</v>
      </c>
      <c r="G66" s="176" t="s">
        <v>37</v>
      </c>
      <c r="H66" s="176" t="s">
        <v>29</v>
      </c>
      <c r="I66" s="176" t="s">
        <v>30</v>
      </c>
      <c r="J66" s="176" t="s">
        <v>33</v>
      </c>
      <c r="K66" s="176" t="s">
        <v>34</v>
      </c>
    </row>
    <row r="67" spans="1:11" ht="13.15" x14ac:dyDescent="0.4">
      <c r="A67" s="156" t="s">
        <v>102</v>
      </c>
      <c r="B67" s="155" t="s">
        <v>12</v>
      </c>
      <c r="C67" s="187"/>
      <c r="D67" s="187"/>
      <c r="E67" s="187"/>
      <c r="F67" s="177"/>
      <c r="G67" s="177"/>
      <c r="H67" s="177"/>
      <c r="I67" s="178"/>
      <c r="J67" s="177"/>
      <c r="K67" s="179"/>
    </row>
    <row r="68" spans="1:11" ht="13.15" x14ac:dyDescent="0.4">
      <c r="A68" s="188" t="s">
        <v>103</v>
      </c>
      <c r="B68" s="187" t="s">
        <v>52</v>
      </c>
      <c r="C68" s="187"/>
      <c r="D68" s="187"/>
      <c r="E68" s="187"/>
      <c r="F68" s="606">
        <v>40</v>
      </c>
      <c r="G68" s="606">
        <v>9</v>
      </c>
      <c r="H68" s="713">
        <v>29227</v>
      </c>
      <c r="I68" s="713">
        <v>0</v>
      </c>
      <c r="J68" s="713">
        <v>0</v>
      </c>
      <c r="K68" s="713">
        <v>29227</v>
      </c>
    </row>
    <row r="69" spans="1:11" ht="13.15" x14ac:dyDescent="0.4">
      <c r="A69" s="188" t="s">
        <v>104</v>
      </c>
      <c r="B69" s="154" t="s">
        <v>53</v>
      </c>
      <c r="C69" s="187"/>
      <c r="D69" s="187"/>
      <c r="E69" s="187"/>
      <c r="F69" s="606">
        <v>528</v>
      </c>
      <c r="G69" s="606">
        <v>415</v>
      </c>
      <c r="H69" s="713">
        <v>196417</v>
      </c>
      <c r="I69" s="713">
        <v>0</v>
      </c>
      <c r="J69" s="713">
        <v>167713</v>
      </c>
      <c r="K69" s="713">
        <v>28704</v>
      </c>
    </row>
    <row r="70" spans="1:11" ht="13.15" x14ac:dyDescent="0.4">
      <c r="A70" s="188" t="s">
        <v>178</v>
      </c>
      <c r="B70" s="514" t="s">
        <v>474</v>
      </c>
      <c r="C70" s="515"/>
      <c r="D70" s="516"/>
      <c r="E70" s="155"/>
      <c r="F70" s="606">
        <v>4300</v>
      </c>
      <c r="G70" s="606">
        <v>0</v>
      </c>
      <c r="H70" s="713">
        <v>191517</v>
      </c>
      <c r="I70" s="713">
        <v>0</v>
      </c>
      <c r="J70" s="713">
        <v>0</v>
      </c>
      <c r="K70" s="713">
        <v>191517</v>
      </c>
    </row>
    <row r="71" spans="1:11" ht="13.15" x14ac:dyDescent="0.4">
      <c r="A71" s="188" t="s">
        <v>179</v>
      </c>
      <c r="B71" s="514"/>
      <c r="C71" s="515"/>
      <c r="D71" s="516"/>
      <c r="E71" s="155"/>
      <c r="F71" s="113"/>
      <c r="G71" s="113"/>
      <c r="H71" s="106"/>
      <c r="I71" s="174"/>
      <c r="J71" s="106"/>
      <c r="K71" s="608"/>
    </row>
    <row r="72" spans="1:11" ht="13.15" x14ac:dyDescent="0.4">
      <c r="A72" s="188" t="s">
        <v>180</v>
      </c>
      <c r="B72" s="517"/>
      <c r="C72" s="518"/>
      <c r="D72" s="165"/>
      <c r="E72" s="155"/>
      <c r="F72" s="606"/>
      <c r="G72" s="606"/>
      <c r="H72" s="607"/>
      <c r="I72" s="174"/>
      <c r="J72" s="607"/>
      <c r="K72" s="608"/>
    </row>
    <row r="73" spans="1:11" ht="13.15" x14ac:dyDescent="0.4">
      <c r="A73" s="188"/>
      <c r="B73" s="154"/>
      <c r="C73" s="187"/>
      <c r="D73" s="187"/>
      <c r="E73" s="155"/>
      <c r="F73" s="180"/>
      <c r="G73" s="180"/>
      <c r="H73" s="181"/>
      <c r="I73" s="178"/>
      <c r="J73" s="181"/>
      <c r="K73" s="179"/>
    </row>
    <row r="74" spans="1:11" ht="13.15" x14ac:dyDescent="0.4">
      <c r="A74" s="156" t="s">
        <v>146</v>
      </c>
      <c r="B74" s="155" t="s">
        <v>147</v>
      </c>
      <c r="C74" s="187"/>
      <c r="D74" s="187"/>
      <c r="E74" s="155" t="s">
        <v>7</v>
      </c>
      <c r="F74" s="614">
        <v>4868</v>
      </c>
      <c r="G74" s="614">
        <v>424</v>
      </c>
      <c r="H74" s="328">
        <v>417161</v>
      </c>
      <c r="I74" s="328">
        <v>0</v>
      </c>
      <c r="J74" s="328">
        <v>167713</v>
      </c>
      <c r="K74" s="718">
        <v>249448</v>
      </c>
    </row>
    <row r="75" spans="1:11" ht="41.25" customHeight="1" x14ac:dyDescent="0.4">
      <c r="A75" s="187"/>
      <c r="B75" s="187"/>
      <c r="C75" s="187"/>
      <c r="D75" s="187"/>
      <c r="E75" s="187"/>
      <c r="F75" s="158" t="s">
        <v>9</v>
      </c>
      <c r="G75" s="158" t="s">
        <v>37</v>
      </c>
      <c r="H75" s="158" t="s">
        <v>29</v>
      </c>
      <c r="I75" s="158" t="s">
        <v>30</v>
      </c>
      <c r="J75" s="158" t="s">
        <v>33</v>
      </c>
      <c r="K75" s="158" t="s">
        <v>34</v>
      </c>
    </row>
    <row r="76" spans="1:11" ht="13.15" x14ac:dyDescent="0.4">
      <c r="A76" s="156" t="s">
        <v>105</v>
      </c>
      <c r="B76" s="155" t="s">
        <v>106</v>
      </c>
      <c r="C76" s="187"/>
      <c r="D76" s="187"/>
      <c r="E76" s="187"/>
      <c r="F76" s="187"/>
      <c r="G76" s="187"/>
      <c r="H76" s="187"/>
      <c r="I76" s="187"/>
      <c r="J76" s="187"/>
      <c r="K76" s="187"/>
    </row>
    <row r="77" spans="1:11" ht="13.15" x14ac:dyDescent="0.4">
      <c r="A77" s="188" t="s">
        <v>107</v>
      </c>
      <c r="B77" s="154" t="s">
        <v>54</v>
      </c>
      <c r="C77" s="187"/>
      <c r="D77" s="187"/>
      <c r="E77" s="187"/>
      <c r="F77" s="606">
        <v>207</v>
      </c>
      <c r="G77" s="606">
        <v>35</v>
      </c>
      <c r="H77" s="713">
        <v>283933</v>
      </c>
      <c r="I77" s="713">
        <v>0</v>
      </c>
      <c r="J77" s="713">
        <v>0</v>
      </c>
      <c r="K77" s="713">
        <v>283933</v>
      </c>
    </row>
    <row r="78" spans="1:11" ht="13.15" x14ac:dyDescent="0.4">
      <c r="A78" s="188" t="s">
        <v>108</v>
      </c>
      <c r="B78" s="154" t="s">
        <v>55</v>
      </c>
      <c r="C78" s="187"/>
      <c r="D78" s="187"/>
      <c r="E78" s="187"/>
      <c r="F78" s="606">
        <v>0</v>
      </c>
      <c r="G78" s="606">
        <v>0</v>
      </c>
      <c r="H78" s="713">
        <v>0</v>
      </c>
      <c r="I78" s="713">
        <v>0</v>
      </c>
      <c r="J78" s="713">
        <v>0</v>
      </c>
      <c r="K78" s="713">
        <v>0</v>
      </c>
    </row>
    <row r="79" spans="1:11" ht="13.15" x14ac:dyDescent="0.4">
      <c r="A79" s="188" t="s">
        <v>109</v>
      </c>
      <c r="B79" s="154" t="s">
        <v>13</v>
      </c>
      <c r="C79" s="187"/>
      <c r="D79" s="187"/>
      <c r="E79" s="187"/>
      <c r="F79" s="606">
        <v>3172.78</v>
      </c>
      <c r="G79" s="606">
        <v>46754</v>
      </c>
      <c r="H79" s="713">
        <v>553404</v>
      </c>
      <c r="I79" s="713">
        <v>0</v>
      </c>
      <c r="J79" s="713">
        <v>0</v>
      </c>
      <c r="K79" s="713">
        <v>553404</v>
      </c>
    </row>
    <row r="80" spans="1:11" ht="13.15" x14ac:dyDescent="0.4">
      <c r="A80" s="188" t="s">
        <v>110</v>
      </c>
      <c r="B80" s="154" t="s">
        <v>56</v>
      </c>
      <c r="C80" s="187"/>
      <c r="D80" s="187"/>
      <c r="E80" s="187"/>
      <c r="F80" s="606">
        <v>0</v>
      </c>
      <c r="G80" s="606">
        <v>0</v>
      </c>
      <c r="H80" s="607">
        <v>0</v>
      </c>
      <c r="I80" s="174">
        <v>0</v>
      </c>
      <c r="J80" s="607">
        <v>0</v>
      </c>
      <c r="K80" s="607">
        <v>0</v>
      </c>
    </row>
    <row r="81" spans="1:11" ht="13.15" x14ac:dyDescent="0.4">
      <c r="A81" s="188"/>
      <c r="B81" s="187"/>
      <c r="C81" s="187"/>
      <c r="D81" s="187"/>
      <c r="E81" s="187"/>
      <c r="F81" s="187"/>
      <c r="G81" s="187"/>
      <c r="H81" s="187"/>
      <c r="I81" s="187"/>
      <c r="J81" s="187"/>
      <c r="K81" s="613"/>
    </row>
    <row r="82" spans="1:11" ht="13.15" x14ac:dyDescent="0.4">
      <c r="A82" s="188" t="s">
        <v>148</v>
      </c>
      <c r="B82" s="155" t="s">
        <v>149</v>
      </c>
      <c r="C82" s="187"/>
      <c r="D82" s="187"/>
      <c r="E82" s="155" t="s">
        <v>7</v>
      </c>
      <c r="F82" s="614">
        <v>3379.78</v>
      </c>
      <c r="G82" s="614">
        <v>46789</v>
      </c>
      <c r="H82" s="718">
        <v>837337</v>
      </c>
      <c r="I82" s="718">
        <v>0</v>
      </c>
      <c r="J82" s="718">
        <v>0</v>
      </c>
      <c r="K82" s="718">
        <v>837337</v>
      </c>
    </row>
    <row r="83" spans="1:11" ht="13.5" thickBot="1" x14ac:dyDescent="0.45">
      <c r="A83" s="188"/>
      <c r="B83" s="187"/>
      <c r="C83" s="187"/>
      <c r="D83" s="187"/>
      <c r="E83" s="187"/>
      <c r="F83" s="164"/>
      <c r="G83" s="164"/>
      <c r="H83" s="164"/>
      <c r="I83" s="164"/>
      <c r="J83" s="164"/>
      <c r="K83" s="164"/>
    </row>
    <row r="84" spans="1:11" ht="45.75" customHeight="1" x14ac:dyDescent="0.4">
      <c r="A84" s="187"/>
      <c r="B84" s="187"/>
      <c r="C84" s="187"/>
      <c r="D84" s="187"/>
      <c r="E84" s="187"/>
      <c r="F84" s="158" t="s">
        <v>9</v>
      </c>
      <c r="G84" s="158" t="s">
        <v>37</v>
      </c>
      <c r="H84" s="158" t="s">
        <v>29</v>
      </c>
      <c r="I84" s="158" t="s">
        <v>30</v>
      </c>
      <c r="J84" s="158" t="s">
        <v>33</v>
      </c>
      <c r="K84" s="158" t="s">
        <v>34</v>
      </c>
    </row>
    <row r="85" spans="1:11" ht="13.15" x14ac:dyDescent="0.4">
      <c r="A85" s="156" t="s">
        <v>111</v>
      </c>
      <c r="B85" s="155" t="s">
        <v>57</v>
      </c>
      <c r="C85" s="187"/>
      <c r="D85" s="187"/>
      <c r="E85" s="187"/>
      <c r="F85" s="187"/>
      <c r="G85" s="187"/>
      <c r="H85" s="187"/>
      <c r="I85" s="187"/>
      <c r="J85" s="187"/>
      <c r="K85" s="187"/>
    </row>
    <row r="86" spans="1:11" ht="13.15" x14ac:dyDescent="0.4">
      <c r="A86" s="188" t="s">
        <v>112</v>
      </c>
      <c r="B86" s="154" t="s">
        <v>113</v>
      </c>
      <c r="C86" s="187"/>
      <c r="D86" s="187"/>
      <c r="E86" s="187"/>
      <c r="F86" s="606">
        <v>431</v>
      </c>
      <c r="G86" s="606">
        <v>1134</v>
      </c>
      <c r="H86" s="719">
        <v>88298</v>
      </c>
      <c r="I86" s="719">
        <v>53509</v>
      </c>
      <c r="J86" s="719">
        <v>15793</v>
      </c>
      <c r="K86" s="719">
        <v>126014</v>
      </c>
    </row>
    <row r="87" spans="1:11" ht="13.15" x14ac:dyDescent="0.4">
      <c r="A87" s="188" t="s">
        <v>114</v>
      </c>
      <c r="B87" s="154" t="s">
        <v>14</v>
      </c>
      <c r="C87" s="187"/>
      <c r="D87" s="187"/>
      <c r="E87" s="187"/>
      <c r="F87" s="606">
        <v>0</v>
      </c>
      <c r="G87" s="606">
        <v>0</v>
      </c>
      <c r="H87" s="719">
        <v>0</v>
      </c>
      <c r="I87" s="329">
        <v>0</v>
      </c>
      <c r="J87" s="719">
        <v>0</v>
      </c>
      <c r="K87" s="719">
        <v>0</v>
      </c>
    </row>
    <row r="88" spans="1:11" ht="13.15" x14ac:dyDescent="0.4">
      <c r="A88" s="188" t="s">
        <v>115</v>
      </c>
      <c r="B88" s="154" t="s">
        <v>116</v>
      </c>
      <c r="C88" s="187"/>
      <c r="D88" s="187"/>
      <c r="E88" s="187"/>
      <c r="F88" s="606">
        <v>303</v>
      </c>
      <c r="G88" s="606">
        <v>15</v>
      </c>
      <c r="H88" s="719">
        <v>140628</v>
      </c>
      <c r="I88" s="719">
        <v>85220</v>
      </c>
      <c r="J88" s="719">
        <v>12000</v>
      </c>
      <c r="K88" s="719">
        <v>213848</v>
      </c>
    </row>
    <row r="89" spans="1:11" ht="13.15" x14ac:dyDescent="0.4">
      <c r="A89" s="188" t="s">
        <v>117</v>
      </c>
      <c r="B89" s="154" t="s">
        <v>58</v>
      </c>
      <c r="C89" s="187"/>
      <c r="D89" s="187"/>
      <c r="E89" s="187"/>
      <c r="F89" s="606">
        <v>0</v>
      </c>
      <c r="G89" s="606">
        <v>0</v>
      </c>
      <c r="H89" s="719">
        <v>0</v>
      </c>
      <c r="I89" s="329">
        <v>0</v>
      </c>
      <c r="J89" s="719">
        <v>0</v>
      </c>
      <c r="K89" s="719">
        <v>0</v>
      </c>
    </row>
    <row r="90" spans="1:11" ht="13.15" x14ac:dyDescent="0.4">
      <c r="A90" s="188" t="s">
        <v>118</v>
      </c>
      <c r="B90" s="1036" t="s">
        <v>59</v>
      </c>
      <c r="C90" s="1036"/>
      <c r="D90" s="187"/>
      <c r="E90" s="187"/>
      <c r="F90" s="606">
        <v>0</v>
      </c>
      <c r="G90" s="606">
        <v>0</v>
      </c>
      <c r="H90" s="719">
        <v>0</v>
      </c>
      <c r="I90" s="329">
        <v>0</v>
      </c>
      <c r="J90" s="719">
        <v>0</v>
      </c>
      <c r="K90" s="719">
        <v>0</v>
      </c>
    </row>
    <row r="91" spans="1:11" ht="13.15" x14ac:dyDescent="0.4">
      <c r="A91" s="188" t="s">
        <v>119</v>
      </c>
      <c r="B91" s="154" t="s">
        <v>60</v>
      </c>
      <c r="C91" s="187"/>
      <c r="D91" s="187"/>
      <c r="E91" s="187"/>
      <c r="F91" s="606">
        <v>0</v>
      </c>
      <c r="G91" s="606">
        <v>0</v>
      </c>
      <c r="H91" s="719">
        <v>0</v>
      </c>
      <c r="I91" s="719">
        <v>0</v>
      </c>
      <c r="J91" s="719">
        <v>0</v>
      </c>
      <c r="K91" s="719">
        <v>0</v>
      </c>
    </row>
    <row r="92" spans="1:11" ht="13.15" x14ac:dyDescent="0.4">
      <c r="A92" s="188" t="s">
        <v>120</v>
      </c>
      <c r="B92" s="154" t="s">
        <v>121</v>
      </c>
      <c r="C92" s="187"/>
      <c r="D92" s="187"/>
      <c r="E92" s="187"/>
      <c r="F92" s="606">
        <v>0</v>
      </c>
      <c r="G92" s="606">
        <v>0</v>
      </c>
      <c r="H92" s="719">
        <v>0</v>
      </c>
      <c r="I92" s="329">
        <v>0</v>
      </c>
      <c r="J92" s="719">
        <v>0</v>
      </c>
      <c r="K92" s="719">
        <v>0</v>
      </c>
    </row>
    <row r="93" spans="1:11" ht="13.15" x14ac:dyDescent="0.4">
      <c r="A93" s="188" t="s">
        <v>122</v>
      </c>
      <c r="B93" s="154" t="s">
        <v>123</v>
      </c>
      <c r="C93" s="187"/>
      <c r="D93" s="187"/>
      <c r="E93" s="187"/>
      <c r="F93" s="606">
        <v>80</v>
      </c>
      <c r="G93" s="606">
        <v>29</v>
      </c>
      <c r="H93" s="719">
        <v>751920</v>
      </c>
      <c r="I93" s="719">
        <v>455663</v>
      </c>
      <c r="J93" s="719">
        <v>0</v>
      </c>
      <c r="K93" s="719">
        <v>1207583</v>
      </c>
    </row>
    <row r="94" spans="1:11" ht="13.15" x14ac:dyDescent="0.4">
      <c r="A94" s="188" t="s">
        <v>124</v>
      </c>
      <c r="B94" s="1026"/>
      <c r="C94" s="1027"/>
      <c r="D94" s="1028"/>
      <c r="E94" s="187"/>
      <c r="F94" s="606"/>
      <c r="G94" s="606"/>
      <c r="H94" s="607"/>
      <c r="I94" s="174"/>
      <c r="J94" s="607"/>
      <c r="K94" s="608"/>
    </row>
    <row r="95" spans="1:11" ht="13.15" x14ac:dyDescent="0.4">
      <c r="A95" s="188" t="s">
        <v>125</v>
      </c>
      <c r="B95" s="1026"/>
      <c r="C95" s="1027"/>
      <c r="D95" s="1028"/>
      <c r="E95" s="187"/>
      <c r="F95" s="606"/>
      <c r="G95" s="606"/>
      <c r="H95" s="607"/>
      <c r="I95" s="174"/>
      <c r="J95" s="607"/>
      <c r="K95" s="608"/>
    </row>
    <row r="96" spans="1:11" ht="13.15" x14ac:dyDescent="0.4">
      <c r="A96" s="188" t="s">
        <v>126</v>
      </c>
      <c r="B96" s="1026"/>
      <c r="C96" s="1027"/>
      <c r="D96" s="1028"/>
      <c r="E96" s="187"/>
      <c r="F96" s="606"/>
      <c r="G96" s="606"/>
      <c r="H96" s="607"/>
      <c r="I96" s="174"/>
      <c r="J96" s="607"/>
      <c r="K96" s="608"/>
    </row>
    <row r="97" spans="1:11" ht="13.15" x14ac:dyDescent="0.4">
      <c r="A97" s="188"/>
      <c r="B97" s="154"/>
      <c r="C97" s="187"/>
      <c r="D97" s="187"/>
      <c r="E97" s="187"/>
      <c r="F97" s="187"/>
      <c r="G97" s="187"/>
      <c r="H97" s="187"/>
      <c r="I97" s="187"/>
      <c r="J97" s="187"/>
      <c r="K97" s="187"/>
    </row>
    <row r="98" spans="1:11" ht="13.15" x14ac:dyDescent="0.4">
      <c r="A98" s="156" t="s">
        <v>150</v>
      </c>
      <c r="B98" s="155" t="s">
        <v>151</v>
      </c>
      <c r="C98" s="187"/>
      <c r="D98" s="187"/>
      <c r="E98" s="155" t="s">
        <v>7</v>
      </c>
      <c r="F98" s="610">
        <v>814</v>
      </c>
      <c r="G98" s="610">
        <v>1178</v>
      </c>
      <c r="H98" s="720">
        <v>980846</v>
      </c>
      <c r="I98" s="720">
        <v>594392</v>
      </c>
      <c r="J98" s="720">
        <v>27793</v>
      </c>
      <c r="K98" s="720">
        <v>1547445</v>
      </c>
    </row>
    <row r="99" spans="1:11" ht="13.5" thickBot="1" x14ac:dyDescent="0.45">
      <c r="A99" s="187"/>
      <c r="B99" s="155"/>
      <c r="C99" s="187"/>
      <c r="D99" s="187"/>
      <c r="E99" s="187"/>
      <c r="F99" s="164"/>
      <c r="G99" s="164"/>
      <c r="H99" s="164"/>
      <c r="I99" s="164"/>
      <c r="J99" s="164"/>
      <c r="K99" s="164"/>
    </row>
    <row r="100" spans="1:11" ht="26.25" x14ac:dyDescent="0.4">
      <c r="A100" s="187"/>
      <c r="B100" s="187"/>
      <c r="C100" s="187"/>
      <c r="D100" s="187"/>
      <c r="E100" s="187"/>
      <c r="F100" s="158" t="s">
        <v>9</v>
      </c>
      <c r="G100" s="158" t="s">
        <v>37</v>
      </c>
      <c r="H100" s="158" t="s">
        <v>29</v>
      </c>
      <c r="I100" s="158" t="s">
        <v>30</v>
      </c>
      <c r="J100" s="158" t="s">
        <v>33</v>
      </c>
      <c r="K100" s="158" t="s">
        <v>34</v>
      </c>
    </row>
    <row r="101" spans="1:11" ht="13.15" x14ac:dyDescent="0.4">
      <c r="A101" s="156" t="s">
        <v>130</v>
      </c>
      <c r="B101" s="155" t="s">
        <v>63</v>
      </c>
      <c r="C101" s="187"/>
      <c r="D101" s="187"/>
      <c r="E101" s="187"/>
      <c r="F101" s="187"/>
      <c r="G101" s="187"/>
      <c r="H101" s="187"/>
      <c r="I101" s="187"/>
      <c r="J101" s="187"/>
      <c r="K101" s="187"/>
    </row>
    <row r="102" spans="1:11" ht="13.15" x14ac:dyDescent="0.4">
      <c r="A102" s="188" t="s">
        <v>131</v>
      </c>
      <c r="B102" s="154" t="s">
        <v>152</v>
      </c>
      <c r="C102" s="187"/>
      <c r="D102" s="187"/>
      <c r="E102" s="187"/>
      <c r="F102" s="606">
        <v>3312</v>
      </c>
      <c r="G102" s="606">
        <v>212</v>
      </c>
      <c r="H102" s="713">
        <v>233727</v>
      </c>
      <c r="I102" s="713">
        <v>141638</v>
      </c>
      <c r="J102" s="713">
        <v>0</v>
      </c>
      <c r="K102" s="713">
        <v>375365</v>
      </c>
    </row>
    <row r="103" spans="1:11" ht="13.15" x14ac:dyDescent="0.4">
      <c r="A103" s="188" t="s">
        <v>132</v>
      </c>
      <c r="B103" s="1103" t="s">
        <v>62</v>
      </c>
      <c r="C103" s="1103"/>
      <c r="D103" s="187"/>
      <c r="E103" s="187"/>
      <c r="F103" s="606">
        <v>75</v>
      </c>
      <c r="G103" s="606">
        <v>43</v>
      </c>
      <c r="H103" s="713">
        <v>5429</v>
      </c>
      <c r="I103" s="713">
        <v>3290</v>
      </c>
      <c r="J103" s="713">
        <v>0</v>
      </c>
      <c r="K103" s="713">
        <v>8719</v>
      </c>
    </row>
    <row r="104" spans="1:11" ht="13.15" x14ac:dyDescent="0.4">
      <c r="A104" s="188" t="s">
        <v>128</v>
      </c>
      <c r="B104" s="1026"/>
      <c r="C104" s="1027"/>
      <c r="D104" s="1028"/>
      <c r="E104" s="187"/>
      <c r="F104" s="606"/>
      <c r="G104" s="606"/>
      <c r="H104" s="607"/>
      <c r="I104" s="174"/>
      <c r="J104" s="607"/>
      <c r="K104" s="608"/>
    </row>
    <row r="105" spans="1:11" ht="13.15" x14ac:dyDescent="0.4">
      <c r="A105" s="188" t="s">
        <v>127</v>
      </c>
      <c r="B105" s="1026"/>
      <c r="C105" s="1027"/>
      <c r="D105" s="1028"/>
      <c r="E105" s="187"/>
      <c r="F105" s="606"/>
      <c r="G105" s="606"/>
      <c r="H105" s="607"/>
      <c r="I105" s="174"/>
      <c r="J105" s="607"/>
      <c r="K105" s="608"/>
    </row>
    <row r="106" spans="1:11" ht="13.15" x14ac:dyDescent="0.4">
      <c r="A106" s="188" t="s">
        <v>129</v>
      </c>
      <c r="B106" s="1026"/>
      <c r="C106" s="1027"/>
      <c r="D106" s="1028"/>
      <c r="E106" s="187"/>
      <c r="F106" s="606"/>
      <c r="G106" s="606"/>
      <c r="H106" s="607"/>
      <c r="I106" s="174"/>
      <c r="J106" s="607"/>
      <c r="K106" s="608"/>
    </row>
    <row r="107" spans="1:11" ht="13.15" x14ac:dyDescent="0.4">
      <c r="A107" s="187"/>
      <c r="B107" s="155"/>
      <c r="C107" s="187"/>
      <c r="D107" s="187"/>
      <c r="E107" s="187"/>
      <c r="F107" s="187"/>
      <c r="G107" s="187"/>
      <c r="H107" s="187"/>
      <c r="I107" s="187"/>
      <c r="J107" s="187"/>
      <c r="K107" s="187"/>
    </row>
    <row r="108" spans="1:11" ht="13.15" x14ac:dyDescent="0.4">
      <c r="A108" s="156" t="s">
        <v>153</v>
      </c>
      <c r="B108" s="182" t="s">
        <v>154</v>
      </c>
      <c r="C108" s="187"/>
      <c r="D108" s="187"/>
      <c r="E108" s="155" t="s">
        <v>7</v>
      </c>
      <c r="F108" s="610">
        <v>3387</v>
      </c>
      <c r="G108" s="610">
        <v>255</v>
      </c>
      <c r="H108" s="715">
        <v>239156</v>
      </c>
      <c r="I108" s="715">
        <v>144928</v>
      </c>
      <c r="J108" s="715">
        <v>0</v>
      </c>
      <c r="K108" s="715">
        <v>384084</v>
      </c>
    </row>
    <row r="109" spans="1:11" ht="13.5" thickBot="1" x14ac:dyDescent="0.45">
      <c r="A109" s="160"/>
      <c r="B109" s="161"/>
      <c r="C109" s="162"/>
      <c r="D109" s="162"/>
      <c r="E109" s="162"/>
      <c r="F109" s="164"/>
      <c r="G109" s="164"/>
      <c r="H109" s="164"/>
      <c r="I109" s="164"/>
      <c r="J109" s="164"/>
      <c r="K109" s="164"/>
    </row>
    <row r="110" spans="1:11" ht="13.15" x14ac:dyDescent="0.4">
      <c r="A110" s="156" t="s">
        <v>156</v>
      </c>
      <c r="B110" s="155" t="s">
        <v>39</v>
      </c>
      <c r="C110" s="187"/>
      <c r="D110" s="187"/>
      <c r="E110" s="187"/>
      <c r="F110" s="187"/>
      <c r="G110" s="187"/>
      <c r="H110" s="187"/>
      <c r="I110" s="187"/>
      <c r="J110" s="187"/>
      <c r="K110" s="187"/>
    </row>
    <row r="111" spans="1:11" ht="13.15" x14ac:dyDescent="0.4">
      <c r="A111" s="156" t="s">
        <v>155</v>
      </c>
      <c r="B111" s="155" t="s">
        <v>164</v>
      </c>
      <c r="C111" s="187"/>
      <c r="D111" s="187"/>
      <c r="E111" s="155" t="s">
        <v>7</v>
      </c>
      <c r="F111" s="720">
        <v>19238000</v>
      </c>
      <c r="G111" s="187"/>
      <c r="H111" s="187"/>
      <c r="I111" s="187"/>
      <c r="J111" s="187"/>
      <c r="K111" s="187"/>
    </row>
    <row r="112" spans="1:11" ht="13.15" x14ac:dyDescent="0.4">
      <c r="A112" s="187"/>
      <c r="B112" s="155"/>
      <c r="C112" s="187"/>
      <c r="D112" s="187"/>
      <c r="E112" s="155"/>
      <c r="F112" s="163"/>
      <c r="G112" s="187"/>
      <c r="H112" s="187"/>
      <c r="I112" s="187"/>
      <c r="J112" s="187"/>
      <c r="K112" s="187"/>
    </row>
    <row r="113" spans="1:6" ht="13.15" x14ac:dyDescent="0.4">
      <c r="A113" s="156" t="s">
        <v>170</v>
      </c>
      <c r="B113" s="155" t="s">
        <v>15</v>
      </c>
      <c r="C113" s="187"/>
      <c r="D113" s="187"/>
      <c r="E113" s="187"/>
      <c r="F113" s="187"/>
    </row>
    <row r="114" spans="1:6" ht="13.15" x14ac:dyDescent="0.4">
      <c r="A114" s="188" t="s">
        <v>171</v>
      </c>
      <c r="B114" s="154" t="s">
        <v>35</v>
      </c>
      <c r="C114" s="187"/>
      <c r="D114" s="187"/>
      <c r="E114" s="187"/>
      <c r="F114" s="721">
        <v>0.60599999999999998</v>
      </c>
    </row>
    <row r="115" spans="1:6" ht="13.15" x14ac:dyDescent="0.4">
      <c r="A115" s="188"/>
      <c r="B115" s="155"/>
      <c r="C115" s="187"/>
      <c r="D115" s="187"/>
      <c r="E115" s="187"/>
      <c r="F115" s="187"/>
    </row>
    <row r="116" spans="1:6" ht="13.15" x14ac:dyDescent="0.4">
      <c r="A116" s="188"/>
      <c r="B116" s="155" t="s">
        <v>16</v>
      </c>
      <c r="C116" s="187"/>
      <c r="D116" s="187"/>
      <c r="E116" s="187"/>
      <c r="F116" s="187"/>
    </row>
    <row r="117" spans="1:6" ht="13.15" x14ac:dyDescent="0.4">
      <c r="A117" s="188" t="s">
        <v>172</v>
      </c>
      <c r="B117" s="154" t="s">
        <v>17</v>
      </c>
      <c r="C117" s="187"/>
      <c r="D117" s="187"/>
      <c r="E117" s="187"/>
      <c r="F117" s="720">
        <v>588871000</v>
      </c>
    </row>
    <row r="118" spans="1:6" ht="13.15" x14ac:dyDescent="0.4">
      <c r="A118" s="188" t="s">
        <v>173</v>
      </c>
      <c r="B118" s="187" t="s">
        <v>18</v>
      </c>
      <c r="C118" s="187"/>
      <c r="D118" s="187"/>
      <c r="E118" s="187"/>
      <c r="F118" s="720">
        <v>59229000</v>
      </c>
    </row>
    <row r="119" spans="1:6" ht="13.15" x14ac:dyDescent="0.4">
      <c r="A119" s="188" t="s">
        <v>174</v>
      </c>
      <c r="B119" s="155" t="s">
        <v>19</v>
      </c>
      <c r="C119" s="187"/>
      <c r="D119" s="187"/>
      <c r="E119" s="187"/>
      <c r="F119" s="718">
        <v>648100000</v>
      </c>
    </row>
    <row r="120" spans="1:6" ht="13.15" x14ac:dyDescent="0.4">
      <c r="A120" s="188"/>
      <c r="B120" s="155"/>
      <c r="C120" s="187"/>
      <c r="D120" s="187"/>
      <c r="E120" s="187"/>
      <c r="F120" s="114"/>
    </row>
    <row r="121" spans="1:6" ht="13.15" x14ac:dyDescent="0.4">
      <c r="A121" s="188" t="s">
        <v>167</v>
      </c>
      <c r="B121" s="155" t="s">
        <v>36</v>
      </c>
      <c r="C121" s="187"/>
      <c r="D121" s="187"/>
      <c r="E121" s="187"/>
      <c r="F121" s="720">
        <v>652464000</v>
      </c>
    </row>
    <row r="122" spans="1:6" ht="13.15" x14ac:dyDescent="0.4">
      <c r="A122" s="188"/>
      <c r="B122" s="187"/>
      <c r="C122" s="187"/>
      <c r="D122" s="187"/>
      <c r="E122" s="187"/>
      <c r="F122" s="114"/>
    </row>
    <row r="123" spans="1:6" ht="13.15" x14ac:dyDescent="0.4">
      <c r="A123" s="188" t="s">
        <v>175</v>
      </c>
      <c r="B123" s="155" t="s">
        <v>20</v>
      </c>
      <c r="C123" s="187"/>
      <c r="D123" s="187"/>
      <c r="E123" s="187"/>
      <c r="F123" s="720">
        <v>-4364000</v>
      </c>
    </row>
    <row r="124" spans="1:6" ht="13.15" x14ac:dyDescent="0.4">
      <c r="A124" s="188"/>
      <c r="B124" s="187"/>
      <c r="C124" s="187"/>
      <c r="D124" s="187"/>
      <c r="E124" s="187"/>
      <c r="F124" s="114"/>
    </row>
    <row r="125" spans="1:6" ht="13.15" x14ac:dyDescent="0.4">
      <c r="A125" s="188" t="s">
        <v>176</v>
      </c>
      <c r="B125" s="155" t="s">
        <v>21</v>
      </c>
      <c r="C125" s="187"/>
      <c r="D125" s="187"/>
      <c r="E125" s="187"/>
      <c r="F125" s="720">
        <v>3576000</v>
      </c>
    </row>
    <row r="126" spans="1:6" ht="13.15" x14ac:dyDescent="0.4">
      <c r="A126" s="188"/>
      <c r="B126" s="187"/>
      <c r="C126" s="187"/>
      <c r="D126" s="187"/>
      <c r="E126" s="187"/>
      <c r="F126" s="114"/>
    </row>
    <row r="127" spans="1:6" ht="13.15" x14ac:dyDescent="0.4">
      <c r="A127" s="188" t="s">
        <v>177</v>
      </c>
      <c r="B127" s="155" t="s">
        <v>22</v>
      </c>
      <c r="C127" s="187"/>
      <c r="D127" s="187"/>
      <c r="E127" s="187"/>
      <c r="F127" s="720">
        <v>-788000</v>
      </c>
    </row>
    <row r="128" spans="1:6" ht="13.15" x14ac:dyDescent="0.4">
      <c r="A128" s="188"/>
      <c r="B128" s="187"/>
      <c r="C128" s="187"/>
      <c r="D128" s="187"/>
      <c r="E128" s="187"/>
      <c r="F128" s="187"/>
    </row>
    <row r="129" spans="1:11" ht="26.25" x14ac:dyDescent="0.4">
      <c r="A129" s="187"/>
      <c r="B129" s="187"/>
      <c r="C129" s="187"/>
      <c r="D129" s="187"/>
      <c r="E129" s="187"/>
      <c r="F129" s="158" t="s">
        <v>9</v>
      </c>
      <c r="G129" s="158" t="s">
        <v>37</v>
      </c>
      <c r="H129" s="158" t="s">
        <v>29</v>
      </c>
      <c r="I129" s="158" t="s">
        <v>30</v>
      </c>
      <c r="J129" s="158" t="s">
        <v>33</v>
      </c>
      <c r="K129" s="158" t="s">
        <v>34</v>
      </c>
    </row>
    <row r="130" spans="1:11" ht="13.15" x14ac:dyDescent="0.4">
      <c r="A130" s="156" t="s">
        <v>157</v>
      </c>
      <c r="B130" s="155" t="s">
        <v>23</v>
      </c>
      <c r="C130" s="187"/>
      <c r="D130" s="187"/>
      <c r="E130" s="187"/>
      <c r="F130" s="187"/>
      <c r="G130" s="187"/>
      <c r="H130" s="187"/>
      <c r="I130" s="187"/>
      <c r="J130" s="187"/>
      <c r="K130" s="187"/>
    </row>
    <row r="131" spans="1:11" ht="13.15" x14ac:dyDescent="0.4">
      <c r="A131" s="188" t="s">
        <v>158</v>
      </c>
      <c r="B131" s="187" t="s">
        <v>24</v>
      </c>
      <c r="C131" s="187"/>
      <c r="D131" s="187"/>
      <c r="E131" s="187"/>
      <c r="F131" s="606"/>
      <c r="G131" s="606"/>
      <c r="H131" s="607"/>
      <c r="I131" s="174">
        <v>0</v>
      </c>
      <c r="J131" s="607"/>
      <c r="K131" s="608">
        <v>0</v>
      </c>
    </row>
    <row r="132" spans="1:11" ht="13.15" x14ac:dyDescent="0.4">
      <c r="A132" s="188" t="s">
        <v>159</v>
      </c>
      <c r="B132" s="187" t="s">
        <v>25</v>
      </c>
      <c r="C132" s="187"/>
      <c r="D132" s="187"/>
      <c r="E132" s="187"/>
      <c r="F132" s="606"/>
      <c r="G132" s="606"/>
      <c r="H132" s="607"/>
      <c r="I132" s="174">
        <v>0</v>
      </c>
      <c r="J132" s="607"/>
      <c r="K132" s="608">
        <v>0</v>
      </c>
    </row>
    <row r="133" spans="1:11" ht="13.15" x14ac:dyDescent="0.4">
      <c r="A133" s="188" t="s">
        <v>160</v>
      </c>
      <c r="B133" s="1021"/>
      <c r="C133" s="1022"/>
      <c r="D133" s="1023"/>
      <c r="E133" s="187"/>
      <c r="F133" s="606"/>
      <c r="G133" s="606"/>
      <c r="H133" s="607"/>
      <c r="I133" s="174">
        <v>0</v>
      </c>
      <c r="J133" s="607"/>
      <c r="K133" s="608">
        <v>0</v>
      </c>
    </row>
    <row r="134" spans="1:11" ht="13.15" x14ac:dyDescent="0.4">
      <c r="A134" s="188" t="s">
        <v>161</v>
      </c>
      <c r="B134" s="1021"/>
      <c r="C134" s="1022"/>
      <c r="D134" s="1023"/>
      <c r="E134" s="187"/>
      <c r="F134" s="606"/>
      <c r="G134" s="606"/>
      <c r="H134" s="607"/>
      <c r="I134" s="174">
        <v>0</v>
      </c>
      <c r="J134" s="607"/>
      <c r="K134" s="608">
        <v>0</v>
      </c>
    </row>
    <row r="135" spans="1:11" ht="13.15" x14ac:dyDescent="0.4">
      <c r="A135" s="188" t="s">
        <v>162</v>
      </c>
      <c r="B135" s="1021"/>
      <c r="C135" s="1022"/>
      <c r="D135" s="1023"/>
      <c r="E135" s="187"/>
      <c r="F135" s="606"/>
      <c r="G135" s="606"/>
      <c r="H135" s="607"/>
      <c r="I135" s="174">
        <v>0</v>
      </c>
      <c r="J135" s="607"/>
      <c r="K135" s="608">
        <v>0</v>
      </c>
    </row>
    <row r="136" spans="1:11" ht="13.15" x14ac:dyDescent="0.4">
      <c r="A136" s="156"/>
      <c r="B136" s="187"/>
      <c r="C136" s="187"/>
      <c r="D136" s="187"/>
      <c r="E136" s="187"/>
      <c r="F136" s="187"/>
      <c r="G136" s="187"/>
      <c r="H136" s="187"/>
      <c r="I136" s="187"/>
      <c r="J136" s="187"/>
      <c r="K136" s="187"/>
    </row>
    <row r="137" spans="1:11" ht="13.15" x14ac:dyDescent="0.4">
      <c r="A137" s="156" t="s">
        <v>163</v>
      </c>
      <c r="B137" s="155" t="s">
        <v>27</v>
      </c>
      <c r="C137" s="187"/>
      <c r="D137" s="187"/>
      <c r="E137" s="187"/>
      <c r="F137" s="610">
        <v>0</v>
      </c>
      <c r="G137" s="610">
        <v>0</v>
      </c>
      <c r="H137" s="608">
        <v>0</v>
      </c>
      <c r="I137" s="608">
        <v>0</v>
      </c>
      <c r="J137" s="608">
        <v>0</v>
      </c>
      <c r="K137" s="608">
        <v>0</v>
      </c>
    </row>
    <row r="138" spans="1:11" x14ac:dyDescent="0.35">
      <c r="A138" s="187"/>
      <c r="B138" s="187"/>
      <c r="C138" s="187"/>
      <c r="D138" s="187"/>
      <c r="E138" s="187"/>
      <c r="F138" s="187"/>
      <c r="G138" s="187"/>
      <c r="H138" s="187"/>
      <c r="I138" s="187"/>
      <c r="J138" s="187"/>
      <c r="K138" s="187"/>
    </row>
    <row r="139" spans="1:11" ht="26.25" x14ac:dyDescent="0.4">
      <c r="A139" s="187"/>
      <c r="B139" s="187"/>
      <c r="C139" s="187"/>
      <c r="D139" s="187"/>
      <c r="E139" s="187"/>
      <c r="F139" s="158" t="s">
        <v>9</v>
      </c>
      <c r="G139" s="158" t="s">
        <v>37</v>
      </c>
      <c r="H139" s="158" t="s">
        <v>29</v>
      </c>
      <c r="I139" s="158" t="s">
        <v>30</v>
      </c>
      <c r="J139" s="158" t="s">
        <v>33</v>
      </c>
      <c r="K139" s="158" t="s">
        <v>34</v>
      </c>
    </row>
    <row r="140" spans="1:11" ht="13.15" x14ac:dyDescent="0.4">
      <c r="A140" s="156" t="s">
        <v>166</v>
      </c>
      <c r="B140" s="155" t="s">
        <v>26</v>
      </c>
      <c r="C140" s="187"/>
      <c r="D140" s="187"/>
      <c r="E140" s="187"/>
      <c r="F140" s="187"/>
      <c r="G140" s="187"/>
      <c r="H140" s="187"/>
      <c r="I140" s="187"/>
      <c r="J140" s="187"/>
      <c r="K140" s="187"/>
    </row>
    <row r="141" spans="1:11" ht="13.15" x14ac:dyDescent="0.4">
      <c r="A141" s="188" t="s">
        <v>137</v>
      </c>
      <c r="B141" s="155" t="s">
        <v>64</v>
      </c>
      <c r="C141" s="187"/>
      <c r="D141" s="187"/>
      <c r="E141" s="187"/>
      <c r="F141" s="167">
        <v>30260.45</v>
      </c>
      <c r="G141" s="167">
        <v>303419</v>
      </c>
      <c r="H141" s="107">
        <v>6296724</v>
      </c>
      <c r="I141" s="107">
        <v>3119842</v>
      </c>
      <c r="J141" s="107">
        <v>320670</v>
      </c>
      <c r="K141" s="107">
        <v>9095896</v>
      </c>
    </row>
    <row r="142" spans="1:11" ht="13.15" x14ac:dyDescent="0.4">
      <c r="A142" s="188" t="s">
        <v>142</v>
      </c>
      <c r="B142" s="155" t="s">
        <v>65</v>
      </c>
      <c r="C142" s="187"/>
      <c r="D142" s="187"/>
      <c r="E142" s="187"/>
      <c r="F142" s="167">
        <v>75382.700000000012</v>
      </c>
      <c r="G142" s="167">
        <v>4265</v>
      </c>
      <c r="H142" s="107">
        <v>29878599</v>
      </c>
      <c r="I142" s="107">
        <v>18106053</v>
      </c>
      <c r="J142" s="107">
        <v>110027</v>
      </c>
      <c r="K142" s="107">
        <v>47874625</v>
      </c>
    </row>
    <row r="143" spans="1:11" ht="13.15" x14ac:dyDescent="0.4">
      <c r="A143" s="188" t="s">
        <v>144</v>
      </c>
      <c r="B143" s="155" t="s">
        <v>66</v>
      </c>
      <c r="C143" s="187"/>
      <c r="D143" s="187"/>
      <c r="E143" s="187"/>
      <c r="F143" s="167">
        <v>83</v>
      </c>
      <c r="G143" s="167">
        <v>0</v>
      </c>
      <c r="H143" s="107">
        <v>7148599</v>
      </c>
      <c r="I143" s="107">
        <v>0</v>
      </c>
      <c r="J143" s="107">
        <v>999212</v>
      </c>
      <c r="K143" s="107">
        <v>6149387</v>
      </c>
    </row>
    <row r="144" spans="1:11" ht="13.15" x14ac:dyDescent="0.4">
      <c r="A144" s="188" t="s">
        <v>146</v>
      </c>
      <c r="B144" s="155" t="s">
        <v>67</v>
      </c>
      <c r="C144" s="187"/>
      <c r="D144" s="187"/>
      <c r="E144" s="187"/>
      <c r="F144" s="167">
        <v>4868</v>
      </c>
      <c r="G144" s="167">
        <v>424</v>
      </c>
      <c r="H144" s="107">
        <v>417161</v>
      </c>
      <c r="I144" s="107">
        <v>0</v>
      </c>
      <c r="J144" s="107">
        <v>167713</v>
      </c>
      <c r="K144" s="107">
        <v>249448</v>
      </c>
    </row>
    <row r="145" spans="1:11" ht="13.15" x14ac:dyDescent="0.4">
      <c r="A145" s="188" t="s">
        <v>148</v>
      </c>
      <c r="B145" s="155" t="s">
        <v>68</v>
      </c>
      <c r="C145" s="187"/>
      <c r="D145" s="187"/>
      <c r="E145" s="187"/>
      <c r="F145" s="167">
        <v>3379.78</v>
      </c>
      <c r="G145" s="167">
        <v>46789</v>
      </c>
      <c r="H145" s="107">
        <v>837337</v>
      </c>
      <c r="I145" s="107">
        <v>0</v>
      </c>
      <c r="J145" s="107">
        <v>0</v>
      </c>
      <c r="K145" s="107">
        <v>837337</v>
      </c>
    </row>
    <row r="146" spans="1:11" ht="13.15" x14ac:dyDescent="0.4">
      <c r="A146" s="188" t="s">
        <v>150</v>
      </c>
      <c r="B146" s="155" t="s">
        <v>69</v>
      </c>
      <c r="C146" s="187"/>
      <c r="D146" s="187"/>
      <c r="E146" s="187"/>
      <c r="F146" s="167">
        <v>814</v>
      </c>
      <c r="G146" s="167">
        <v>1178</v>
      </c>
      <c r="H146" s="107">
        <v>980846</v>
      </c>
      <c r="I146" s="107">
        <v>594392</v>
      </c>
      <c r="J146" s="107">
        <v>27793</v>
      </c>
      <c r="K146" s="107">
        <v>1547445</v>
      </c>
    </row>
    <row r="147" spans="1:11" ht="13.15" x14ac:dyDescent="0.4">
      <c r="A147" s="188" t="s">
        <v>153</v>
      </c>
      <c r="B147" s="155" t="s">
        <v>61</v>
      </c>
      <c r="C147" s="187"/>
      <c r="D147" s="187"/>
      <c r="E147" s="187"/>
      <c r="F147" s="610">
        <v>3387</v>
      </c>
      <c r="G147" s="610">
        <v>255</v>
      </c>
      <c r="H147" s="722">
        <v>239156</v>
      </c>
      <c r="I147" s="722">
        <v>144928</v>
      </c>
      <c r="J147" s="722">
        <v>0</v>
      </c>
      <c r="K147" s="722">
        <v>384084</v>
      </c>
    </row>
    <row r="148" spans="1:11" ht="13.15" x14ac:dyDescent="0.4">
      <c r="A148" s="188" t="s">
        <v>155</v>
      </c>
      <c r="B148" s="155" t="s">
        <v>70</v>
      </c>
      <c r="C148" s="187"/>
      <c r="D148" s="187"/>
      <c r="E148" s="187"/>
      <c r="F148" s="168" t="s">
        <v>73</v>
      </c>
      <c r="G148" s="168" t="s">
        <v>73</v>
      </c>
      <c r="H148" s="169" t="s">
        <v>73</v>
      </c>
      <c r="I148" s="169" t="s">
        <v>73</v>
      </c>
      <c r="J148" s="169" t="s">
        <v>73</v>
      </c>
      <c r="K148" s="166">
        <v>19238000</v>
      </c>
    </row>
    <row r="149" spans="1:11" ht="13.15" x14ac:dyDescent="0.4">
      <c r="A149" s="188" t="s">
        <v>163</v>
      </c>
      <c r="B149" s="155" t="s">
        <v>71</v>
      </c>
      <c r="C149" s="187"/>
      <c r="D149" s="187"/>
      <c r="E149" s="187"/>
      <c r="F149" s="610">
        <v>0</v>
      </c>
      <c r="G149" s="610">
        <v>0</v>
      </c>
      <c r="H149" s="610">
        <v>0</v>
      </c>
      <c r="I149" s="610">
        <v>0</v>
      </c>
      <c r="J149" s="610">
        <v>0</v>
      </c>
      <c r="K149" s="610">
        <v>0</v>
      </c>
    </row>
    <row r="150" spans="1:11" ht="13.15" x14ac:dyDescent="0.4">
      <c r="A150" s="188" t="s">
        <v>185</v>
      </c>
      <c r="B150" s="155" t="s">
        <v>183</v>
      </c>
      <c r="C150" s="187"/>
      <c r="D150" s="187"/>
      <c r="E150" s="187"/>
      <c r="F150" s="168" t="s">
        <v>73</v>
      </c>
      <c r="G150" s="168" t="s">
        <v>73</v>
      </c>
      <c r="H150" s="610">
        <f>H18</f>
        <v>12978832.957153467</v>
      </c>
      <c r="I150" s="610">
        <v>0</v>
      </c>
      <c r="J150" s="610">
        <f>J18</f>
        <v>10789656.328934021</v>
      </c>
      <c r="K150" s="610">
        <f>K18</f>
        <v>2189176.6282194462</v>
      </c>
    </row>
    <row r="151" spans="1:11" ht="13.15" x14ac:dyDescent="0.4">
      <c r="A151" s="187"/>
      <c r="B151" s="155"/>
      <c r="C151" s="187"/>
      <c r="D151" s="187"/>
      <c r="E151" s="187"/>
      <c r="F151" s="172"/>
      <c r="G151" s="172"/>
      <c r="H151" s="172"/>
      <c r="I151" s="172"/>
      <c r="J151" s="172"/>
      <c r="K151" s="172"/>
    </row>
    <row r="152" spans="1:11" ht="13.15" x14ac:dyDescent="0.4">
      <c r="A152" s="156" t="s">
        <v>165</v>
      </c>
      <c r="B152" s="155" t="s">
        <v>26</v>
      </c>
      <c r="C152" s="187"/>
      <c r="D152" s="187"/>
      <c r="E152" s="187"/>
      <c r="F152" s="173">
        <v>118174.93000000001</v>
      </c>
      <c r="G152" s="173">
        <v>356330</v>
      </c>
      <c r="H152" s="722">
        <v>47987599</v>
      </c>
      <c r="I152" s="722">
        <v>21965215</v>
      </c>
      <c r="J152" s="722">
        <v>1625415</v>
      </c>
      <c r="K152" s="722">
        <v>87565399</v>
      </c>
    </row>
    <row r="153" spans="1:11" x14ac:dyDescent="0.35">
      <c r="K153" s="330" t="s">
        <v>85</v>
      </c>
    </row>
    <row r="154" spans="1:11" ht="13.15" x14ac:dyDescent="0.4">
      <c r="A154" s="156" t="s">
        <v>168</v>
      </c>
      <c r="B154" s="155" t="s">
        <v>28</v>
      </c>
      <c r="C154" s="187"/>
      <c r="D154" s="187"/>
      <c r="E154" s="187"/>
      <c r="F154" s="723">
        <f>K152/F121</f>
        <v>0.13420724974864515</v>
      </c>
      <c r="G154" s="187"/>
      <c r="H154" s="187"/>
      <c r="I154" s="187"/>
      <c r="J154" s="187"/>
      <c r="K154" s="331"/>
    </row>
    <row r="155" spans="1:11" ht="13.15" x14ac:dyDescent="0.4">
      <c r="A155" s="156" t="s">
        <v>169</v>
      </c>
      <c r="B155" s="155" t="s">
        <v>72</v>
      </c>
      <c r="C155" s="187"/>
      <c r="D155" s="187"/>
      <c r="E155" s="187"/>
      <c r="F155" s="723">
        <f>K152/F127</f>
        <v>-111.12360279187817</v>
      </c>
      <c r="G155" s="155"/>
      <c r="H155" s="187"/>
      <c r="I155" s="187"/>
      <c r="J155" s="187"/>
      <c r="K155" s="331"/>
    </row>
    <row r="156" spans="1:11" ht="13.15" x14ac:dyDescent="0.4">
      <c r="A156" s="187"/>
      <c r="B156" s="187"/>
      <c r="C156" s="187"/>
      <c r="D156" s="187"/>
      <c r="E156" s="187"/>
      <c r="F156" s="187"/>
      <c r="G156" s="155"/>
      <c r="H156" s="187"/>
      <c r="I156" s="187"/>
      <c r="J156" s="187"/>
      <c r="K156" s="331"/>
    </row>
  </sheetData>
  <mergeCells count="28">
    <mergeCell ref="B134:D134"/>
    <mergeCell ref="B135:D135"/>
    <mergeCell ref="A19:B19"/>
    <mergeCell ref="B30:D30"/>
    <mergeCell ref="B31:D31"/>
    <mergeCell ref="B34:D34"/>
    <mergeCell ref="B41:C41"/>
    <mergeCell ref="B59:D59"/>
    <mergeCell ref="B106:D106"/>
    <mergeCell ref="B133:D133"/>
    <mergeCell ref="B94:D94"/>
    <mergeCell ref="B105:D105"/>
    <mergeCell ref="B96:D96"/>
    <mergeCell ref="B103:C103"/>
    <mergeCell ref="B104:D104"/>
    <mergeCell ref="C10:G10"/>
    <mergeCell ref="D2:H2"/>
    <mergeCell ref="C5:G5"/>
    <mergeCell ref="C6:G6"/>
    <mergeCell ref="C7:G7"/>
    <mergeCell ref="C9:G9"/>
    <mergeCell ref="C11:G11"/>
    <mergeCell ref="B13:H13"/>
    <mergeCell ref="A16:B16"/>
    <mergeCell ref="B90:C90"/>
    <mergeCell ref="B95:D95"/>
    <mergeCell ref="B52:C52"/>
    <mergeCell ref="B60:D60"/>
  </mergeCells>
  <pageMargins left="0.7" right="0.7" top="0.75" bottom="0.75" header="0.3" footer="0.3"/>
  <pageSetup scale="67"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S166"/>
  <sheetViews>
    <sheetView topLeftCell="A52" zoomScale="85" zoomScaleNormal="85" workbookViewId="0">
      <selection activeCell="A2" sqref="A2"/>
    </sheetView>
  </sheetViews>
  <sheetFormatPr defaultColWidth="9.1328125" defaultRowHeight="18" customHeight="1" x14ac:dyDescent="0.35"/>
  <cols>
    <col min="1" max="1" width="5.265625" style="349" bestFit="1" customWidth="1"/>
    <col min="2" max="2" width="58" style="350" bestFit="1" customWidth="1"/>
    <col min="3" max="3" width="6.59765625" style="350" customWidth="1"/>
    <col min="4" max="4" width="9.59765625" style="350" customWidth="1"/>
    <col min="5" max="5" width="7.73046875" style="350" bestFit="1" customWidth="1"/>
    <col min="6" max="6" width="20.3984375" style="350" bestFit="1" customWidth="1"/>
    <col min="7" max="7" width="20.265625" style="350" bestFit="1" customWidth="1"/>
    <col min="8" max="8" width="18.73046875" style="355" bestFit="1" customWidth="1"/>
    <col min="9" max="9" width="20.59765625" style="355" bestFit="1" customWidth="1"/>
    <col min="10" max="10" width="28.1328125" style="355" bestFit="1" customWidth="1"/>
    <col min="11" max="11" width="27.59765625" style="350" bestFit="1" customWidth="1"/>
    <col min="12" max="12" width="2.73046875" style="728" customWidth="1"/>
    <col min="13" max="13" width="21.265625" style="725" customWidth="1"/>
    <col min="14" max="14" width="15.1328125" style="726" customWidth="1"/>
    <col min="15" max="15" width="15" style="727" customWidth="1"/>
    <col min="16" max="16" width="15.1328125" style="419" customWidth="1"/>
    <col min="17" max="16384" width="9.1328125" style="350"/>
  </cols>
  <sheetData>
    <row r="1" spans="1:15" ht="18" customHeight="1" x14ac:dyDescent="0.4">
      <c r="C1" s="351"/>
      <c r="D1" s="352"/>
      <c r="E1" s="351"/>
      <c r="F1" s="351"/>
      <c r="G1" s="351"/>
      <c r="H1" s="353"/>
      <c r="I1" s="353"/>
      <c r="J1" s="353"/>
      <c r="K1" s="351"/>
      <c r="L1" s="724"/>
    </row>
    <row r="2" spans="1:15" ht="18" customHeight="1" x14ac:dyDescent="0.4">
      <c r="D2" s="354" t="s">
        <v>730</v>
      </c>
      <c r="E2" s="354"/>
      <c r="F2" s="354"/>
      <c r="G2" s="354"/>
      <c r="H2" s="354"/>
    </row>
    <row r="3" spans="1:15" ht="18" customHeight="1" x14ac:dyDescent="0.4">
      <c r="B3" s="356" t="s">
        <v>0</v>
      </c>
    </row>
    <row r="5" spans="1:15" ht="18" customHeight="1" x14ac:dyDescent="0.4">
      <c r="B5" s="357" t="s">
        <v>40</v>
      </c>
      <c r="C5" s="1106" t="s">
        <v>348</v>
      </c>
      <c r="D5" s="1107"/>
      <c r="E5" s="1107"/>
      <c r="F5" s="1107"/>
      <c r="G5" s="1108"/>
    </row>
    <row r="6" spans="1:15" ht="18" customHeight="1" x14ac:dyDescent="0.4">
      <c r="B6" s="357" t="s">
        <v>3</v>
      </c>
      <c r="C6" s="1106">
        <v>210030</v>
      </c>
      <c r="D6" s="1107"/>
      <c r="E6" s="1107"/>
      <c r="F6" s="1107"/>
      <c r="G6" s="1108"/>
    </row>
    <row r="7" spans="1:15" ht="18" customHeight="1" x14ac:dyDescent="0.4">
      <c r="B7" s="357" t="s">
        <v>4</v>
      </c>
      <c r="C7" s="1104">
        <v>184.6</v>
      </c>
      <c r="D7" s="1105"/>
      <c r="E7" s="1105"/>
      <c r="F7" s="1105"/>
      <c r="G7" s="1105"/>
    </row>
    <row r="8" spans="1:15" ht="13.5" x14ac:dyDescent="0.35"/>
    <row r="9" spans="1:15" ht="18" customHeight="1" x14ac:dyDescent="0.4">
      <c r="B9" s="357" t="s">
        <v>1</v>
      </c>
      <c r="C9" s="1104" t="s">
        <v>478</v>
      </c>
      <c r="D9" s="1105"/>
      <c r="E9" s="1105"/>
      <c r="F9" s="1105"/>
      <c r="G9" s="1105"/>
    </row>
    <row r="10" spans="1:15" ht="18" customHeight="1" x14ac:dyDescent="0.4">
      <c r="B10" s="357" t="s">
        <v>2</v>
      </c>
      <c r="C10" s="1104" t="s">
        <v>343</v>
      </c>
      <c r="D10" s="1105"/>
      <c r="E10" s="1105"/>
      <c r="F10" s="1105"/>
      <c r="G10" s="1105"/>
    </row>
    <row r="11" spans="1:15" ht="18" customHeight="1" x14ac:dyDescent="0.4">
      <c r="B11" s="357" t="s">
        <v>32</v>
      </c>
      <c r="C11" s="1104" t="s">
        <v>526</v>
      </c>
      <c r="D11" s="1105"/>
      <c r="E11" s="1105"/>
      <c r="F11" s="1105"/>
      <c r="G11" s="1105"/>
    </row>
    <row r="12" spans="1:15" ht="18" customHeight="1" x14ac:dyDescent="0.4">
      <c r="B12" s="357"/>
      <c r="C12" s="357"/>
      <c r="D12" s="357"/>
      <c r="E12" s="357"/>
      <c r="F12" s="357"/>
      <c r="G12" s="357"/>
    </row>
    <row r="13" spans="1:15" ht="24.6" customHeight="1" x14ac:dyDescent="0.35">
      <c r="B13" s="1000"/>
      <c r="C13" s="1001"/>
      <c r="D13" s="1001"/>
      <c r="E13" s="1001"/>
      <c r="F13" s="1001"/>
      <c r="G13" s="1001"/>
      <c r="H13" s="991"/>
      <c r="I13" s="353"/>
    </row>
    <row r="14" spans="1:15" ht="18" customHeight="1" x14ac:dyDescent="0.4">
      <c r="B14" s="358"/>
    </row>
    <row r="15" spans="1:15" ht="18" customHeight="1" x14ac:dyDescent="0.4">
      <c r="B15" s="358"/>
      <c r="N15" s="729"/>
      <c r="O15" s="730"/>
    </row>
    <row r="16" spans="1:15" ht="45" customHeight="1" x14ac:dyDescent="0.4">
      <c r="A16" s="352" t="s">
        <v>181</v>
      </c>
      <c r="B16" s="351"/>
      <c r="C16" s="351"/>
      <c r="D16" s="351"/>
      <c r="E16" s="351"/>
      <c r="F16" s="359" t="s">
        <v>9</v>
      </c>
      <c r="G16" s="359" t="s">
        <v>37</v>
      </c>
      <c r="H16" s="360" t="s">
        <v>29</v>
      </c>
      <c r="I16" s="360" t="s">
        <v>30</v>
      </c>
      <c r="J16" s="360" t="s">
        <v>33</v>
      </c>
      <c r="K16" s="359" t="s">
        <v>34</v>
      </c>
      <c r="L16" s="731"/>
      <c r="O16" s="732"/>
    </row>
    <row r="17" spans="1:15" ht="18" customHeight="1" x14ac:dyDescent="0.4">
      <c r="A17" s="354" t="s">
        <v>184</v>
      </c>
      <c r="B17" s="356" t="s">
        <v>182</v>
      </c>
    </row>
    <row r="18" spans="1:15" ht="18" customHeight="1" x14ac:dyDescent="0.4">
      <c r="A18" s="357" t="s">
        <v>185</v>
      </c>
      <c r="B18" s="350" t="s">
        <v>183</v>
      </c>
      <c r="F18" s="573" t="s">
        <v>73</v>
      </c>
      <c r="G18" s="573" t="s">
        <v>73</v>
      </c>
      <c r="H18" s="733">
        <v>1070743</v>
      </c>
      <c r="I18" s="361">
        <v>0</v>
      </c>
      <c r="J18" s="733">
        <v>890137</v>
      </c>
      <c r="K18" s="576">
        <v>180606</v>
      </c>
      <c r="L18" s="734"/>
      <c r="O18" s="735"/>
    </row>
    <row r="19" spans="1:15" ht="45" customHeight="1" x14ac:dyDescent="0.4">
      <c r="A19" s="352" t="s">
        <v>8</v>
      </c>
      <c r="B19" s="351"/>
      <c r="C19" s="351"/>
      <c r="D19" s="351"/>
      <c r="E19" s="351"/>
      <c r="F19" s="359" t="s">
        <v>9</v>
      </c>
      <c r="G19" s="359" t="s">
        <v>37</v>
      </c>
      <c r="H19" s="360" t="s">
        <v>29</v>
      </c>
      <c r="I19" s="360" t="s">
        <v>30</v>
      </c>
      <c r="J19" s="360" t="s">
        <v>33</v>
      </c>
      <c r="K19" s="359" t="s">
        <v>34</v>
      </c>
      <c r="L19" s="731"/>
      <c r="O19" s="735"/>
    </row>
    <row r="20" spans="1:15" ht="18" customHeight="1" x14ac:dyDescent="0.4">
      <c r="A20" s="354" t="s">
        <v>74</v>
      </c>
      <c r="B20" s="356" t="s">
        <v>41</v>
      </c>
      <c r="O20" s="735"/>
    </row>
    <row r="21" spans="1:15" ht="18" customHeight="1" x14ac:dyDescent="0.4">
      <c r="A21" s="357" t="s">
        <v>75</v>
      </c>
      <c r="B21" s="350" t="s">
        <v>42</v>
      </c>
      <c r="F21" s="573">
        <v>618</v>
      </c>
      <c r="G21" s="573">
        <v>1148</v>
      </c>
      <c r="H21" s="573">
        <v>45843.234061171759</v>
      </c>
      <c r="I21" s="573">
        <v>36023.609445910901</v>
      </c>
      <c r="J21" s="573">
        <v>0</v>
      </c>
      <c r="K21" s="576">
        <v>81866.843507082667</v>
      </c>
      <c r="L21" s="734"/>
      <c r="O21" s="735"/>
    </row>
    <row r="22" spans="1:15" ht="18" customHeight="1" x14ac:dyDescent="0.4">
      <c r="A22" s="357" t="s">
        <v>76</v>
      </c>
      <c r="B22" s="350" t="s">
        <v>6</v>
      </c>
      <c r="F22" s="573">
        <v>0</v>
      </c>
      <c r="G22" s="573">
        <v>0</v>
      </c>
      <c r="H22" s="573">
        <v>0</v>
      </c>
      <c r="I22" s="573">
        <v>0</v>
      </c>
      <c r="J22" s="573">
        <v>0</v>
      </c>
      <c r="K22" s="576">
        <v>0</v>
      </c>
      <c r="L22" s="734"/>
      <c r="O22" s="735"/>
    </row>
    <row r="23" spans="1:15" ht="18" customHeight="1" x14ac:dyDescent="0.4">
      <c r="A23" s="357" t="s">
        <v>77</v>
      </c>
      <c r="B23" s="350" t="s">
        <v>43</v>
      </c>
      <c r="F23" s="573">
        <v>0</v>
      </c>
      <c r="G23" s="573">
        <v>0</v>
      </c>
      <c r="H23" s="573">
        <v>0</v>
      </c>
      <c r="I23" s="573">
        <v>0</v>
      </c>
      <c r="J23" s="573">
        <v>0</v>
      </c>
      <c r="K23" s="576">
        <v>0</v>
      </c>
      <c r="L23" s="734"/>
      <c r="O23" s="735"/>
    </row>
    <row r="24" spans="1:15" ht="18" customHeight="1" x14ac:dyDescent="0.4">
      <c r="A24" s="357" t="s">
        <v>78</v>
      </c>
      <c r="B24" s="350" t="s">
        <v>44</v>
      </c>
      <c r="F24" s="573">
        <v>0</v>
      </c>
      <c r="G24" s="573">
        <v>0</v>
      </c>
      <c r="H24" s="573">
        <v>0</v>
      </c>
      <c r="I24" s="573">
        <v>0</v>
      </c>
      <c r="J24" s="573">
        <v>0</v>
      </c>
      <c r="K24" s="576">
        <v>0</v>
      </c>
      <c r="L24" s="734"/>
      <c r="O24" s="735"/>
    </row>
    <row r="25" spans="1:15" ht="18" customHeight="1" x14ac:dyDescent="0.4">
      <c r="A25" s="357" t="s">
        <v>79</v>
      </c>
      <c r="B25" s="350" t="s">
        <v>5</v>
      </c>
      <c r="F25" s="573">
        <v>176</v>
      </c>
      <c r="G25" s="573">
        <v>145</v>
      </c>
      <c r="H25" s="573">
        <v>7861.0634219518288</v>
      </c>
      <c r="I25" s="573">
        <v>6177.2229717488281</v>
      </c>
      <c r="J25" s="573">
        <v>0</v>
      </c>
      <c r="K25" s="576">
        <v>14038.286393700657</v>
      </c>
      <c r="L25" s="734"/>
      <c r="O25" s="735"/>
    </row>
    <row r="26" spans="1:15" ht="18" customHeight="1" x14ac:dyDescent="0.4">
      <c r="A26" s="357" t="s">
        <v>80</v>
      </c>
      <c r="B26" s="350" t="s">
        <v>45</v>
      </c>
      <c r="F26" s="573"/>
      <c r="G26" s="573"/>
      <c r="H26" s="573"/>
      <c r="I26" s="573"/>
      <c r="J26" s="573"/>
      <c r="K26" s="576">
        <v>0</v>
      </c>
      <c r="L26" s="734"/>
      <c r="O26" s="735"/>
    </row>
    <row r="27" spans="1:15" ht="18" customHeight="1" x14ac:dyDescent="0.4">
      <c r="A27" s="357" t="s">
        <v>81</v>
      </c>
      <c r="B27" s="350" t="s">
        <v>46</v>
      </c>
      <c r="F27" s="573"/>
      <c r="G27" s="573"/>
      <c r="H27" s="573"/>
      <c r="I27" s="573"/>
      <c r="J27" s="573"/>
      <c r="K27" s="576">
        <v>0</v>
      </c>
      <c r="L27" s="734"/>
      <c r="O27" s="735"/>
    </row>
    <row r="28" spans="1:15" ht="18" customHeight="1" x14ac:dyDescent="0.4">
      <c r="A28" s="357" t="s">
        <v>82</v>
      </c>
      <c r="B28" s="350" t="s">
        <v>47</v>
      </c>
      <c r="F28" s="573"/>
      <c r="G28" s="573"/>
      <c r="H28" s="573"/>
      <c r="I28" s="573"/>
      <c r="J28" s="573"/>
      <c r="K28" s="576">
        <v>0</v>
      </c>
      <c r="L28" s="734"/>
      <c r="O28" s="735"/>
    </row>
    <row r="29" spans="1:15" ht="18" customHeight="1" x14ac:dyDescent="0.4">
      <c r="A29" s="357" t="s">
        <v>83</v>
      </c>
      <c r="B29" s="350" t="s">
        <v>48</v>
      </c>
      <c r="F29" s="573">
        <v>0</v>
      </c>
      <c r="G29" s="573">
        <v>0</v>
      </c>
      <c r="H29" s="573">
        <v>0</v>
      </c>
      <c r="I29" s="573">
        <v>0</v>
      </c>
      <c r="J29" s="573">
        <v>0</v>
      </c>
      <c r="K29" s="576">
        <v>0</v>
      </c>
      <c r="L29" s="734"/>
      <c r="O29" s="735"/>
    </row>
    <row r="30" spans="1:15" ht="18" customHeight="1" x14ac:dyDescent="0.4">
      <c r="A30" s="357" t="s">
        <v>84</v>
      </c>
      <c r="B30" s="988"/>
      <c r="C30" s="989"/>
      <c r="D30" s="990"/>
      <c r="F30" s="573"/>
      <c r="G30" s="573"/>
      <c r="H30" s="573"/>
      <c r="I30" s="573"/>
      <c r="J30" s="573"/>
      <c r="K30" s="576">
        <v>0</v>
      </c>
      <c r="L30" s="734"/>
      <c r="O30" s="735"/>
    </row>
    <row r="31" spans="1:15" ht="18" customHeight="1" x14ac:dyDescent="0.4">
      <c r="A31" s="357" t="s">
        <v>133</v>
      </c>
      <c r="B31" s="988"/>
      <c r="C31" s="989"/>
      <c r="D31" s="990"/>
      <c r="F31" s="573"/>
      <c r="G31" s="573"/>
      <c r="H31" s="573"/>
      <c r="I31" s="573"/>
      <c r="J31" s="573"/>
      <c r="K31" s="576">
        <v>0</v>
      </c>
      <c r="L31" s="734"/>
      <c r="O31" s="735"/>
    </row>
    <row r="32" spans="1:15" ht="18" customHeight="1" x14ac:dyDescent="0.4">
      <c r="A32" s="357" t="s">
        <v>134</v>
      </c>
      <c r="B32" s="525"/>
      <c r="C32" s="526"/>
      <c r="D32" s="527"/>
      <c r="F32" s="573"/>
      <c r="G32" s="573"/>
      <c r="H32" s="573"/>
      <c r="I32" s="573"/>
      <c r="J32" s="573"/>
      <c r="K32" s="576">
        <v>0</v>
      </c>
      <c r="L32" s="734"/>
      <c r="O32" s="735"/>
    </row>
    <row r="33" spans="1:15" ht="18" customHeight="1" x14ac:dyDescent="0.4">
      <c r="A33" s="357" t="s">
        <v>135</v>
      </c>
      <c r="B33" s="525"/>
      <c r="C33" s="526"/>
      <c r="D33" s="527"/>
      <c r="F33" s="573"/>
      <c r="G33" s="573"/>
      <c r="H33" s="573"/>
      <c r="I33" s="573"/>
      <c r="J33" s="573"/>
      <c r="K33" s="576">
        <v>0</v>
      </c>
      <c r="L33" s="734"/>
      <c r="O33" s="735"/>
    </row>
    <row r="34" spans="1:15" ht="18" customHeight="1" x14ac:dyDescent="0.4">
      <c r="A34" s="357" t="s">
        <v>136</v>
      </c>
      <c r="B34" s="988"/>
      <c r="C34" s="989"/>
      <c r="D34" s="990"/>
      <c r="F34" s="573"/>
      <c r="G34" s="573" t="s">
        <v>85</v>
      </c>
      <c r="H34" s="733"/>
      <c r="I34" s="361">
        <v>0</v>
      </c>
      <c r="J34" s="733"/>
      <c r="K34" s="576">
        <v>0</v>
      </c>
      <c r="L34" s="734"/>
      <c r="O34" s="735"/>
    </row>
    <row r="35" spans="1:15" ht="18" customHeight="1" x14ac:dyDescent="0.35">
      <c r="K35" s="577"/>
      <c r="L35" s="734"/>
      <c r="O35" s="735"/>
    </row>
    <row r="36" spans="1:15" ht="18" customHeight="1" x14ac:dyDescent="0.4">
      <c r="A36" s="354" t="s">
        <v>137</v>
      </c>
      <c r="B36" s="356" t="s">
        <v>138</v>
      </c>
      <c r="E36" s="356" t="s">
        <v>7</v>
      </c>
      <c r="F36" s="578">
        <v>794</v>
      </c>
      <c r="G36" s="578">
        <v>1293</v>
      </c>
      <c r="H36" s="736">
        <v>53704.297483123592</v>
      </c>
      <c r="I36" s="736">
        <v>42200.832417659731</v>
      </c>
      <c r="J36" s="736">
        <v>0</v>
      </c>
      <c r="K36" s="576">
        <v>95905.12990078333</v>
      </c>
      <c r="L36" s="734"/>
      <c r="O36" s="735"/>
    </row>
    <row r="37" spans="1:15" ht="18" customHeight="1" thickBot="1" x14ac:dyDescent="0.45">
      <c r="B37" s="356"/>
      <c r="F37" s="362"/>
      <c r="G37" s="362"/>
      <c r="H37" s="363"/>
      <c r="I37" s="363"/>
      <c r="J37" s="363"/>
      <c r="K37" s="364"/>
      <c r="L37" s="734"/>
      <c r="O37" s="735"/>
    </row>
    <row r="38" spans="1:15" ht="42.75" customHeight="1" x14ac:dyDescent="0.4">
      <c r="F38" s="359" t="s">
        <v>9</v>
      </c>
      <c r="G38" s="359" t="s">
        <v>37</v>
      </c>
      <c r="H38" s="360" t="s">
        <v>29</v>
      </c>
      <c r="I38" s="360" t="s">
        <v>30</v>
      </c>
      <c r="J38" s="360" t="s">
        <v>33</v>
      </c>
      <c r="K38" s="359" t="s">
        <v>34</v>
      </c>
      <c r="L38" s="731"/>
      <c r="O38" s="735"/>
    </row>
    <row r="39" spans="1:15" ht="18.75" customHeight="1" x14ac:dyDescent="0.4">
      <c r="A39" s="354" t="s">
        <v>86</v>
      </c>
      <c r="B39" s="356" t="s">
        <v>49</v>
      </c>
      <c r="O39" s="735"/>
    </row>
    <row r="40" spans="1:15" ht="18" customHeight="1" x14ac:dyDescent="0.4">
      <c r="A40" s="357" t="s">
        <v>87</v>
      </c>
      <c r="B40" s="350" t="s">
        <v>31</v>
      </c>
      <c r="F40" s="573"/>
      <c r="G40" s="573"/>
      <c r="H40" s="733"/>
      <c r="I40" s="361"/>
      <c r="J40" s="733"/>
      <c r="K40" s="576">
        <v>0</v>
      </c>
      <c r="L40" s="734"/>
      <c r="O40" s="735"/>
    </row>
    <row r="41" spans="1:15" ht="18" customHeight="1" x14ac:dyDescent="0.4">
      <c r="A41" s="357" t="s">
        <v>88</v>
      </c>
      <c r="B41" s="991" t="s">
        <v>50</v>
      </c>
      <c r="C41" s="991"/>
      <c r="F41" s="573"/>
      <c r="G41" s="573"/>
      <c r="H41" s="733"/>
      <c r="I41" s="361"/>
      <c r="J41" s="733"/>
      <c r="K41" s="576">
        <v>0</v>
      </c>
      <c r="L41" s="734"/>
      <c r="O41" s="735"/>
    </row>
    <row r="42" spans="1:15" ht="18" customHeight="1" x14ac:dyDescent="0.4">
      <c r="A42" s="357" t="s">
        <v>89</v>
      </c>
      <c r="B42" s="350" t="s">
        <v>11</v>
      </c>
      <c r="F42" s="573"/>
      <c r="G42" s="573"/>
      <c r="H42" s="733"/>
      <c r="I42" s="361"/>
      <c r="J42" s="733"/>
      <c r="K42" s="576">
        <v>0</v>
      </c>
      <c r="L42" s="734"/>
      <c r="O42" s="735"/>
    </row>
    <row r="43" spans="1:15" ht="18" customHeight="1" x14ac:dyDescent="0.4">
      <c r="A43" s="357" t="s">
        <v>90</v>
      </c>
      <c r="B43" s="365" t="s">
        <v>10</v>
      </c>
      <c r="C43" s="365"/>
      <c r="D43" s="365"/>
      <c r="F43" s="573"/>
      <c r="G43" s="573"/>
      <c r="H43" s="573"/>
      <c r="I43" s="573"/>
      <c r="J43" s="573"/>
      <c r="K43" s="576">
        <v>0</v>
      </c>
      <c r="L43" s="734"/>
      <c r="O43" s="735"/>
    </row>
    <row r="44" spans="1:15" ht="18" customHeight="1" x14ac:dyDescent="0.4">
      <c r="A44" s="357" t="s">
        <v>91</v>
      </c>
      <c r="B44" s="988"/>
      <c r="C44" s="989"/>
      <c r="D44" s="990"/>
      <c r="F44" s="573"/>
      <c r="G44" s="573"/>
      <c r="H44" s="573"/>
      <c r="I44" s="573"/>
      <c r="J44" s="573"/>
      <c r="K44" s="592">
        <v>0</v>
      </c>
      <c r="L44" s="737"/>
      <c r="O44" s="735"/>
    </row>
    <row r="45" spans="1:15" ht="18" customHeight="1" x14ac:dyDescent="0.4">
      <c r="A45" s="357" t="s">
        <v>139</v>
      </c>
      <c r="B45" s="988"/>
      <c r="C45" s="989"/>
      <c r="D45" s="990"/>
      <c r="F45" s="573"/>
      <c r="G45" s="573"/>
      <c r="H45" s="733"/>
      <c r="I45" s="361"/>
      <c r="J45" s="733"/>
      <c r="K45" s="576">
        <v>0</v>
      </c>
      <c r="L45" s="734"/>
      <c r="O45" s="735"/>
    </row>
    <row r="46" spans="1:15" ht="18" customHeight="1" x14ac:dyDescent="0.4">
      <c r="A46" s="357" t="s">
        <v>140</v>
      </c>
      <c r="B46" s="988"/>
      <c r="C46" s="989"/>
      <c r="D46" s="990"/>
      <c r="F46" s="573"/>
      <c r="G46" s="573"/>
      <c r="H46" s="733"/>
      <c r="I46" s="361"/>
      <c r="J46" s="733"/>
      <c r="K46" s="576">
        <v>0</v>
      </c>
      <c r="L46" s="734"/>
      <c r="O46" s="735"/>
    </row>
    <row r="47" spans="1:15" ht="18" customHeight="1" x14ac:dyDescent="0.4">
      <c r="A47" s="357" t="s">
        <v>141</v>
      </c>
      <c r="B47" s="988"/>
      <c r="C47" s="989"/>
      <c r="D47" s="990"/>
      <c r="F47" s="573"/>
      <c r="G47" s="573"/>
      <c r="H47" s="733"/>
      <c r="I47" s="361"/>
      <c r="J47" s="733"/>
      <c r="K47" s="576">
        <v>0</v>
      </c>
      <c r="L47" s="734"/>
      <c r="O47" s="735"/>
    </row>
    <row r="48" spans="1:15" ht="18" customHeight="1" x14ac:dyDescent="0.35">
      <c r="O48" s="735"/>
    </row>
    <row r="49" spans="1:19" ht="18" customHeight="1" x14ac:dyDescent="0.4">
      <c r="A49" s="354" t="s">
        <v>142</v>
      </c>
      <c r="B49" s="356" t="s">
        <v>143</v>
      </c>
      <c r="E49" s="356" t="s">
        <v>7</v>
      </c>
      <c r="F49" s="584">
        <v>0</v>
      </c>
      <c r="G49" s="584">
        <v>0</v>
      </c>
      <c r="H49" s="736">
        <v>0</v>
      </c>
      <c r="I49" s="736">
        <v>0</v>
      </c>
      <c r="J49" s="736">
        <v>0</v>
      </c>
      <c r="K49" s="576">
        <v>0</v>
      </c>
      <c r="L49" s="734"/>
      <c r="O49" s="735"/>
    </row>
    <row r="50" spans="1:19" ht="18" customHeight="1" thickBot="1" x14ac:dyDescent="0.4">
      <c r="G50" s="366"/>
      <c r="H50" s="367"/>
      <c r="I50" s="367"/>
      <c r="J50" s="367"/>
      <c r="K50" s="366"/>
      <c r="L50" s="595"/>
      <c r="O50" s="735"/>
    </row>
    <row r="51" spans="1:19" ht="42.75" customHeight="1" x14ac:dyDescent="0.4">
      <c r="F51" s="359" t="s">
        <v>9</v>
      </c>
      <c r="G51" s="359" t="s">
        <v>37</v>
      </c>
      <c r="H51" s="360" t="s">
        <v>29</v>
      </c>
      <c r="I51" s="360" t="s">
        <v>30</v>
      </c>
      <c r="J51" s="360" t="s">
        <v>33</v>
      </c>
      <c r="K51" s="359" t="s">
        <v>34</v>
      </c>
      <c r="L51" s="731"/>
      <c r="O51" s="735"/>
    </row>
    <row r="52" spans="1:19" ht="18" customHeight="1" x14ac:dyDescent="0.4">
      <c r="A52" s="354" t="s">
        <v>92</v>
      </c>
      <c r="B52" s="992" t="s">
        <v>38</v>
      </c>
      <c r="C52" s="993"/>
      <c r="O52" s="735"/>
    </row>
    <row r="53" spans="1:19" ht="18" customHeight="1" x14ac:dyDescent="0.4">
      <c r="A53" s="357" t="s">
        <v>51</v>
      </c>
      <c r="B53" s="525" t="s">
        <v>639</v>
      </c>
      <c r="C53" s="526"/>
      <c r="D53" s="527"/>
      <c r="F53" s="573">
        <v>1090</v>
      </c>
      <c r="G53" s="573">
        <v>243</v>
      </c>
      <c r="H53" s="573">
        <v>45109.085965497128</v>
      </c>
      <c r="I53" s="573">
        <v>35446.715934455038</v>
      </c>
      <c r="J53" s="573">
        <v>0</v>
      </c>
      <c r="K53" s="576">
        <v>80555.801899952174</v>
      </c>
      <c r="L53" s="734"/>
      <c r="M53" s="738"/>
      <c r="O53" s="735"/>
    </row>
    <row r="54" spans="1:19" ht="18" customHeight="1" x14ac:dyDescent="0.4">
      <c r="A54" s="357" t="s">
        <v>93</v>
      </c>
      <c r="B54" s="525" t="s">
        <v>349</v>
      </c>
      <c r="C54" s="526"/>
      <c r="D54" s="527"/>
      <c r="F54" s="573"/>
      <c r="G54" s="573"/>
      <c r="H54" s="739">
        <v>1020356.38</v>
      </c>
      <c r="I54" s="740">
        <v>1227287.2145516477</v>
      </c>
      <c r="J54" s="733"/>
      <c r="K54" s="576">
        <v>2247643.5945516475</v>
      </c>
      <c r="L54" s="734"/>
      <c r="M54" s="738"/>
      <c r="O54" s="735"/>
    </row>
    <row r="55" spans="1:19" ht="18" customHeight="1" x14ac:dyDescent="0.4">
      <c r="A55" s="357" t="s">
        <v>94</v>
      </c>
      <c r="B55" s="525" t="s">
        <v>350</v>
      </c>
      <c r="C55" s="526"/>
      <c r="D55" s="527"/>
      <c r="F55" s="573">
        <v>10950</v>
      </c>
      <c r="G55" s="573">
        <v>13868</v>
      </c>
      <c r="H55" s="739">
        <v>3400930.01</v>
      </c>
      <c r="I55" s="740">
        <v>4090647.1510062069</v>
      </c>
      <c r="J55" s="733">
        <v>1299628.3600000001</v>
      </c>
      <c r="K55" s="576">
        <v>6191948.8010062063</v>
      </c>
      <c r="L55" s="734"/>
      <c r="M55" s="738"/>
      <c r="N55" s="741"/>
      <c r="O55" s="735"/>
    </row>
    <row r="56" spans="1:19" ht="18" customHeight="1" x14ac:dyDescent="0.4">
      <c r="A56" s="357" t="s">
        <v>95</v>
      </c>
      <c r="B56" s="525" t="s">
        <v>351</v>
      </c>
      <c r="C56" s="526"/>
      <c r="D56" s="527"/>
      <c r="F56" s="573"/>
      <c r="G56" s="573"/>
      <c r="H56" s="739">
        <v>369665.93</v>
      </c>
      <c r="I56" s="740">
        <v>444635.10831808031</v>
      </c>
      <c r="J56" s="733"/>
      <c r="K56" s="576">
        <v>814301.03831808036</v>
      </c>
      <c r="L56" s="734"/>
      <c r="M56" s="738"/>
      <c r="O56" s="735"/>
    </row>
    <row r="57" spans="1:19" ht="18" customHeight="1" x14ac:dyDescent="0.4">
      <c r="A57" s="357" t="s">
        <v>96</v>
      </c>
      <c r="B57" s="525" t="s">
        <v>623</v>
      </c>
      <c r="C57" s="525"/>
      <c r="D57" s="525"/>
      <c r="F57" s="573"/>
      <c r="G57" s="573"/>
      <c r="H57" s="739">
        <v>1415347.5</v>
      </c>
      <c r="I57" s="739">
        <v>483878.01945145807</v>
      </c>
      <c r="J57" s="733"/>
      <c r="K57" s="576">
        <v>1899225.519451458</v>
      </c>
      <c r="L57" s="734"/>
      <c r="M57" s="738"/>
      <c r="O57" s="735"/>
    </row>
    <row r="58" spans="1:19" ht="18" customHeight="1" x14ac:dyDescent="0.4">
      <c r="A58" s="357" t="s">
        <v>97</v>
      </c>
      <c r="B58" s="525" t="s">
        <v>624</v>
      </c>
      <c r="C58" s="526"/>
      <c r="D58" s="527"/>
      <c r="F58" s="573"/>
      <c r="G58" s="573"/>
      <c r="H58" s="739">
        <v>272133.33333333326</v>
      </c>
      <c r="I58" s="739">
        <v>93036.754832333972</v>
      </c>
      <c r="J58" s="733"/>
      <c r="K58" s="576">
        <v>365170.08816566726</v>
      </c>
      <c r="L58" s="734"/>
      <c r="M58" s="738"/>
      <c r="O58" s="735"/>
    </row>
    <row r="59" spans="1:19" ht="18" customHeight="1" x14ac:dyDescent="0.4">
      <c r="A59" s="357" t="s">
        <v>98</v>
      </c>
      <c r="B59" s="525" t="s">
        <v>640</v>
      </c>
      <c r="C59" s="526"/>
      <c r="D59" s="527"/>
      <c r="F59" s="573"/>
      <c r="G59" s="573"/>
      <c r="H59" s="581">
        <v>923841.33333333326</v>
      </c>
      <c r="I59" s="581">
        <v>315842.23285145708</v>
      </c>
      <c r="J59" s="573"/>
      <c r="K59" s="576">
        <v>1239683.5661847903</v>
      </c>
      <c r="L59" s="734"/>
      <c r="M59" s="738"/>
      <c r="O59" s="735"/>
    </row>
    <row r="60" spans="1:19" ht="18" customHeight="1" x14ac:dyDescent="0.4">
      <c r="A60" s="357" t="s">
        <v>99</v>
      </c>
      <c r="B60" s="525" t="s">
        <v>761</v>
      </c>
      <c r="C60" s="526"/>
      <c r="D60" s="527"/>
      <c r="F60" s="573">
        <v>1214.8166666666666</v>
      </c>
      <c r="G60" s="573">
        <v>1297</v>
      </c>
      <c r="H60" s="581">
        <v>1166562</v>
      </c>
      <c r="I60" s="740">
        <v>1403143.7012054545</v>
      </c>
      <c r="J60" s="733"/>
      <c r="K60" s="576">
        <v>2569705.7012054548</v>
      </c>
      <c r="L60" s="734"/>
      <c r="M60" s="738"/>
      <c r="O60" s="735"/>
    </row>
    <row r="61" spans="1:19" ht="18" customHeight="1" x14ac:dyDescent="0.4">
      <c r="A61" s="357" t="s">
        <v>100</v>
      </c>
      <c r="B61" s="988" t="s">
        <v>641</v>
      </c>
      <c r="C61" s="989"/>
      <c r="D61" s="990"/>
      <c r="F61" s="573"/>
      <c r="G61" s="573"/>
      <c r="H61" s="733">
        <v>53585.166666666664</v>
      </c>
      <c r="I61" s="733">
        <v>18319.659531417521</v>
      </c>
      <c r="J61" s="733"/>
      <c r="K61" s="576">
        <v>71904.826198084193</v>
      </c>
      <c r="L61" s="734"/>
      <c r="M61" s="738"/>
      <c r="O61" s="735"/>
    </row>
    <row r="62" spans="1:19" ht="18" customHeight="1" x14ac:dyDescent="0.4">
      <c r="A62" s="357" t="s">
        <v>101</v>
      </c>
      <c r="B62" s="988" t="s">
        <v>762</v>
      </c>
      <c r="C62" s="989"/>
      <c r="D62" s="990"/>
      <c r="F62" s="573">
        <v>241</v>
      </c>
      <c r="G62" s="573">
        <v>31</v>
      </c>
      <c r="H62" s="573">
        <v>9942.7061630135831</v>
      </c>
      <c r="I62" s="573">
        <v>7812.9776615218516</v>
      </c>
      <c r="J62" s="573">
        <v>15482.21</v>
      </c>
      <c r="K62" s="576">
        <v>2273.4738245354347</v>
      </c>
      <c r="L62" s="734"/>
      <c r="M62" s="738"/>
      <c r="O62" s="735"/>
    </row>
    <row r="63" spans="1:19" ht="18" customHeight="1" x14ac:dyDescent="0.4">
      <c r="A63" s="357"/>
      <c r="I63" s="368"/>
      <c r="M63" s="738"/>
      <c r="O63" s="735"/>
    </row>
    <row r="64" spans="1:19" ht="18" customHeight="1" x14ac:dyDescent="0.4">
      <c r="A64" s="357" t="s">
        <v>144</v>
      </c>
      <c r="B64" s="356" t="s">
        <v>145</v>
      </c>
      <c r="E64" s="356" t="s">
        <v>7</v>
      </c>
      <c r="F64" s="578">
        <v>13495.816666666666</v>
      </c>
      <c r="G64" s="578">
        <v>15439</v>
      </c>
      <c r="H64" s="736">
        <v>8677473.4454618432</v>
      </c>
      <c r="I64" s="736">
        <v>8120049.5353440326</v>
      </c>
      <c r="J64" s="736">
        <v>1315110.57</v>
      </c>
      <c r="K64" s="576">
        <v>15482412.410805875</v>
      </c>
      <c r="L64" s="734"/>
      <c r="M64" s="738"/>
      <c r="N64" s="741"/>
      <c r="O64" s="735"/>
      <c r="S64" s="742"/>
    </row>
    <row r="65" spans="1:17" ht="18" customHeight="1" x14ac:dyDescent="0.35">
      <c r="F65" s="369"/>
      <c r="G65" s="369"/>
      <c r="H65" s="370"/>
      <c r="I65" s="370"/>
      <c r="J65" s="370"/>
      <c r="K65" s="369"/>
      <c r="L65" s="595"/>
      <c r="O65" s="735"/>
    </row>
    <row r="66" spans="1:17" ht="42.75" customHeight="1" x14ac:dyDescent="0.4">
      <c r="F66" s="371" t="s">
        <v>9</v>
      </c>
      <c r="G66" s="371" t="s">
        <v>37</v>
      </c>
      <c r="H66" s="372" t="s">
        <v>29</v>
      </c>
      <c r="I66" s="372" t="s">
        <v>30</v>
      </c>
      <c r="J66" s="372" t="s">
        <v>33</v>
      </c>
      <c r="K66" s="371" t="s">
        <v>34</v>
      </c>
      <c r="L66" s="743"/>
      <c r="O66" s="735"/>
    </row>
    <row r="67" spans="1:17" ht="18" customHeight="1" x14ac:dyDescent="0.4">
      <c r="A67" s="354" t="s">
        <v>102</v>
      </c>
      <c r="B67" s="356" t="s">
        <v>12</v>
      </c>
      <c r="F67" s="373"/>
      <c r="G67" s="373"/>
      <c r="H67" s="374"/>
      <c r="I67" s="375"/>
      <c r="J67" s="374"/>
      <c r="K67" s="376"/>
      <c r="L67" s="734"/>
      <c r="O67" s="735"/>
    </row>
    <row r="68" spans="1:17" ht="18" customHeight="1" x14ac:dyDescent="0.4">
      <c r="A68" s="357" t="s">
        <v>103</v>
      </c>
      <c r="B68" s="350" t="s">
        <v>52</v>
      </c>
      <c r="F68" s="587"/>
      <c r="G68" s="587"/>
      <c r="H68" s="733"/>
      <c r="I68" s="361">
        <v>0</v>
      </c>
      <c r="J68" s="733"/>
      <c r="K68" s="576">
        <v>0</v>
      </c>
      <c r="L68" s="734"/>
      <c r="O68" s="735"/>
    </row>
    <row r="69" spans="1:17" ht="18" customHeight="1" x14ac:dyDescent="0.4">
      <c r="A69" s="357" t="s">
        <v>104</v>
      </c>
      <c r="B69" s="350" t="s">
        <v>53</v>
      </c>
      <c r="F69" s="587"/>
      <c r="G69" s="587"/>
      <c r="H69" s="733"/>
      <c r="I69" s="361">
        <v>0</v>
      </c>
      <c r="J69" s="733"/>
      <c r="K69" s="576">
        <v>0</v>
      </c>
      <c r="L69" s="734"/>
      <c r="O69" s="735"/>
    </row>
    <row r="70" spans="1:17" ht="18" customHeight="1" x14ac:dyDescent="0.4">
      <c r="A70" s="357" t="s">
        <v>178</v>
      </c>
      <c r="B70" s="525"/>
      <c r="C70" s="526"/>
      <c r="D70" s="527"/>
      <c r="E70" s="356"/>
      <c r="F70" s="377"/>
      <c r="G70" s="377"/>
      <c r="H70" s="378"/>
      <c r="I70" s="361">
        <v>0</v>
      </c>
      <c r="J70" s="378"/>
      <c r="K70" s="576">
        <v>0</v>
      </c>
      <c r="L70" s="734"/>
      <c r="O70" s="735"/>
    </row>
    <row r="71" spans="1:17" ht="18" customHeight="1" x14ac:dyDescent="0.4">
      <c r="A71" s="357" t="s">
        <v>179</v>
      </c>
      <c r="B71" s="525"/>
      <c r="C71" s="526"/>
      <c r="D71" s="527"/>
      <c r="E71" s="356"/>
      <c r="F71" s="377"/>
      <c r="G71" s="377"/>
      <c r="H71" s="378"/>
      <c r="I71" s="361">
        <v>0</v>
      </c>
      <c r="J71" s="378"/>
      <c r="K71" s="576">
        <v>0</v>
      </c>
      <c r="L71" s="734"/>
      <c r="O71" s="735"/>
    </row>
    <row r="72" spans="1:17" ht="18" customHeight="1" x14ac:dyDescent="0.4">
      <c r="A72" s="357" t="s">
        <v>180</v>
      </c>
      <c r="B72" s="379"/>
      <c r="C72" s="380"/>
      <c r="D72" s="381"/>
      <c r="E72" s="356"/>
      <c r="F72" s="573"/>
      <c r="G72" s="573"/>
      <c r="H72" s="733"/>
      <c r="I72" s="361">
        <v>0</v>
      </c>
      <c r="J72" s="733"/>
      <c r="K72" s="576">
        <v>0</v>
      </c>
      <c r="L72" s="734"/>
      <c r="O72" s="735"/>
    </row>
    <row r="73" spans="1:17" ht="18" customHeight="1" x14ac:dyDescent="0.4">
      <c r="A73" s="357"/>
      <c r="E73" s="356"/>
      <c r="F73" s="382"/>
      <c r="G73" s="382"/>
      <c r="H73" s="383"/>
      <c r="I73" s="375"/>
      <c r="J73" s="383"/>
      <c r="K73" s="376"/>
      <c r="L73" s="734"/>
      <c r="O73" s="735"/>
    </row>
    <row r="74" spans="1:17" ht="18" customHeight="1" x14ac:dyDescent="0.4">
      <c r="A74" s="354" t="s">
        <v>146</v>
      </c>
      <c r="B74" s="356" t="s">
        <v>147</v>
      </c>
      <c r="E74" s="356" t="s">
        <v>7</v>
      </c>
      <c r="F74" s="590">
        <v>0</v>
      </c>
      <c r="G74" s="590">
        <v>0</v>
      </c>
      <c r="H74" s="744">
        <v>0</v>
      </c>
      <c r="I74" s="384">
        <v>0</v>
      </c>
      <c r="J74" s="744">
        <v>0</v>
      </c>
      <c r="K74" s="592">
        <v>0</v>
      </c>
      <c r="L74" s="737"/>
      <c r="O74" s="735"/>
    </row>
    <row r="75" spans="1:17" ht="42.75" customHeight="1" x14ac:dyDescent="0.4">
      <c r="F75" s="359" t="s">
        <v>9</v>
      </c>
      <c r="G75" s="359" t="s">
        <v>37</v>
      </c>
      <c r="H75" s="360" t="s">
        <v>29</v>
      </c>
      <c r="I75" s="360" t="s">
        <v>30</v>
      </c>
      <c r="J75" s="360" t="s">
        <v>33</v>
      </c>
      <c r="K75" s="359" t="s">
        <v>34</v>
      </c>
      <c r="L75" s="731"/>
      <c r="O75" s="735"/>
    </row>
    <row r="76" spans="1:17" ht="18" customHeight="1" x14ac:dyDescent="0.4">
      <c r="A76" s="354" t="s">
        <v>105</v>
      </c>
      <c r="B76" s="356" t="s">
        <v>106</v>
      </c>
      <c r="O76" s="735"/>
    </row>
    <row r="77" spans="1:17" ht="18" customHeight="1" x14ac:dyDescent="0.4">
      <c r="A77" s="357" t="s">
        <v>107</v>
      </c>
      <c r="B77" s="350" t="s">
        <v>54</v>
      </c>
      <c r="F77" s="573">
        <v>0</v>
      </c>
      <c r="G77" s="573">
        <v>0</v>
      </c>
      <c r="H77" s="573">
        <v>6000</v>
      </c>
      <c r="I77" s="573">
        <v>4714.7994922664666</v>
      </c>
      <c r="J77" s="573">
        <v>0</v>
      </c>
      <c r="K77" s="576">
        <v>10714.799492266466</v>
      </c>
      <c r="L77" s="734"/>
      <c r="O77" s="735"/>
      <c r="Q77" s="742"/>
    </row>
    <row r="78" spans="1:17" ht="18" customHeight="1" x14ac:dyDescent="0.4">
      <c r="A78" s="357" t="s">
        <v>108</v>
      </c>
      <c r="B78" s="350" t="s">
        <v>55</v>
      </c>
      <c r="F78" s="573">
        <v>0</v>
      </c>
      <c r="G78" s="573">
        <v>0</v>
      </c>
      <c r="H78" s="573">
        <v>0</v>
      </c>
      <c r="I78" s="573">
        <v>0</v>
      </c>
      <c r="J78" s="573">
        <v>0</v>
      </c>
      <c r="K78" s="576">
        <v>0</v>
      </c>
      <c r="L78" s="734"/>
      <c r="O78" s="735"/>
      <c r="Q78" s="742"/>
    </row>
    <row r="79" spans="1:17" ht="18" customHeight="1" x14ac:dyDescent="0.4">
      <c r="A79" s="357" t="s">
        <v>109</v>
      </c>
      <c r="B79" s="350" t="s">
        <v>13</v>
      </c>
      <c r="F79" s="573">
        <v>0</v>
      </c>
      <c r="G79" s="573">
        <v>0</v>
      </c>
      <c r="H79" s="573">
        <v>0</v>
      </c>
      <c r="I79" s="573">
        <v>0</v>
      </c>
      <c r="J79" s="573">
        <v>0</v>
      </c>
      <c r="K79" s="576">
        <v>0</v>
      </c>
      <c r="L79" s="734"/>
      <c r="O79" s="735"/>
    </row>
    <row r="80" spans="1:17" ht="18" customHeight="1" x14ac:dyDescent="0.4">
      <c r="A80" s="357" t="s">
        <v>110</v>
      </c>
      <c r="B80" s="350" t="s">
        <v>56</v>
      </c>
      <c r="F80" s="573"/>
      <c r="G80" s="573"/>
      <c r="H80" s="733"/>
      <c r="I80" s="361">
        <v>0</v>
      </c>
      <c r="J80" s="733"/>
      <c r="K80" s="576">
        <v>0</v>
      </c>
      <c r="L80" s="734"/>
      <c r="O80" s="735"/>
    </row>
    <row r="81" spans="1:15" ht="18" customHeight="1" x14ac:dyDescent="0.4">
      <c r="A81" s="357"/>
      <c r="K81" s="593"/>
      <c r="L81" s="734"/>
      <c r="O81" s="735"/>
    </row>
    <row r="82" spans="1:15" ht="18" customHeight="1" x14ac:dyDescent="0.4">
      <c r="A82" s="357" t="s">
        <v>148</v>
      </c>
      <c r="B82" s="356" t="s">
        <v>149</v>
      </c>
      <c r="E82" s="356" t="s">
        <v>7</v>
      </c>
      <c r="F82" s="590">
        <v>0</v>
      </c>
      <c r="G82" s="590">
        <v>0</v>
      </c>
      <c r="H82" s="744">
        <v>6000</v>
      </c>
      <c r="I82" s="744">
        <v>4714.7994922664666</v>
      </c>
      <c r="J82" s="744">
        <v>0</v>
      </c>
      <c r="K82" s="592">
        <v>10714.799492266466</v>
      </c>
      <c r="L82" s="737"/>
      <c r="O82" s="735"/>
    </row>
    <row r="83" spans="1:15" ht="18" customHeight="1" thickBot="1" x14ac:dyDescent="0.45">
      <c r="A83" s="357"/>
      <c r="F83" s="366"/>
      <c r="G83" s="366"/>
      <c r="H83" s="367"/>
      <c r="I83" s="367"/>
      <c r="J83" s="367"/>
      <c r="K83" s="366"/>
      <c r="L83" s="595"/>
      <c r="O83" s="735"/>
    </row>
    <row r="84" spans="1:15" ht="42.75" customHeight="1" x14ac:dyDescent="0.4">
      <c r="F84" s="359" t="s">
        <v>9</v>
      </c>
      <c r="G84" s="359" t="s">
        <v>37</v>
      </c>
      <c r="H84" s="360" t="s">
        <v>29</v>
      </c>
      <c r="I84" s="360" t="s">
        <v>30</v>
      </c>
      <c r="J84" s="360" t="s">
        <v>33</v>
      </c>
      <c r="K84" s="359" t="s">
        <v>34</v>
      </c>
      <c r="L84" s="731"/>
      <c r="O84" s="735"/>
    </row>
    <row r="85" spans="1:15" ht="18" customHeight="1" x14ac:dyDescent="0.4">
      <c r="A85" s="354" t="s">
        <v>111</v>
      </c>
      <c r="B85" s="356" t="s">
        <v>57</v>
      </c>
      <c r="O85" s="735"/>
    </row>
    <row r="86" spans="1:15" ht="18" customHeight="1" x14ac:dyDescent="0.4">
      <c r="A86" s="357" t="s">
        <v>112</v>
      </c>
      <c r="B86" s="350" t="s">
        <v>113</v>
      </c>
      <c r="F86" s="573"/>
      <c r="G86" s="573"/>
      <c r="H86" s="733"/>
      <c r="I86" s="361"/>
      <c r="J86" s="733"/>
      <c r="K86" s="576">
        <v>0</v>
      </c>
      <c r="L86" s="734"/>
      <c r="O86" s="735"/>
    </row>
    <row r="87" spans="1:15" ht="18" customHeight="1" x14ac:dyDescent="0.4">
      <c r="A87" s="357" t="s">
        <v>114</v>
      </c>
      <c r="B87" s="350" t="s">
        <v>14</v>
      </c>
      <c r="F87" s="573">
        <v>6</v>
      </c>
      <c r="G87" s="573">
        <v>0</v>
      </c>
      <c r="H87" s="573">
        <v>3242.536253021085</v>
      </c>
      <c r="I87" s="573">
        <v>2547.984713233237</v>
      </c>
      <c r="J87" s="573">
        <v>0</v>
      </c>
      <c r="K87" s="576">
        <v>5790.520966254322</v>
      </c>
      <c r="L87" s="734"/>
      <c r="O87" s="735"/>
    </row>
    <row r="88" spans="1:15" ht="18" customHeight="1" x14ac:dyDescent="0.4">
      <c r="A88" s="357" t="s">
        <v>115</v>
      </c>
      <c r="B88" s="350" t="s">
        <v>116</v>
      </c>
      <c r="F88" s="573">
        <v>38</v>
      </c>
      <c r="G88" s="573">
        <v>0</v>
      </c>
      <c r="H88" s="573">
        <v>1567.7296024668719</v>
      </c>
      <c r="I88" s="573">
        <v>1231.9217889536528</v>
      </c>
      <c r="J88" s="573">
        <v>0</v>
      </c>
      <c r="K88" s="576">
        <v>2799.6513914205248</v>
      </c>
      <c r="L88" s="734"/>
      <c r="O88" s="735"/>
    </row>
    <row r="89" spans="1:15" ht="18" customHeight="1" x14ac:dyDescent="0.4">
      <c r="A89" s="357" t="s">
        <v>117</v>
      </c>
      <c r="B89" s="350" t="s">
        <v>58</v>
      </c>
      <c r="F89" s="573"/>
      <c r="G89" s="573"/>
      <c r="H89" s="573"/>
      <c r="I89" s="573"/>
      <c r="J89" s="573"/>
      <c r="K89" s="576">
        <v>0</v>
      </c>
      <c r="L89" s="734"/>
      <c r="O89" s="735"/>
    </row>
    <row r="90" spans="1:15" ht="18" customHeight="1" x14ac:dyDescent="0.4">
      <c r="A90" s="357" t="s">
        <v>118</v>
      </c>
      <c r="B90" s="991" t="s">
        <v>59</v>
      </c>
      <c r="C90" s="991"/>
      <c r="F90" s="573"/>
      <c r="G90" s="573"/>
      <c r="H90" s="573"/>
      <c r="I90" s="573"/>
      <c r="J90" s="573"/>
      <c r="K90" s="576">
        <v>0</v>
      </c>
      <c r="L90" s="734"/>
      <c r="O90" s="735"/>
    </row>
    <row r="91" spans="1:15" ht="18" customHeight="1" x14ac:dyDescent="0.4">
      <c r="A91" s="357" t="s">
        <v>119</v>
      </c>
      <c r="B91" s="350" t="s">
        <v>60</v>
      </c>
      <c r="F91" s="573">
        <v>113</v>
      </c>
      <c r="G91" s="573">
        <v>0</v>
      </c>
      <c r="H91" s="573">
        <v>4661.9327652304355</v>
      </c>
      <c r="I91" s="573">
        <v>3663.3463724148105</v>
      </c>
      <c r="J91" s="573">
        <v>0</v>
      </c>
      <c r="K91" s="576">
        <v>8325.279137645246</v>
      </c>
      <c r="L91" s="734"/>
      <c r="O91" s="735"/>
    </row>
    <row r="92" spans="1:15" ht="18" customHeight="1" x14ac:dyDescent="0.4">
      <c r="A92" s="357" t="s">
        <v>120</v>
      </c>
      <c r="B92" s="350" t="s">
        <v>121</v>
      </c>
      <c r="F92" s="385">
        <v>0</v>
      </c>
      <c r="G92" s="385">
        <v>0</v>
      </c>
      <c r="H92" s="385">
        <v>2500</v>
      </c>
      <c r="I92" s="385">
        <v>2190</v>
      </c>
      <c r="J92" s="385">
        <v>0</v>
      </c>
      <c r="K92" s="576">
        <v>4690.4799999999996</v>
      </c>
      <c r="L92" s="734"/>
      <c r="O92" s="735"/>
    </row>
    <row r="93" spans="1:15" ht="18" customHeight="1" x14ac:dyDescent="0.4">
      <c r="A93" s="357" t="s">
        <v>122</v>
      </c>
      <c r="B93" s="350" t="s">
        <v>123</v>
      </c>
      <c r="F93" s="573">
        <v>0</v>
      </c>
      <c r="G93" s="573">
        <v>0</v>
      </c>
      <c r="H93" s="573">
        <v>0</v>
      </c>
      <c r="I93" s="573">
        <v>0</v>
      </c>
      <c r="J93" s="573">
        <v>0</v>
      </c>
      <c r="K93" s="576">
        <v>0</v>
      </c>
      <c r="L93" s="734"/>
      <c r="O93" s="735"/>
    </row>
    <row r="94" spans="1:15" ht="18" customHeight="1" x14ac:dyDescent="0.4">
      <c r="A94" s="357" t="s">
        <v>124</v>
      </c>
      <c r="B94" s="988"/>
      <c r="C94" s="989"/>
      <c r="D94" s="990"/>
      <c r="F94" s="573"/>
      <c r="G94" s="573"/>
      <c r="H94" s="733"/>
      <c r="I94" s="361"/>
      <c r="J94" s="733"/>
      <c r="K94" s="576">
        <v>0</v>
      </c>
      <c r="L94" s="734"/>
      <c r="O94" s="735"/>
    </row>
    <row r="95" spans="1:15" ht="18" customHeight="1" x14ac:dyDescent="0.4">
      <c r="A95" s="357" t="s">
        <v>125</v>
      </c>
      <c r="B95" s="988"/>
      <c r="C95" s="989"/>
      <c r="D95" s="990"/>
      <c r="F95" s="573"/>
      <c r="G95" s="573"/>
      <c r="H95" s="733"/>
      <c r="I95" s="361"/>
      <c r="J95" s="733"/>
      <c r="K95" s="576">
        <v>0</v>
      </c>
      <c r="L95" s="734"/>
      <c r="O95" s="735"/>
    </row>
    <row r="96" spans="1:15" ht="18" customHeight="1" x14ac:dyDescent="0.4">
      <c r="A96" s="357" t="s">
        <v>126</v>
      </c>
      <c r="B96" s="988"/>
      <c r="C96" s="989"/>
      <c r="D96" s="990"/>
      <c r="F96" s="573"/>
      <c r="G96" s="573"/>
      <c r="H96" s="733"/>
      <c r="I96" s="361"/>
      <c r="J96" s="733"/>
      <c r="K96" s="576">
        <v>0</v>
      </c>
      <c r="L96" s="734"/>
      <c r="O96" s="735"/>
    </row>
    <row r="97" spans="1:16" ht="18" customHeight="1" x14ac:dyDescent="0.4">
      <c r="A97" s="357"/>
      <c r="O97" s="735"/>
    </row>
    <row r="98" spans="1:16" ht="18" customHeight="1" x14ac:dyDescent="0.4">
      <c r="A98" s="354" t="s">
        <v>150</v>
      </c>
      <c r="B98" s="356" t="s">
        <v>151</v>
      </c>
      <c r="E98" s="356" t="s">
        <v>7</v>
      </c>
      <c r="F98" s="578">
        <v>157</v>
      </c>
      <c r="G98" s="578">
        <v>0</v>
      </c>
      <c r="H98" s="736">
        <v>11972.198620718393</v>
      </c>
      <c r="I98" s="736">
        <v>9633.2528746017015</v>
      </c>
      <c r="J98" s="736">
        <v>0</v>
      </c>
      <c r="K98" s="578">
        <v>21605.931495320092</v>
      </c>
      <c r="L98" s="745"/>
      <c r="O98" s="735"/>
    </row>
    <row r="99" spans="1:16" ht="18" customHeight="1" thickBot="1" x14ac:dyDescent="0.45">
      <c r="B99" s="356"/>
      <c r="F99" s="366"/>
      <c r="G99" s="366"/>
      <c r="H99" s="367"/>
      <c r="I99" s="367"/>
      <c r="J99" s="367"/>
      <c r="K99" s="366"/>
      <c r="L99" s="595"/>
      <c r="O99" s="735"/>
    </row>
    <row r="100" spans="1:16" ht="42.75" customHeight="1" x14ac:dyDescent="0.4">
      <c r="F100" s="359" t="s">
        <v>9</v>
      </c>
      <c r="G100" s="359" t="s">
        <v>37</v>
      </c>
      <c r="H100" s="360" t="s">
        <v>29</v>
      </c>
      <c r="I100" s="360" t="s">
        <v>30</v>
      </c>
      <c r="J100" s="360" t="s">
        <v>33</v>
      </c>
      <c r="K100" s="359" t="s">
        <v>34</v>
      </c>
      <c r="L100" s="731"/>
      <c r="O100" s="735"/>
    </row>
    <row r="101" spans="1:16" ht="18" customHeight="1" x14ac:dyDescent="0.4">
      <c r="A101" s="354" t="s">
        <v>130</v>
      </c>
      <c r="B101" s="356" t="s">
        <v>63</v>
      </c>
      <c r="O101" s="735"/>
    </row>
    <row r="102" spans="1:16" ht="18" customHeight="1" x14ac:dyDescent="0.4">
      <c r="A102" s="357" t="s">
        <v>131</v>
      </c>
      <c r="B102" s="350" t="s">
        <v>152</v>
      </c>
      <c r="F102" s="573">
        <v>460</v>
      </c>
      <c r="G102" s="573">
        <v>0</v>
      </c>
      <c r="H102" s="573">
        <v>18977.779398283194</v>
      </c>
      <c r="I102" s="573">
        <v>14912.737445228431</v>
      </c>
      <c r="J102" s="573">
        <v>0</v>
      </c>
      <c r="K102" s="576">
        <v>33890.516843511621</v>
      </c>
      <c r="L102" s="734"/>
      <c r="O102" s="735"/>
    </row>
    <row r="103" spans="1:16" ht="18" customHeight="1" x14ac:dyDescent="0.4">
      <c r="A103" s="357" t="s">
        <v>132</v>
      </c>
      <c r="B103" s="991" t="s">
        <v>62</v>
      </c>
      <c r="C103" s="991"/>
      <c r="F103" s="573">
        <v>1000</v>
      </c>
      <c r="G103" s="573">
        <v>0</v>
      </c>
      <c r="H103" s="573">
        <v>41256.042170180852</v>
      </c>
      <c r="I103" s="573">
        <v>32418.994446148768</v>
      </c>
      <c r="J103" s="573">
        <v>0</v>
      </c>
      <c r="K103" s="576">
        <v>73675.036616329628</v>
      </c>
      <c r="L103" s="734"/>
      <c r="O103" s="735"/>
    </row>
    <row r="104" spans="1:16" ht="18" customHeight="1" x14ac:dyDescent="0.4">
      <c r="A104" s="357" t="s">
        <v>128</v>
      </c>
      <c r="B104" s="988"/>
      <c r="C104" s="989"/>
      <c r="D104" s="990"/>
      <c r="F104" s="573"/>
      <c r="G104" s="573"/>
      <c r="H104" s="733"/>
      <c r="I104" s="361"/>
      <c r="J104" s="733"/>
      <c r="K104" s="576">
        <v>0</v>
      </c>
      <c r="L104" s="734"/>
      <c r="O104" s="735"/>
    </row>
    <row r="105" spans="1:16" ht="18" customHeight="1" x14ac:dyDescent="0.4">
      <c r="A105" s="357" t="s">
        <v>127</v>
      </c>
      <c r="B105" s="988"/>
      <c r="C105" s="989"/>
      <c r="D105" s="990"/>
      <c r="F105" s="573"/>
      <c r="G105" s="573"/>
      <c r="H105" s="733"/>
      <c r="I105" s="361"/>
      <c r="J105" s="733"/>
      <c r="K105" s="576">
        <v>0</v>
      </c>
      <c r="L105" s="734"/>
      <c r="O105" s="735"/>
    </row>
    <row r="106" spans="1:16" ht="18" customHeight="1" x14ac:dyDescent="0.4">
      <c r="A106" s="357" t="s">
        <v>129</v>
      </c>
      <c r="B106" s="988"/>
      <c r="C106" s="989"/>
      <c r="D106" s="990"/>
      <c r="F106" s="573"/>
      <c r="G106" s="573"/>
      <c r="H106" s="733"/>
      <c r="I106" s="361"/>
      <c r="J106" s="733"/>
      <c r="K106" s="576">
        <v>0</v>
      </c>
      <c r="L106" s="734"/>
      <c r="O106" s="735"/>
    </row>
    <row r="107" spans="1:16" ht="18" customHeight="1" x14ac:dyDescent="0.4">
      <c r="B107" s="356"/>
      <c r="O107" s="735"/>
    </row>
    <row r="108" spans="1:16" s="365" customFormat="1" ht="18" customHeight="1" x14ac:dyDescent="0.4">
      <c r="A108" s="354" t="s">
        <v>153</v>
      </c>
      <c r="B108" s="386" t="s">
        <v>154</v>
      </c>
      <c r="C108" s="350"/>
      <c r="D108" s="350"/>
      <c r="E108" s="356" t="s">
        <v>7</v>
      </c>
      <c r="F108" s="578">
        <v>1460</v>
      </c>
      <c r="G108" s="578">
        <v>0</v>
      </c>
      <c r="H108" s="736">
        <v>60233.821568464045</v>
      </c>
      <c r="I108" s="736">
        <v>47331.731891377203</v>
      </c>
      <c r="J108" s="736">
        <v>0</v>
      </c>
      <c r="K108" s="576">
        <v>107565.55345984125</v>
      </c>
      <c r="L108" s="734"/>
      <c r="M108" s="746"/>
      <c r="N108" s="726"/>
      <c r="O108" s="735"/>
      <c r="P108" s="747"/>
    </row>
    <row r="109" spans="1:16" s="365" customFormat="1" ht="18" customHeight="1" thickBot="1" x14ac:dyDescent="0.45">
      <c r="A109" s="387"/>
      <c r="B109" s="388"/>
      <c r="C109" s="389"/>
      <c r="D109" s="389"/>
      <c r="E109" s="389"/>
      <c r="F109" s="366"/>
      <c r="G109" s="366"/>
      <c r="H109" s="367"/>
      <c r="I109" s="367"/>
      <c r="J109" s="367"/>
      <c r="K109" s="366"/>
      <c r="L109" s="595"/>
      <c r="M109" s="746"/>
      <c r="N109" s="726"/>
      <c r="O109" s="748"/>
      <c r="P109" s="747"/>
    </row>
    <row r="110" spans="1:16" s="365" customFormat="1" ht="18" customHeight="1" x14ac:dyDescent="0.4">
      <c r="A110" s="354" t="s">
        <v>156</v>
      </c>
      <c r="B110" s="356" t="s">
        <v>39</v>
      </c>
      <c r="C110" s="350"/>
      <c r="D110" s="350"/>
      <c r="E110" s="350"/>
      <c r="F110" s="350"/>
      <c r="G110" s="350"/>
      <c r="H110" s="355"/>
      <c r="I110" s="355"/>
      <c r="J110" s="355"/>
      <c r="K110" s="350"/>
      <c r="L110" s="728"/>
      <c r="M110" s="746"/>
      <c r="N110" s="726"/>
      <c r="O110" s="748"/>
      <c r="P110" s="747"/>
    </row>
    <row r="111" spans="1:16" ht="18" customHeight="1" x14ac:dyDescent="0.4">
      <c r="A111" s="354" t="s">
        <v>155</v>
      </c>
      <c r="B111" s="356" t="s">
        <v>164</v>
      </c>
      <c r="E111" s="356" t="s">
        <v>7</v>
      </c>
      <c r="F111" s="749">
        <v>464000</v>
      </c>
      <c r="O111" s="750"/>
    </row>
    <row r="112" spans="1:16" ht="18" customHeight="1" x14ac:dyDescent="0.4">
      <c r="B112" s="356"/>
      <c r="E112" s="356"/>
      <c r="F112" s="390"/>
    </row>
    <row r="113" spans="1:15" ht="18" customHeight="1" x14ac:dyDescent="0.4">
      <c r="A113" s="354"/>
      <c r="B113" s="356" t="s">
        <v>15</v>
      </c>
      <c r="F113" s="391"/>
    </row>
    <row r="114" spans="1:15" ht="18" customHeight="1" x14ac:dyDescent="0.4">
      <c r="A114" s="357" t="s">
        <v>171</v>
      </c>
      <c r="B114" s="350" t="s">
        <v>35</v>
      </c>
      <c r="F114" s="751">
        <v>1.2028025096012509</v>
      </c>
      <c r="M114" s="752"/>
      <c r="N114" s="753"/>
      <c r="O114" s="750"/>
    </row>
    <row r="115" spans="1:15" ht="18" customHeight="1" x14ac:dyDescent="0.4">
      <c r="A115" s="357"/>
      <c r="B115" s="356"/>
      <c r="F115" s="117"/>
      <c r="O115" s="750"/>
    </row>
    <row r="116" spans="1:15" ht="18" customHeight="1" x14ac:dyDescent="0.4">
      <c r="A116" s="357" t="s">
        <v>170</v>
      </c>
      <c r="B116" s="356" t="s">
        <v>16</v>
      </c>
      <c r="F116" s="117"/>
      <c r="O116" s="750"/>
    </row>
    <row r="117" spans="1:15" ht="18" customHeight="1" x14ac:dyDescent="0.4">
      <c r="A117" s="357" t="s">
        <v>172</v>
      </c>
      <c r="B117" s="350" t="s">
        <v>17</v>
      </c>
      <c r="F117" s="754">
        <v>42677369.999999993</v>
      </c>
      <c r="O117" s="750"/>
    </row>
    <row r="118" spans="1:15" ht="18" customHeight="1" x14ac:dyDescent="0.4">
      <c r="A118" s="357" t="s">
        <v>173</v>
      </c>
      <c r="B118" s="350" t="s">
        <v>18</v>
      </c>
      <c r="F118" s="754">
        <v>1187000</v>
      </c>
      <c r="O118" s="750"/>
    </row>
    <row r="119" spans="1:15" ht="18" customHeight="1" x14ac:dyDescent="0.4">
      <c r="A119" s="357" t="s">
        <v>174</v>
      </c>
      <c r="B119" s="356" t="s">
        <v>19</v>
      </c>
      <c r="F119" s="755">
        <v>43864369.999999993</v>
      </c>
      <c r="O119" s="750"/>
    </row>
    <row r="120" spans="1:15" ht="18" customHeight="1" x14ac:dyDescent="0.4">
      <c r="A120" s="357"/>
      <c r="B120" s="356"/>
      <c r="F120" s="316"/>
      <c r="O120" s="750"/>
    </row>
    <row r="121" spans="1:15" ht="18" customHeight="1" x14ac:dyDescent="0.4">
      <c r="A121" s="357" t="s">
        <v>167</v>
      </c>
      <c r="B121" s="356" t="s">
        <v>36</v>
      </c>
      <c r="F121" s="754">
        <v>51275000</v>
      </c>
      <c r="O121" s="750"/>
    </row>
    <row r="122" spans="1:15" ht="18" customHeight="1" x14ac:dyDescent="0.4">
      <c r="A122" s="357"/>
      <c r="F122" s="316"/>
      <c r="O122" s="750"/>
    </row>
    <row r="123" spans="1:15" ht="18" customHeight="1" x14ac:dyDescent="0.4">
      <c r="A123" s="357" t="s">
        <v>175</v>
      </c>
      <c r="B123" s="356" t="s">
        <v>20</v>
      </c>
      <c r="F123" s="754">
        <v>-7410630.0000000075</v>
      </c>
      <c r="O123" s="750"/>
    </row>
    <row r="124" spans="1:15" ht="18" customHeight="1" x14ac:dyDescent="0.4">
      <c r="A124" s="357"/>
      <c r="F124" s="117"/>
      <c r="O124" s="750"/>
    </row>
    <row r="125" spans="1:15" ht="18" customHeight="1" x14ac:dyDescent="0.4">
      <c r="A125" s="357" t="s">
        <v>176</v>
      </c>
      <c r="B125" s="356" t="s">
        <v>21</v>
      </c>
      <c r="F125" s="754">
        <v>-4287000</v>
      </c>
      <c r="O125" s="750"/>
    </row>
    <row r="126" spans="1:15" ht="18" customHeight="1" x14ac:dyDescent="0.4">
      <c r="A126" s="357"/>
      <c r="F126" s="316"/>
      <c r="O126" s="750"/>
    </row>
    <row r="127" spans="1:15" ht="18" customHeight="1" x14ac:dyDescent="0.4">
      <c r="A127" s="357" t="s">
        <v>177</v>
      </c>
      <c r="B127" s="356" t="s">
        <v>22</v>
      </c>
      <c r="F127" s="754">
        <v>-11697630.000000007</v>
      </c>
      <c r="O127" s="750"/>
    </row>
    <row r="128" spans="1:15" ht="18" customHeight="1" x14ac:dyDescent="0.4">
      <c r="A128" s="357"/>
    </row>
    <row r="129" spans="1:16" ht="42.75" customHeight="1" x14ac:dyDescent="0.4">
      <c r="F129" s="359" t="s">
        <v>9</v>
      </c>
      <c r="G129" s="359" t="s">
        <v>37</v>
      </c>
      <c r="H129" s="360" t="s">
        <v>29</v>
      </c>
      <c r="I129" s="360" t="s">
        <v>30</v>
      </c>
      <c r="J129" s="360" t="s">
        <v>33</v>
      </c>
      <c r="K129" s="359" t="s">
        <v>34</v>
      </c>
      <c r="L129" s="731"/>
    </row>
    <row r="130" spans="1:16" ht="18" customHeight="1" x14ac:dyDescent="0.4">
      <c r="A130" s="354" t="s">
        <v>157</v>
      </c>
      <c r="B130" s="356" t="s">
        <v>23</v>
      </c>
    </row>
    <row r="131" spans="1:16" ht="18" customHeight="1" x14ac:dyDescent="0.4">
      <c r="A131" s="357" t="s">
        <v>158</v>
      </c>
      <c r="B131" s="350" t="s">
        <v>24</v>
      </c>
      <c r="F131" s="573"/>
      <c r="G131" s="573"/>
      <c r="H131" s="733"/>
      <c r="I131" s="361">
        <v>0</v>
      </c>
      <c r="J131" s="733">
        <v>0</v>
      </c>
      <c r="K131" s="576">
        <v>0</v>
      </c>
      <c r="L131" s="734"/>
      <c r="O131" s="735"/>
    </row>
    <row r="132" spans="1:16" ht="18" customHeight="1" x14ac:dyDescent="0.4">
      <c r="A132" s="357" t="s">
        <v>159</v>
      </c>
      <c r="B132" s="350" t="s">
        <v>25</v>
      </c>
      <c r="F132" s="573"/>
      <c r="G132" s="573"/>
      <c r="H132" s="733"/>
      <c r="I132" s="361">
        <v>0</v>
      </c>
      <c r="J132" s="733">
        <v>0</v>
      </c>
      <c r="K132" s="576">
        <v>0</v>
      </c>
      <c r="L132" s="734"/>
      <c r="O132" s="735"/>
    </row>
    <row r="133" spans="1:16" ht="18" customHeight="1" x14ac:dyDescent="0.4">
      <c r="A133" s="357" t="s">
        <v>160</v>
      </c>
      <c r="B133" s="988"/>
      <c r="C133" s="989"/>
      <c r="D133" s="990"/>
      <c r="F133" s="573"/>
      <c r="G133" s="573"/>
      <c r="H133" s="733"/>
      <c r="I133" s="361">
        <v>0</v>
      </c>
      <c r="J133" s="733"/>
      <c r="K133" s="576">
        <v>0</v>
      </c>
      <c r="L133" s="734"/>
      <c r="O133" s="735"/>
    </row>
    <row r="134" spans="1:16" ht="18" customHeight="1" x14ac:dyDescent="0.4">
      <c r="A134" s="357" t="s">
        <v>161</v>
      </c>
      <c r="B134" s="988"/>
      <c r="C134" s="989"/>
      <c r="D134" s="990"/>
      <c r="F134" s="573"/>
      <c r="G134" s="573"/>
      <c r="H134" s="733"/>
      <c r="I134" s="361">
        <v>0</v>
      </c>
      <c r="J134" s="733"/>
      <c r="K134" s="576">
        <v>0</v>
      </c>
      <c r="L134" s="734"/>
      <c r="O134" s="735"/>
    </row>
    <row r="135" spans="1:16" ht="18" customHeight="1" x14ac:dyDescent="0.4">
      <c r="A135" s="357" t="s">
        <v>162</v>
      </c>
      <c r="B135" s="988"/>
      <c r="C135" s="989"/>
      <c r="D135" s="990"/>
      <c r="F135" s="573"/>
      <c r="G135" s="573"/>
      <c r="H135" s="733"/>
      <c r="I135" s="361">
        <v>0</v>
      </c>
      <c r="J135" s="733"/>
      <c r="K135" s="576">
        <v>0</v>
      </c>
      <c r="L135" s="734"/>
      <c r="O135" s="735"/>
    </row>
    <row r="136" spans="1:16" ht="18" customHeight="1" x14ac:dyDescent="0.4">
      <c r="A136" s="354"/>
      <c r="O136" s="735"/>
    </row>
    <row r="137" spans="1:16" ht="18" customHeight="1" x14ac:dyDescent="0.4">
      <c r="A137" s="354" t="s">
        <v>163</v>
      </c>
      <c r="B137" s="356" t="s">
        <v>27</v>
      </c>
      <c r="F137" s="578">
        <v>0</v>
      </c>
      <c r="G137" s="578">
        <v>0</v>
      </c>
      <c r="H137" s="736">
        <v>0</v>
      </c>
      <c r="I137" s="736">
        <v>0</v>
      </c>
      <c r="J137" s="736">
        <v>0</v>
      </c>
      <c r="K137" s="576">
        <v>0</v>
      </c>
      <c r="L137" s="734"/>
      <c r="O137" s="735"/>
    </row>
    <row r="138" spans="1:16" ht="18" customHeight="1" x14ac:dyDescent="0.35">
      <c r="A138" s="350"/>
    </row>
    <row r="139" spans="1:16" ht="42.75" customHeight="1" x14ac:dyDescent="0.4">
      <c r="F139" s="359" t="s">
        <v>9</v>
      </c>
      <c r="G139" s="359" t="s">
        <v>37</v>
      </c>
      <c r="H139" s="360" t="s">
        <v>29</v>
      </c>
      <c r="I139" s="360" t="s">
        <v>30</v>
      </c>
      <c r="J139" s="360" t="s">
        <v>33</v>
      </c>
      <c r="K139" s="359" t="s">
        <v>34</v>
      </c>
      <c r="L139" s="731"/>
    </row>
    <row r="140" spans="1:16" ht="18" customHeight="1" x14ac:dyDescent="0.4">
      <c r="A140" s="354" t="s">
        <v>166</v>
      </c>
      <c r="B140" s="356" t="s">
        <v>26</v>
      </c>
    </row>
    <row r="141" spans="1:16" ht="18" customHeight="1" x14ac:dyDescent="0.4">
      <c r="A141" s="357" t="s">
        <v>137</v>
      </c>
      <c r="B141" s="356" t="s">
        <v>64</v>
      </c>
      <c r="F141" s="392">
        <v>794</v>
      </c>
      <c r="G141" s="392">
        <v>1293</v>
      </c>
      <c r="H141" s="393">
        <v>53704.297483123592</v>
      </c>
      <c r="I141" s="393">
        <v>42200.832417659731</v>
      </c>
      <c r="J141" s="393">
        <v>0</v>
      </c>
      <c r="K141" s="392">
        <v>95905.12990078333</v>
      </c>
      <c r="L141" s="745"/>
      <c r="O141" s="735"/>
      <c r="P141" s="417"/>
    </row>
    <row r="142" spans="1:16" ht="18" customHeight="1" x14ac:dyDescent="0.4">
      <c r="A142" s="357" t="s">
        <v>142</v>
      </c>
      <c r="B142" s="356" t="s">
        <v>65</v>
      </c>
      <c r="F142" s="392">
        <v>0</v>
      </c>
      <c r="G142" s="392">
        <v>0</v>
      </c>
      <c r="H142" s="393">
        <v>0</v>
      </c>
      <c r="I142" s="393">
        <v>0</v>
      </c>
      <c r="J142" s="393">
        <v>0</v>
      </c>
      <c r="K142" s="392">
        <v>0</v>
      </c>
      <c r="L142" s="745"/>
      <c r="O142" s="735"/>
      <c r="P142" s="417"/>
    </row>
    <row r="143" spans="1:16" ht="18" customHeight="1" x14ac:dyDescent="0.4">
      <c r="A143" s="357" t="s">
        <v>144</v>
      </c>
      <c r="B143" s="356" t="s">
        <v>66</v>
      </c>
      <c r="F143" s="392">
        <v>13495.816666666666</v>
      </c>
      <c r="G143" s="392">
        <v>15439</v>
      </c>
      <c r="H143" s="393">
        <v>8677473.4454618432</v>
      </c>
      <c r="I143" s="393">
        <v>8120049.5353440326</v>
      </c>
      <c r="J143" s="393">
        <v>1315110.57</v>
      </c>
      <c r="K143" s="392">
        <v>15482412.410805875</v>
      </c>
      <c r="L143" s="745"/>
      <c r="N143" s="741"/>
      <c r="O143" s="738"/>
      <c r="P143" s="417"/>
    </row>
    <row r="144" spans="1:16" ht="18" customHeight="1" x14ac:dyDescent="0.4">
      <c r="A144" s="357" t="s">
        <v>146</v>
      </c>
      <c r="B144" s="356" t="s">
        <v>67</v>
      </c>
      <c r="F144" s="392">
        <v>0</v>
      </c>
      <c r="G144" s="392">
        <v>0</v>
      </c>
      <c r="H144" s="393">
        <v>0</v>
      </c>
      <c r="I144" s="393">
        <v>0</v>
      </c>
      <c r="J144" s="393">
        <v>0</v>
      </c>
      <c r="K144" s="392">
        <v>0</v>
      </c>
      <c r="L144" s="745"/>
      <c r="O144" s="735"/>
      <c r="P144" s="417"/>
    </row>
    <row r="145" spans="1:16" ht="18" customHeight="1" x14ac:dyDescent="0.4">
      <c r="A145" s="357" t="s">
        <v>148</v>
      </c>
      <c r="B145" s="356" t="s">
        <v>68</v>
      </c>
      <c r="F145" s="392">
        <v>0</v>
      </c>
      <c r="G145" s="392">
        <v>0</v>
      </c>
      <c r="H145" s="393">
        <v>6000</v>
      </c>
      <c r="I145" s="393">
        <v>4714.7994922664666</v>
      </c>
      <c r="J145" s="393">
        <v>0</v>
      </c>
      <c r="K145" s="392">
        <v>10714.799492266466</v>
      </c>
      <c r="L145" s="745"/>
      <c r="O145" s="735"/>
      <c r="P145" s="417"/>
    </row>
    <row r="146" spans="1:16" ht="18" customHeight="1" x14ac:dyDescent="0.4">
      <c r="A146" s="357" t="s">
        <v>150</v>
      </c>
      <c r="B146" s="356" t="s">
        <v>69</v>
      </c>
      <c r="F146" s="392">
        <v>157</v>
      </c>
      <c r="G146" s="392">
        <v>0</v>
      </c>
      <c r="H146" s="393">
        <v>11972.198620718393</v>
      </c>
      <c r="I146" s="393">
        <v>9633.2528746017015</v>
      </c>
      <c r="J146" s="393">
        <v>0</v>
      </c>
      <c r="K146" s="392">
        <v>21605.931495320092</v>
      </c>
      <c r="L146" s="745"/>
      <c r="O146" s="735"/>
      <c r="P146" s="417"/>
    </row>
    <row r="147" spans="1:16" ht="18" customHeight="1" x14ac:dyDescent="0.4">
      <c r="A147" s="357" t="s">
        <v>153</v>
      </c>
      <c r="B147" s="356" t="s">
        <v>61</v>
      </c>
      <c r="F147" s="578">
        <v>1460</v>
      </c>
      <c r="G147" s="578">
        <v>0</v>
      </c>
      <c r="H147" s="736">
        <v>60233.821568464045</v>
      </c>
      <c r="I147" s="736">
        <v>47331.731891377203</v>
      </c>
      <c r="J147" s="736">
        <v>0</v>
      </c>
      <c r="K147" s="578">
        <v>107565.55345984125</v>
      </c>
      <c r="L147" s="745"/>
      <c r="O147" s="735"/>
      <c r="P147" s="417"/>
    </row>
    <row r="148" spans="1:16" ht="18" customHeight="1" x14ac:dyDescent="0.4">
      <c r="A148" s="357" t="s">
        <v>155</v>
      </c>
      <c r="B148" s="356" t="s">
        <v>70</v>
      </c>
      <c r="F148" s="394" t="s">
        <v>73</v>
      </c>
      <c r="G148" s="394" t="s">
        <v>73</v>
      </c>
      <c r="H148" s="395" t="s">
        <v>73</v>
      </c>
      <c r="I148" s="395" t="s">
        <v>73</v>
      </c>
      <c r="J148" s="395" t="s">
        <v>73</v>
      </c>
      <c r="K148" s="396">
        <v>464000</v>
      </c>
      <c r="L148" s="734"/>
      <c r="O148" s="735"/>
      <c r="P148" s="417"/>
    </row>
    <row r="149" spans="1:16" ht="18" customHeight="1" x14ac:dyDescent="0.4">
      <c r="A149" s="357" t="s">
        <v>163</v>
      </c>
      <c r="B149" s="356" t="s">
        <v>71</v>
      </c>
      <c r="F149" s="578">
        <v>0</v>
      </c>
      <c r="G149" s="578">
        <v>0</v>
      </c>
      <c r="H149" s="736">
        <v>0</v>
      </c>
      <c r="I149" s="736">
        <v>0</v>
      </c>
      <c r="J149" s="736">
        <v>0</v>
      </c>
      <c r="K149" s="578">
        <v>0</v>
      </c>
      <c r="L149" s="745"/>
      <c r="O149" s="735"/>
      <c r="P149" s="417"/>
    </row>
    <row r="150" spans="1:16" ht="18" customHeight="1" x14ac:dyDescent="0.4">
      <c r="A150" s="357" t="s">
        <v>185</v>
      </c>
      <c r="B150" s="356" t="s">
        <v>183</v>
      </c>
      <c r="F150" s="394" t="s">
        <v>73</v>
      </c>
      <c r="G150" s="394" t="s">
        <v>73</v>
      </c>
      <c r="H150" s="736">
        <v>1070743</v>
      </c>
      <c r="I150" s="736">
        <v>0</v>
      </c>
      <c r="J150" s="736">
        <v>890137</v>
      </c>
      <c r="K150" s="578">
        <v>180606</v>
      </c>
      <c r="L150" s="745"/>
      <c r="O150" s="735"/>
      <c r="P150" s="417"/>
    </row>
    <row r="151" spans="1:16" ht="18" customHeight="1" x14ac:dyDescent="0.4">
      <c r="B151" s="356"/>
      <c r="F151" s="369"/>
      <c r="G151" s="369"/>
      <c r="H151" s="370"/>
      <c r="I151" s="370"/>
      <c r="J151" s="370"/>
      <c r="K151" s="369"/>
      <c r="L151" s="595"/>
      <c r="O151" s="735"/>
    </row>
    <row r="152" spans="1:16" ht="18" customHeight="1" x14ac:dyDescent="0.4">
      <c r="A152" s="354" t="s">
        <v>165</v>
      </c>
      <c r="B152" s="356" t="s">
        <v>26</v>
      </c>
      <c r="F152" s="397">
        <v>15906.816666666666</v>
      </c>
      <c r="G152" s="397">
        <v>16732</v>
      </c>
      <c r="H152" s="398">
        <v>9880126.7631341498</v>
      </c>
      <c r="I152" s="398">
        <v>8223930.1520199366</v>
      </c>
      <c r="J152" s="398">
        <v>2205247.5700000003</v>
      </c>
      <c r="K152" s="397">
        <v>16362809.825154087</v>
      </c>
      <c r="L152" s="745"/>
      <c r="N152" s="741"/>
      <c r="O152" s="750"/>
    </row>
    <row r="154" spans="1:16" ht="18" customHeight="1" x14ac:dyDescent="0.4">
      <c r="A154" s="354" t="s">
        <v>168</v>
      </c>
      <c r="B154" s="356" t="s">
        <v>28</v>
      </c>
      <c r="F154" s="756">
        <v>0.31911867040768577</v>
      </c>
    </row>
    <row r="155" spans="1:16" ht="18" customHeight="1" x14ac:dyDescent="0.4">
      <c r="A155" s="354" t="s">
        <v>169</v>
      </c>
      <c r="B155" s="356" t="s">
        <v>72</v>
      </c>
      <c r="F155" s="756">
        <v>-1.3988141038102655</v>
      </c>
      <c r="G155" s="356"/>
    </row>
    <row r="156" spans="1:16" ht="18" customHeight="1" x14ac:dyDescent="0.4">
      <c r="G156" s="356"/>
    </row>
    <row r="157" spans="1:16" ht="35.25" customHeight="1" x14ac:dyDescent="0.4">
      <c r="L157" s="731"/>
    </row>
    <row r="158" spans="1:16" ht="18" customHeight="1" x14ac:dyDescent="0.4">
      <c r="L158" s="757"/>
      <c r="O158" s="750"/>
    </row>
    <row r="160" spans="1:16" ht="18" customHeight="1" x14ac:dyDescent="0.4">
      <c r="L160" s="758"/>
      <c r="O160" s="750"/>
    </row>
    <row r="161" spans="12:15" ht="18" customHeight="1" x14ac:dyDescent="0.4">
      <c r="L161" s="759"/>
      <c r="O161" s="750"/>
    </row>
    <row r="162" spans="12:15" ht="18" customHeight="1" x14ac:dyDescent="0.4">
      <c r="L162" s="760"/>
      <c r="O162" s="750"/>
    </row>
    <row r="163" spans="12:15" ht="18" customHeight="1" x14ac:dyDescent="0.4">
      <c r="L163" s="758"/>
      <c r="O163" s="750"/>
    </row>
    <row r="164" spans="12:15" ht="18" customHeight="1" x14ac:dyDescent="0.4">
      <c r="L164" s="758"/>
      <c r="O164" s="750"/>
    </row>
    <row r="165" spans="12:15" ht="18" customHeight="1" x14ac:dyDescent="0.4">
      <c r="L165" s="761"/>
      <c r="M165" s="762"/>
      <c r="N165" s="753"/>
      <c r="O165" s="750"/>
    </row>
    <row r="166" spans="12:15" ht="18" customHeight="1" x14ac:dyDescent="0.4">
      <c r="L166" s="761"/>
      <c r="M166" s="762"/>
      <c r="N166" s="753"/>
      <c r="O166" s="750"/>
    </row>
  </sheetData>
  <mergeCells count="29">
    <mergeCell ref="B135:D135"/>
    <mergeCell ref="B96:D96"/>
    <mergeCell ref="B103:C103"/>
    <mergeCell ref="B104:D104"/>
    <mergeCell ref="B105:D105"/>
    <mergeCell ref="B106:D106"/>
    <mergeCell ref="B133:D133"/>
    <mergeCell ref="C5:G5"/>
    <mergeCell ref="C6:G6"/>
    <mergeCell ref="C7:G7"/>
    <mergeCell ref="B134:D134"/>
    <mergeCell ref="C9:G9"/>
    <mergeCell ref="C10:G10"/>
    <mergeCell ref="B30:D30"/>
    <mergeCell ref="B95:D95"/>
    <mergeCell ref="B45:D45"/>
    <mergeCell ref="B46:D46"/>
    <mergeCell ref="B47:D47"/>
    <mergeCell ref="B52:C52"/>
    <mergeCell ref="B61:D61"/>
    <mergeCell ref="B62:D62"/>
    <mergeCell ref="B90:C90"/>
    <mergeCell ref="B94:D94"/>
    <mergeCell ref="B44:D44"/>
    <mergeCell ref="B31:D31"/>
    <mergeCell ref="B34:D34"/>
    <mergeCell ref="B41:C41"/>
    <mergeCell ref="C11:G11"/>
    <mergeCell ref="B13:H13"/>
  </mergeCells>
  <pageMargins left="0.75" right="0.75" top="1" bottom="1" header="0.5" footer="0.5"/>
  <pageSetup scale="59" fitToHeight="0" orientation="landscape" horizontalDpi="1200" verticalDpi="1200" r:id="rId1"/>
  <headerFooter alignWithMargins="0"/>
  <rowBreaks count="6" manualBreakCount="6">
    <brk id="37" max="16383" man="1"/>
    <brk id="65" max="16383" man="1"/>
    <brk id="83" max="16383" man="1"/>
    <brk id="109" max="16383" man="1"/>
    <brk id="128" max="16383" man="1"/>
    <brk id="15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156"/>
  <sheetViews>
    <sheetView showGridLines="0" topLeftCell="A49" zoomScale="80" zoomScaleNormal="80" zoomScaleSheetLayoutView="80" workbookViewId="0">
      <selection activeCell="A2" sqref="A2"/>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230</v>
      </c>
      <c r="D5" s="962"/>
      <c r="E5" s="962"/>
      <c r="F5" s="962"/>
      <c r="G5" s="963"/>
    </row>
    <row r="6" spans="1:11" ht="18" customHeight="1" x14ac:dyDescent="0.4">
      <c r="B6" s="183" t="s">
        <v>3</v>
      </c>
      <c r="C6" s="964">
        <v>32</v>
      </c>
      <c r="D6" s="965"/>
      <c r="E6" s="965"/>
      <c r="F6" s="965"/>
      <c r="G6" s="966"/>
    </row>
    <row r="7" spans="1:11" ht="18" customHeight="1" x14ac:dyDescent="0.4">
      <c r="B7" s="183" t="s">
        <v>4</v>
      </c>
      <c r="C7" s="1014">
        <v>1200</v>
      </c>
      <c r="D7" s="1015"/>
      <c r="E7" s="1015"/>
      <c r="F7" s="1015"/>
      <c r="G7" s="1016"/>
    </row>
    <row r="9" spans="1:11" ht="18" customHeight="1" x14ac:dyDescent="0.4">
      <c r="B9" s="183" t="s">
        <v>1</v>
      </c>
      <c r="C9" s="961" t="s">
        <v>479</v>
      </c>
      <c r="D9" s="962"/>
      <c r="E9" s="962"/>
      <c r="F9" s="962"/>
      <c r="G9" s="963"/>
    </row>
    <row r="10" spans="1:11" ht="18" customHeight="1" x14ac:dyDescent="0.4">
      <c r="B10" s="183" t="s">
        <v>2</v>
      </c>
      <c r="C10" s="970" t="s">
        <v>434</v>
      </c>
      <c r="D10" s="971"/>
      <c r="E10" s="971"/>
      <c r="F10" s="971"/>
      <c r="G10" s="972"/>
    </row>
    <row r="11" spans="1:11" ht="18" customHeight="1" x14ac:dyDescent="0.4">
      <c r="B11" s="183" t="s">
        <v>32</v>
      </c>
      <c r="C11" s="1020" t="s">
        <v>480</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3187003</v>
      </c>
      <c r="I18" s="144">
        <v>0</v>
      </c>
      <c r="J18" s="556">
        <v>2649442</v>
      </c>
      <c r="K18" s="557">
        <f>(H18+I18)-J18</f>
        <v>537561</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475.71</v>
      </c>
      <c r="G21" s="555">
        <v>2717</v>
      </c>
      <c r="H21" s="556">
        <v>15317</v>
      </c>
      <c r="I21" s="144">
        <v>6839</v>
      </c>
      <c r="J21" s="556"/>
      <c r="K21" s="557">
        <f t="shared" ref="K21:K34" si="0">(H21+I21)-J21</f>
        <v>22156</v>
      </c>
    </row>
    <row r="22" spans="1:11" ht="18" customHeight="1" x14ac:dyDescent="0.4">
      <c r="A22" s="183" t="s">
        <v>76</v>
      </c>
      <c r="B22" s="189" t="s">
        <v>6</v>
      </c>
      <c r="F22" s="555"/>
      <c r="G22" s="555"/>
      <c r="H22" s="556"/>
      <c r="I22" s="144">
        <f t="shared" ref="I22:I34" si="1">H22*F$114</f>
        <v>0</v>
      </c>
      <c r="J22" s="556"/>
      <c r="K22" s="557">
        <f t="shared" si="0"/>
        <v>0</v>
      </c>
    </row>
    <row r="23" spans="1:11" ht="18" customHeight="1" x14ac:dyDescent="0.4">
      <c r="A23" s="183" t="s">
        <v>77</v>
      </c>
      <c r="B23" s="189" t="s">
        <v>43</v>
      </c>
      <c r="F23" s="555"/>
      <c r="G23" s="555"/>
      <c r="H23" s="556"/>
      <c r="I23" s="144">
        <f t="shared" si="1"/>
        <v>0</v>
      </c>
      <c r="J23" s="556"/>
      <c r="K23" s="557">
        <f t="shared" si="0"/>
        <v>0</v>
      </c>
    </row>
    <row r="24" spans="1:11" ht="18" customHeight="1" x14ac:dyDescent="0.4">
      <c r="A24" s="183" t="s">
        <v>78</v>
      </c>
      <c r="B24" s="189" t="s">
        <v>44</v>
      </c>
      <c r="F24" s="555">
        <v>244.09</v>
      </c>
      <c r="G24" s="555">
        <v>777</v>
      </c>
      <c r="H24" s="556">
        <v>6845</v>
      </c>
      <c r="I24" s="144">
        <v>2409</v>
      </c>
      <c r="J24" s="556"/>
      <c r="K24" s="557">
        <f t="shared" si="0"/>
        <v>9254</v>
      </c>
    </row>
    <row r="25" spans="1:11" ht="18" customHeight="1" x14ac:dyDescent="0.4">
      <c r="A25" s="183" t="s">
        <v>79</v>
      </c>
      <c r="B25" s="189" t="s">
        <v>5</v>
      </c>
      <c r="F25" s="555"/>
      <c r="G25" s="555"/>
      <c r="H25" s="556"/>
      <c r="I25" s="144">
        <f t="shared" si="1"/>
        <v>0</v>
      </c>
      <c r="J25" s="556"/>
      <c r="K25" s="557">
        <f t="shared" si="0"/>
        <v>0</v>
      </c>
    </row>
    <row r="26" spans="1:11" ht="18" customHeight="1" x14ac:dyDescent="0.4">
      <c r="A26" s="183" t="s">
        <v>80</v>
      </c>
      <c r="B26" s="189" t="s">
        <v>45</v>
      </c>
      <c r="F26" s="555"/>
      <c r="G26" s="555"/>
      <c r="H26" s="556"/>
      <c r="I26" s="144">
        <f t="shared" si="1"/>
        <v>0</v>
      </c>
      <c r="J26" s="556"/>
      <c r="K26" s="557">
        <f t="shared" si="0"/>
        <v>0</v>
      </c>
    </row>
    <row r="27" spans="1:11" ht="18" customHeight="1" x14ac:dyDescent="0.4">
      <c r="A27" s="183" t="s">
        <v>81</v>
      </c>
      <c r="B27" s="189" t="s">
        <v>498</v>
      </c>
      <c r="F27" s="555"/>
      <c r="G27" s="555"/>
      <c r="H27" s="556"/>
      <c r="I27" s="144">
        <f t="shared" si="1"/>
        <v>0</v>
      </c>
      <c r="J27" s="556"/>
      <c r="K27" s="557">
        <f t="shared" si="0"/>
        <v>0</v>
      </c>
    </row>
    <row r="28" spans="1:11" ht="18" customHeight="1" x14ac:dyDescent="0.4">
      <c r="A28" s="183" t="s">
        <v>82</v>
      </c>
      <c r="B28" s="189" t="s">
        <v>47</v>
      </c>
      <c r="F28" s="555"/>
      <c r="G28" s="555"/>
      <c r="H28" s="556"/>
      <c r="I28" s="144">
        <f t="shared" si="1"/>
        <v>0</v>
      </c>
      <c r="J28" s="556"/>
      <c r="K28" s="557">
        <f t="shared" si="0"/>
        <v>0</v>
      </c>
    </row>
    <row r="29" spans="1:11" ht="18" customHeight="1" x14ac:dyDescent="0.4">
      <c r="A29" s="183" t="s">
        <v>83</v>
      </c>
      <c r="B29" s="189" t="s">
        <v>48</v>
      </c>
      <c r="F29" s="555">
        <v>256</v>
      </c>
      <c r="G29" s="555">
        <v>652</v>
      </c>
      <c r="H29" s="556">
        <v>10269</v>
      </c>
      <c r="I29" s="144">
        <v>6619</v>
      </c>
      <c r="J29" s="556"/>
      <c r="K29" s="557">
        <f t="shared" si="0"/>
        <v>16888</v>
      </c>
    </row>
    <row r="30" spans="1:11" ht="18" customHeight="1" x14ac:dyDescent="0.4">
      <c r="A30" s="183" t="s">
        <v>84</v>
      </c>
      <c r="B30" s="951" t="s">
        <v>763</v>
      </c>
      <c r="C30" s="952"/>
      <c r="D30" s="953"/>
      <c r="F30" s="555">
        <v>556.25</v>
      </c>
      <c r="G30" s="555">
        <v>76</v>
      </c>
      <c r="H30" s="556">
        <v>8242</v>
      </c>
      <c r="I30" s="144">
        <v>0</v>
      </c>
      <c r="J30" s="556"/>
      <c r="K30" s="557">
        <f t="shared" si="0"/>
        <v>8242</v>
      </c>
    </row>
    <row r="31" spans="1:11" ht="18" customHeight="1" x14ac:dyDescent="0.4">
      <c r="A31" s="183" t="s">
        <v>133</v>
      </c>
      <c r="B31" s="951"/>
      <c r="C31" s="952"/>
      <c r="D31" s="953"/>
      <c r="F31" s="555"/>
      <c r="G31" s="555"/>
      <c r="H31" s="556"/>
      <c r="I31" s="144">
        <f t="shared" si="1"/>
        <v>0</v>
      </c>
      <c r="J31" s="556"/>
      <c r="K31" s="557">
        <f t="shared" si="0"/>
        <v>0</v>
      </c>
    </row>
    <row r="32" spans="1:11" ht="18" customHeight="1" x14ac:dyDescent="0.4">
      <c r="A32" s="183" t="s">
        <v>134</v>
      </c>
      <c r="B32" s="500"/>
      <c r="C32" s="501"/>
      <c r="D32" s="502"/>
      <c r="F32" s="555"/>
      <c r="G32" s="558" t="s">
        <v>85</v>
      </c>
      <c r="H32" s="556"/>
      <c r="I32" s="144">
        <f t="shared" si="1"/>
        <v>0</v>
      </c>
      <c r="J32" s="556"/>
      <c r="K32" s="557">
        <f t="shared" si="0"/>
        <v>0</v>
      </c>
    </row>
    <row r="33" spans="1:11" ht="18" customHeight="1" x14ac:dyDescent="0.4">
      <c r="A33" s="183" t="s">
        <v>135</v>
      </c>
      <c r="B33" s="500"/>
      <c r="C33" s="501"/>
      <c r="D33" s="502"/>
      <c r="F33" s="555"/>
      <c r="G33" s="558" t="s">
        <v>85</v>
      </c>
      <c r="H33" s="556"/>
      <c r="I33" s="144">
        <f t="shared" si="1"/>
        <v>0</v>
      </c>
      <c r="J33" s="556"/>
      <c r="K33" s="557">
        <f t="shared" si="0"/>
        <v>0</v>
      </c>
    </row>
    <row r="34" spans="1:11" ht="18" customHeight="1" x14ac:dyDescent="0.4">
      <c r="A34" s="183" t="s">
        <v>136</v>
      </c>
      <c r="B34" s="951"/>
      <c r="C34" s="952"/>
      <c r="D34" s="953"/>
      <c r="F34" s="555"/>
      <c r="G34" s="558" t="s">
        <v>85</v>
      </c>
      <c r="H34" s="556"/>
      <c r="I34" s="144">
        <f t="shared" si="1"/>
        <v>0</v>
      </c>
      <c r="J34" s="556"/>
      <c r="K34" s="557">
        <f t="shared" si="0"/>
        <v>0</v>
      </c>
    </row>
    <row r="35" spans="1:11" ht="18" customHeight="1" x14ac:dyDescent="0.35">
      <c r="K35" s="559"/>
    </row>
    <row r="36" spans="1:11" ht="18" customHeight="1" x14ac:dyDescent="0.4">
      <c r="A36" s="120" t="s">
        <v>137</v>
      </c>
      <c r="B36" s="117" t="s">
        <v>138</v>
      </c>
      <c r="E36" s="117" t="s">
        <v>7</v>
      </c>
      <c r="F36" s="560">
        <f t="shared" ref="F36:K36" si="2">SUM(F21:F34)</f>
        <v>1532.05</v>
      </c>
      <c r="G36" s="560">
        <f t="shared" si="2"/>
        <v>4222</v>
      </c>
      <c r="H36" s="560">
        <f t="shared" si="2"/>
        <v>40673</v>
      </c>
      <c r="I36" s="557">
        <f t="shared" si="2"/>
        <v>15867</v>
      </c>
      <c r="J36" s="557">
        <f t="shared" si="2"/>
        <v>0</v>
      </c>
      <c r="K36" s="557">
        <f t="shared" si="2"/>
        <v>56540</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27.5</v>
      </c>
      <c r="G40" s="555">
        <v>12</v>
      </c>
      <c r="H40" s="556">
        <v>2139</v>
      </c>
      <c r="I40" s="144">
        <v>1540</v>
      </c>
      <c r="J40" s="556"/>
      <c r="K40" s="557">
        <f t="shared" ref="K40:K47" si="3">(H40+I40)-J40</f>
        <v>3679</v>
      </c>
    </row>
    <row r="41" spans="1:11" ht="18" customHeight="1" x14ac:dyDescent="0.4">
      <c r="A41" s="183" t="s">
        <v>88</v>
      </c>
      <c r="B41" s="956" t="s">
        <v>50</v>
      </c>
      <c r="C41" s="957"/>
      <c r="F41" s="555">
        <v>2238.1</v>
      </c>
      <c r="G41" s="555">
        <v>152</v>
      </c>
      <c r="H41" s="556">
        <v>92823</v>
      </c>
      <c r="I41" s="144">
        <v>66834</v>
      </c>
      <c r="J41" s="556"/>
      <c r="K41" s="557">
        <f t="shared" si="3"/>
        <v>159657</v>
      </c>
    </row>
    <row r="42" spans="1:11" ht="18" customHeight="1" x14ac:dyDescent="0.4">
      <c r="A42" s="183" t="s">
        <v>89</v>
      </c>
      <c r="B42" s="116" t="s">
        <v>11</v>
      </c>
      <c r="F42" s="555">
        <v>180</v>
      </c>
      <c r="G42" s="555">
        <v>2</v>
      </c>
      <c r="H42" s="556">
        <v>7322</v>
      </c>
      <c r="I42" s="144">
        <v>5272</v>
      </c>
      <c r="J42" s="556"/>
      <c r="K42" s="557">
        <f t="shared" si="3"/>
        <v>12594</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2445.6</v>
      </c>
      <c r="G49" s="563">
        <f t="shared" si="4"/>
        <v>166</v>
      </c>
      <c r="H49" s="557">
        <f t="shared" si="4"/>
        <v>102284</v>
      </c>
      <c r="I49" s="557">
        <f t="shared" si="4"/>
        <v>73646</v>
      </c>
      <c r="J49" s="557">
        <f t="shared" si="4"/>
        <v>0</v>
      </c>
      <c r="K49" s="557">
        <f t="shared" si="4"/>
        <v>175930</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c r="C53" s="979"/>
      <c r="D53" s="975"/>
      <c r="F53" s="555"/>
      <c r="G53" s="555"/>
      <c r="H53" s="556"/>
      <c r="I53" s="144">
        <v>0</v>
      </c>
      <c r="J53" s="556"/>
      <c r="K53" s="557">
        <f t="shared" ref="K53:K62" si="5">(H53+I53)-J53</f>
        <v>0</v>
      </c>
    </row>
    <row r="54" spans="1:11" ht="18" customHeight="1" x14ac:dyDescent="0.4">
      <c r="A54" s="183" t="s">
        <v>93</v>
      </c>
      <c r="B54" s="503"/>
      <c r="C54" s="504"/>
      <c r="D54" s="505"/>
      <c r="F54" s="555"/>
      <c r="G54" s="555"/>
      <c r="H54" s="556"/>
      <c r="I54" s="144">
        <v>0</v>
      </c>
      <c r="J54" s="556"/>
      <c r="K54" s="557">
        <f t="shared" si="5"/>
        <v>0</v>
      </c>
    </row>
    <row r="55" spans="1:11" ht="18" customHeight="1" x14ac:dyDescent="0.4">
      <c r="A55" s="183" t="s">
        <v>94</v>
      </c>
      <c r="B55" s="980" t="s">
        <v>764</v>
      </c>
      <c r="C55" s="974"/>
      <c r="D55" s="975"/>
      <c r="F55" s="555">
        <v>0</v>
      </c>
      <c r="G55" s="555">
        <v>0</v>
      </c>
      <c r="H55" s="556">
        <v>17252528</v>
      </c>
      <c r="I55" s="144">
        <v>0</v>
      </c>
      <c r="J55" s="556">
        <v>8021424</v>
      </c>
      <c r="K55" s="557">
        <f t="shared" si="5"/>
        <v>9231104</v>
      </c>
    </row>
    <row r="56" spans="1:11" ht="18" customHeight="1" x14ac:dyDescent="0.4">
      <c r="A56" s="183" t="s">
        <v>95</v>
      </c>
      <c r="B56" s="980"/>
      <c r="C56" s="974"/>
      <c r="D56" s="975"/>
      <c r="F56" s="555"/>
      <c r="G56" s="555"/>
      <c r="H56" s="556"/>
      <c r="I56" s="144">
        <v>0</v>
      </c>
      <c r="J56" s="556"/>
      <c r="K56" s="557">
        <f t="shared" si="5"/>
        <v>0</v>
      </c>
    </row>
    <row r="57" spans="1:11" ht="18" customHeight="1" x14ac:dyDescent="0.4">
      <c r="A57" s="183" t="s">
        <v>96</v>
      </c>
      <c r="B57" s="980"/>
      <c r="C57" s="974"/>
      <c r="D57" s="975"/>
      <c r="F57" s="555"/>
      <c r="G57" s="555"/>
      <c r="H57" s="556"/>
      <c r="I57" s="144">
        <v>0</v>
      </c>
      <c r="J57" s="556"/>
      <c r="K57" s="557">
        <f t="shared" si="5"/>
        <v>0</v>
      </c>
    </row>
    <row r="58" spans="1:11" ht="18" customHeight="1" x14ac:dyDescent="0.4">
      <c r="A58" s="183" t="s">
        <v>97</v>
      </c>
      <c r="B58" s="503"/>
      <c r="C58" s="504"/>
      <c r="D58" s="505"/>
      <c r="F58" s="555"/>
      <c r="G58" s="555"/>
      <c r="H58" s="556"/>
      <c r="I58" s="144">
        <v>0</v>
      </c>
      <c r="J58" s="556"/>
      <c r="K58" s="557">
        <f t="shared" si="5"/>
        <v>0</v>
      </c>
    </row>
    <row r="59" spans="1:11" ht="18" customHeight="1" x14ac:dyDescent="0.4">
      <c r="A59" s="183" t="s">
        <v>98</v>
      </c>
      <c r="B59" s="980" t="s">
        <v>324</v>
      </c>
      <c r="C59" s="974"/>
      <c r="D59" s="975"/>
      <c r="F59" s="555">
        <v>16424.009999999998</v>
      </c>
      <c r="G59" s="555">
        <v>88</v>
      </c>
      <c r="H59" s="556">
        <v>561191</v>
      </c>
      <c r="I59" s="144">
        <v>0</v>
      </c>
      <c r="J59" s="556">
        <v>506873</v>
      </c>
      <c r="K59" s="557">
        <f t="shared" si="5"/>
        <v>54318</v>
      </c>
    </row>
    <row r="60" spans="1:11" ht="18" customHeight="1" x14ac:dyDescent="0.4">
      <c r="A60" s="183" t="s">
        <v>99</v>
      </c>
      <c r="B60" s="503"/>
      <c r="C60" s="504"/>
      <c r="D60" s="505"/>
      <c r="F60" s="555"/>
      <c r="G60" s="555"/>
      <c r="H60" s="556"/>
      <c r="I60" s="144">
        <v>0</v>
      </c>
      <c r="J60" s="556"/>
      <c r="K60" s="557">
        <f t="shared" si="5"/>
        <v>0</v>
      </c>
    </row>
    <row r="61" spans="1:11" ht="18" customHeight="1" x14ac:dyDescent="0.4">
      <c r="A61" s="183" t="s">
        <v>100</v>
      </c>
      <c r="B61" s="503"/>
      <c r="C61" s="504"/>
      <c r="D61" s="505"/>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16424.009999999998</v>
      </c>
      <c r="G64" s="560">
        <f t="shared" si="6"/>
        <v>88</v>
      </c>
      <c r="H64" s="557">
        <f t="shared" si="6"/>
        <v>17813719</v>
      </c>
      <c r="I64" s="557">
        <f t="shared" si="6"/>
        <v>0</v>
      </c>
      <c r="J64" s="557">
        <f t="shared" si="6"/>
        <v>8528297</v>
      </c>
      <c r="K64" s="557">
        <f t="shared" si="6"/>
        <v>9285422</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v>0</v>
      </c>
      <c r="G68" s="564">
        <v>0</v>
      </c>
      <c r="H68" s="564">
        <v>7568</v>
      </c>
      <c r="I68" s="144">
        <v>0</v>
      </c>
      <c r="J68" s="564"/>
      <c r="K68" s="557">
        <f>(H68+I68)-J68</f>
        <v>7568</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0</v>
      </c>
      <c r="G74" s="566">
        <f t="shared" si="7"/>
        <v>0</v>
      </c>
      <c r="H74" s="566">
        <f t="shared" si="7"/>
        <v>7568</v>
      </c>
      <c r="I74" s="145">
        <f t="shared" si="7"/>
        <v>0</v>
      </c>
      <c r="J74" s="566">
        <f t="shared" si="7"/>
        <v>0</v>
      </c>
      <c r="K74" s="567">
        <f t="shared" si="7"/>
        <v>7568</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c r="I77" s="144">
        <v>0</v>
      </c>
      <c r="J77" s="556"/>
      <c r="K77" s="557">
        <f>(H77+I77)-J77</f>
        <v>0</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2798.06</v>
      </c>
      <c r="G79" s="555">
        <v>29973</v>
      </c>
      <c r="H79" s="556">
        <v>325667</v>
      </c>
      <c r="I79" s="144">
        <v>3247</v>
      </c>
      <c r="J79" s="556">
        <v>211571</v>
      </c>
      <c r="K79" s="557">
        <f>(H79+I79)-J79</f>
        <v>117343</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2798.06</v>
      </c>
      <c r="G82" s="566">
        <f t="shared" si="8"/>
        <v>29973</v>
      </c>
      <c r="H82" s="567">
        <f t="shared" si="8"/>
        <v>325667</v>
      </c>
      <c r="I82" s="567">
        <f t="shared" si="8"/>
        <v>3247</v>
      </c>
      <c r="J82" s="567">
        <f t="shared" si="8"/>
        <v>211571</v>
      </c>
      <c r="K82" s="567">
        <f t="shared" si="8"/>
        <v>117343</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9">H86*F$114</f>
        <v>0</v>
      </c>
      <c r="J86" s="556"/>
      <c r="K86" s="557">
        <f t="shared" ref="K86:K96" si="10">(H86+I86)-J86</f>
        <v>0</v>
      </c>
    </row>
    <row r="87" spans="1:11" ht="18" customHeight="1" x14ac:dyDescent="0.4">
      <c r="A87" s="183" t="s">
        <v>114</v>
      </c>
      <c r="B87" s="116" t="s">
        <v>14</v>
      </c>
      <c r="F87" s="555">
        <v>80.5</v>
      </c>
      <c r="G87" s="555">
        <v>0</v>
      </c>
      <c r="H87" s="556">
        <v>21792</v>
      </c>
      <c r="I87" s="144">
        <v>0</v>
      </c>
      <c r="J87" s="556"/>
      <c r="K87" s="557">
        <f t="shared" si="10"/>
        <v>21792</v>
      </c>
    </row>
    <row r="88" spans="1:11" ht="18" customHeight="1" x14ac:dyDescent="0.4">
      <c r="A88" s="183" t="s">
        <v>115</v>
      </c>
      <c r="B88" s="116" t="s">
        <v>116</v>
      </c>
      <c r="F88" s="555">
        <v>21</v>
      </c>
      <c r="G88" s="555">
        <v>60</v>
      </c>
      <c r="H88" s="556">
        <v>5190</v>
      </c>
      <c r="I88" s="144">
        <v>153</v>
      </c>
      <c r="J88" s="556"/>
      <c r="K88" s="557">
        <f t="shared" si="10"/>
        <v>5343</v>
      </c>
    </row>
    <row r="89" spans="1:11" ht="18" customHeight="1" x14ac:dyDescent="0.4">
      <c r="A89" s="183" t="s">
        <v>117</v>
      </c>
      <c r="B89" s="116" t="s">
        <v>58</v>
      </c>
      <c r="F89" s="555"/>
      <c r="G89" s="555"/>
      <c r="H89" s="556"/>
      <c r="I89" s="144">
        <f t="shared" si="9"/>
        <v>0</v>
      </c>
      <c r="J89" s="556"/>
      <c r="K89" s="557">
        <f t="shared" si="10"/>
        <v>0</v>
      </c>
    </row>
    <row r="90" spans="1:11" ht="18" customHeight="1" x14ac:dyDescent="0.4">
      <c r="A90" s="183" t="s">
        <v>118</v>
      </c>
      <c r="B90" s="956" t="s">
        <v>59</v>
      </c>
      <c r="C90" s="957"/>
      <c r="F90" s="555">
        <v>8.5</v>
      </c>
      <c r="G90" s="555">
        <v>30</v>
      </c>
      <c r="H90" s="556">
        <v>2074</v>
      </c>
      <c r="I90" s="144">
        <v>598</v>
      </c>
      <c r="J90" s="556"/>
      <c r="K90" s="557">
        <f t="shared" si="10"/>
        <v>2672</v>
      </c>
    </row>
    <row r="91" spans="1:11" ht="18" customHeight="1" x14ac:dyDescent="0.4">
      <c r="A91" s="183" t="s">
        <v>119</v>
      </c>
      <c r="B91" s="116" t="s">
        <v>60</v>
      </c>
      <c r="F91" s="555"/>
      <c r="G91" s="555"/>
      <c r="H91" s="556"/>
      <c r="I91" s="144">
        <f t="shared" si="9"/>
        <v>0</v>
      </c>
      <c r="J91" s="556"/>
      <c r="K91" s="557">
        <f t="shared" si="10"/>
        <v>0</v>
      </c>
    </row>
    <row r="92" spans="1:11" ht="18" customHeight="1" x14ac:dyDescent="0.4">
      <c r="A92" s="183" t="s">
        <v>120</v>
      </c>
      <c r="B92" s="116" t="s">
        <v>121</v>
      </c>
      <c r="F92" s="134"/>
      <c r="G92" s="134"/>
      <c r="H92" s="135"/>
      <c r="I92" s="144">
        <f t="shared" si="9"/>
        <v>0</v>
      </c>
      <c r="J92" s="135"/>
      <c r="K92" s="557">
        <f t="shared" si="10"/>
        <v>0</v>
      </c>
    </row>
    <row r="93" spans="1:11" ht="18" customHeight="1" x14ac:dyDescent="0.4">
      <c r="A93" s="183" t="s">
        <v>122</v>
      </c>
      <c r="B93" s="116" t="s">
        <v>123</v>
      </c>
      <c r="F93" s="555"/>
      <c r="G93" s="555"/>
      <c r="H93" s="556"/>
      <c r="I93" s="144">
        <f t="shared" si="9"/>
        <v>0</v>
      </c>
      <c r="J93" s="556"/>
      <c r="K93" s="557">
        <f t="shared" si="10"/>
        <v>0</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110</v>
      </c>
      <c r="G98" s="560">
        <f t="shared" si="11"/>
        <v>90</v>
      </c>
      <c r="H98" s="560">
        <f t="shared" si="11"/>
        <v>29056</v>
      </c>
      <c r="I98" s="560">
        <f t="shared" si="11"/>
        <v>751</v>
      </c>
      <c r="J98" s="560">
        <f t="shared" si="11"/>
        <v>0</v>
      </c>
      <c r="K98" s="560">
        <f t="shared" si="11"/>
        <v>29807</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2080</v>
      </c>
      <c r="G102" s="555">
        <v>0</v>
      </c>
      <c r="H102" s="556">
        <v>73032</v>
      </c>
      <c r="I102" s="144">
        <v>0</v>
      </c>
      <c r="J102" s="556"/>
      <c r="K102" s="557">
        <f>(H102+I102)-J102</f>
        <v>73032</v>
      </c>
    </row>
    <row r="103" spans="1:11" ht="18" customHeight="1" x14ac:dyDescent="0.4">
      <c r="A103" s="183" t="s">
        <v>132</v>
      </c>
      <c r="B103" s="956" t="s">
        <v>62</v>
      </c>
      <c r="C103" s="956"/>
      <c r="F103" s="555">
        <v>1.75</v>
      </c>
      <c r="G103" s="555">
        <v>68</v>
      </c>
      <c r="H103" s="556">
        <v>360</v>
      </c>
      <c r="I103" s="144">
        <v>0</v>
      </c>
      <c r="J103" s="556"/>
      <c r="K103" s="557">
        <f>(H103+I103)-J103</f>
        <v>360</v>
      </c>
    </row>
    <row r="104" spans="1:11" ht="18" customHeight="1" x14ac:dyDescent="0.4">
      <c r="A104" s="183" t="s">
        <v>128</v>
      </c>
      <c r="B104" s="973" t="s">
        <v>318</v>
      </c>
      <c r="C104" s="974"/>
      <c r="D104" s="975"/>
      <c r="F104" s="555">
        <v>0</v>
      </c>
      <c r="G104" s="555">
        <v>0</v>
      </c>
      <c r="H104" s="556">
        <v>15650</v>
      </c>
      <c r="I104" s="144">
        <v>0</v>
      </c>
      <c r="J104" s="556"/>
      <c r="K104" s="557">
        <f>(H104+I104)-J104</f>
        <v>15650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2081.75</v>
      </c>
      <c r="G108" s="560">
        <f t="shared" si="12"/>
        <v>68</v>
      </c>
      <c r="H108" s="557">
        <f t="shared" si="12"/>
        <v>89042</v>
      </c>
      <c r="I108" s="557">
        <f t="shared" si="12"/>
        <v>0</v>
      </c>
      <c r="J108" s="557">
        <f t="shared" si="12"/>
        <v>0</v>
      </c>
      <c r="K108" s="557">
        <f t="shared" si="12"/>
        <v>89042</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1836442</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0.72</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153762303</v>
      </c>
    </row>
    <row r="118" spans="1:6" ht="18" customHeight="1" x14ac:dyDescent="0.4">
      <c r="A118" s="183" t="s">
        <v>173</v>
      </c>
      <c r="B118" s="189" t="s">
        <v>18</v>
      </c>
      <c r="F118" s="556">
        <v>2874119</v>
      </c>
    </row>
    <row r="119" spans="1:6" ht="18" customHeight="1" x14ac:dyDescent="0.4">
      <c r="A119" s="183" t="s">
        <v>174</v>
      </c>
      <c r="B119" s="117" t="s">
        <v>19</v>
      </c>
      <c r="F119" s="567">
        <f>SUM(F117:F118)</f>
        <v>156636422</v>
      </c>
    </row>
    <row r="120" spans="1:6" ht="18" customHeight="1" x14ac:dyDescent="0.4">
      <c r="A120" s="183"/>
      <c r="B120" s="117"/>
    </row>
    <row r="121" spans="1:6" ht="18" customHeight="1" x14ac:dyDescent="0.4">
      <c r="A121" s="183" t="s">
        <v>167</v>
      </c>
      <c r="B121" s="117" t="s">
        <v>36</v>
      </c>
      <c r="F121" s="556">
        <v>162448177</v>
      </c>
    </row>
    <row r="122" spans="1:6" ht="18" customHeight="1" x14ac:dyDescent="0.4">
      <c r="A122" s="183"/>
    </row>
    <row r="123" spans="1:6" ht="18" customHeight="1" x14ac:dyDescent="0.4">
      <c r="A123" s="183" t="s">
        <v>175</v>
      </c>
      <c r="B123" s="117" t="s">
        <v>20</v>
      </c>
      <c r="F123" s="556">
        <v>-5811755</v>
      </c>
    </row>
    <row r="124" spans="1:6" ht="18" customHeight="1" x14ac:dyDescent="0.4">
      <c r="A124" s="183"/>
    </row>
    <row r="125" spans="1:6" ht="18" customHeight="1" x14ac:dyDescent="0.4">
      <c r="A125" s="183" t="s">
        <v>176</v>
      </c>
      <c r="B125" s="117" t="s">
        <v>21</v>
      </c>
      <c r="F125" s="556">
        <v>1338846</v>
      </c>
    </row>
    <row r="126" spans="1:6" ht="18" customHeight="1" x14ac:dyDescent="0.4">
      <c r="A126" s="183"/>
    </row>
    <row r="127" spans="1:6" ht="18" customHeight="1" x14ac:dyDescent="0.4">
      <c r="A127" s="183" t="s">
        <v>177</v>
      </c>
      <c r="B127" s="117" t="s">
        <v>22</v>
      </c>
      <c r="F127" s="556">
        <v>-4472909</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v>0</v>
      </c>
      <c r="G131" s="555">
        <v>46</v>
      </c>
      <c r="H131" s="556">
        <v>7449</v>
      </c>
      <c r="I131" s="144">
        <v>0</v>
      </c>
      <c r="J131" s="556">
        <v>7449</v>
      </c>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46</v>
      </c>
      <c r="H137" s="557">
        <f t="shared" si="13"/>
        <v>7449</v>
      </c>
      <c r="I137" s="557">
        <f t="shared" si="13"/>
        <v>0</v>
      </c>
      <c r="J137" s="557">
        <f t="shared" si="13"/>
        <v>7449</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1532.05</v>
      </c>
      <c r="G141" s="136">
        <f t="shared" si="14"/>
        <v>4222</v>
      </c>
      <c r="H141" s="136">
        <f t="shared" si="14"/>
        <v>40673</v>
      </c>
      <c r="I141" s="136">
        <f t="shared" si="14"/>
        <v>15867</v>
      </c>
      <c r="J141" s="136">
        <f t="shared" si="14"/>
        <v>0</v>
      </c>
      <c r="K141" s="136">
        <f t="shared" si="14"/>
        <v>56540</v>
      </c>
    </row>
    <row r="142" spans="1:11" ht="18" customHeight="1" x14ac:dyDescent="0.4">
      <c r="A142" s="183" t="s">
        <v>142</v>
      </c>
      <c r="B142" s="117" t="s">
        <v>65</v>
      </c>
      <c r="F142" s="136">
        <f t="shared" ref="F142:K142" si="15">F49</f>
        <v>2445.6</v>
      </c>
      <c r="G142" s="136">
        <f t="shared" si="15"/>
        <v>166</v>
      </c>
      <c r="H142" s="136">
        <f t="shared" si="15"/>
        <v>102284</v>
      </c>
      <c r="I142" s="136">
        <f t="shared" si="15"/>
        <v>73646</v>
      </c>
      <c r="J142" s="136">
        <f t="shared" si="15"/>
        <v>0</v>
      </c>
      <c r="K142" s="136">
        <f t="shared" si="15"/>
        <v>175930</v>
      </c>
    </row>
    <row r="143" spans="1:11" ht="18" customHeight="1" x14ac:dyDescent="0.4">
      <c r="A143" s="183" t="s">
        <v>144</v>
      </c>
      <c r="B143" s="117" t="s">
        <v>66</v>
      </c>
      <c r="F143" s="136">
        <f t="shared" ref="F143:K143" si="16">F64</f>
        <v>16424.009999999998</v>
      </c>
      <c r="G143" s="136">
        <f t="shared" si="16"/>
        <v>88</v>
      </c>
      <c r="H143" s="136">
        <f t="shared" si="16"/>
        <v>17813719</v>
      </c>
      <c r="I143" s="136">
        <f t="shared" si="16"/>
        <v>0</v>
      </c>
      <c r="J143" s="136">
        <f t="shared" si="16"/>
        <v>8528297</v>
      </c>
      <c r="K143" s="136">
        <f t="shared" si="16"/>
        <v>9285422</v>
      </c>
    </row>
    <row r="144" spans="1:11" ht="18" customHeight="1" x14ac:dyDescent="0.4">
      <c r="A144" s="183" t="s">
        <v>146</v>
      </c>
      <c r="B144" s="117" t="s">
        <v>67</v>
      </c>
      <c r="F144" s="136">
        <f t="shared" ref="F144:K144" si="17">F74</f>
        <v>0</v>
      </c>
      <c r="G144" s="136">
        <f t="shared" si="17"/>
        <v>0</v>
      </c>
      <c r="H144" s="136">
        <f t="shared" si="17"/>
        <v>7568</v>
      </c>
      <c r="I144" s="136">
        <f t="shared" si="17"/>
        <v>0</v>
      </c>
      <c r="J144" s="136">
        <f t="shared" si="17"/>
        <v>0</v>
      </c>
      <c r="K144" s="136">
        <f t="shared" si="17"/>
        <v>7568</v>
      </c>
    </row>
    <row r="145" spans="1:11" ht="18" customHeight="1" x14ac:dyDescent="0.4">
      <c r="A145" s="183" t="s">
        <v>148</v>
      </c>
      <c r="B145" s="117" t="s">
        <v>68</v>
      </c>
      <c r="F145" s="136">
        <f t="shared" ref="F145:K145" si="18">F82</f>
        <v>2798.06</v>
      </c>
      <c r="G145" s="136">
        <f t="shared" si="18"/>
        <v>29973</v>
      </c>
      <c r="H145" s="136">
        <f t="shared" si="18"/>
        <v>325667</v>
      </c>
      <c r="I145" s="136">
        <f t="shared" si="18"/>
        <v>3247</v>
      </c>
      <c r="J145" s="136">
        <f t="shared" si="18"/>
        <v>211571</v>
      </c>
      <c r="K145" s="136">
        <f t="shared" si="18"/>
        <v>117343</v>
      </c>
    </row>
    <row r="146" spans="1:11" ht="18" customHeight="1" x14ac:dyDescent="0.4">
      <c r="A146" s="183" t="s">
        <v>150</v>
      </c>
      <c r="B146" s="117" t="s">
        <v>69</v>
      </c>
      <c r="F146" s="136">
        <f t="shared" ref="F146:K146" si="19">F98</f>
        <v>110</v>
      </c>
      <c r="G146" s="136">
        <f t="shared" si="19"/>
        <v>90</v>
      </c>
      <c r="H146" s="136">
        <f t="shared" si="19"/>
        <v>29056</v>
      </c>
      <c r="I146" s="136">
        <f t="shared" si="19"/>
        <v>751</v>
      </c>
      <c r="J146" s="136">
        <f t="shared" si="19"/>
        <v>0</v>
      </c>
      <c r="K146" s="136">
        <f t="shared" si="19"/>
        <v>29807</v>
      </c>
    </row>
    <row r="147" spans="1:11" ht="18" customHeight="1" x14ac:dyDescent="0.4">
      <c r="A147" s="183" t="s">
        <v>153</v>
      </c>
      <c r="B147" s="117" t="s">
        <v>61</v>
      </c>
      <c r="F147" s="560">
        <f t="shared" ref="F147:K147" si="20">F108</f>
        <v>2081.75</v>
      </c>
      <c r="G147" s="560">
        <f t="shared" si="20"/>
        <v>68</v>
      </c>
      <c r="H147" s="560">
        <f t="shared" si="20"/>
        <v>89042</v>
      </c>
      <c r="I147" s="560">
        <f t="shared" si="20"/>
        <v>0</v>
      </c>
      <c r="J147" s="560">
        <f t="shared" si="20"/>
        <v>0</v>
      </c>
      <c r="K147" s="560">
        <f t="shared" si="20"/>
        <v>89042</v>
      </c>
    </row>
    <row r="148" spans="1:11" ht="18" customHeight="1" x14ac:dyDescent="0.4">
      <c r="A148" s="183" t="s">
        <v>155</v>
      </c>
      <c r="B148" s="117" t="s">
        <v>70</v>
      </c>
      <c r="F148" s="137" t="s">
        <v>73</v>
      </c>
      <c r="G148" s="137" t="s">
        <v>73</v>
      </c>
      <c r="H148" s="138" t="s">
        <v>73</v>
      </c>
      <c r="I148" s="138" t="s">
        <v>73</v>
      </c>
      <c r="J148" s="138" t="s">
        <v>73</v>
      </c>
      <c r="K148" s="133">
        <f>F111</f>
        <v>1836442</v>
      </c>
    </row>
    <row r="149" spans="1:11" ht="18" customHeight="1" x14ac:dyDescent="0.4">
      <c r="A149" s="183" t="s">
        <v>163</v>
      </c>
      <c r="B149" s="117" t="s">
        <v>71</v>
      </c>
      <c r="F149" s="560">
        <f t="shared" ref="F149:K149" si="21">F137</f>
        <v>0</v>
      </c>
      <c r="G149" s="560">
        <f t="shared" si="21"/>
        <v>46</v>
      </c>
      <c r="H149" s="560">
        <f t="shared" si="21"/>
        <v>7449</v>
      </c>
      <c r="I149" s="560">
        <f t="shared" si="21"/>
        <v>0</v>
      </c>
      <c r="J149" s="560">
        <f t="shared" si="21"/>
        <v>7449</v>
      </c>
      <c r="K149" s="560">
        <f t="shared" si="21"/>
        <v>0</v>
      </c>
    </row>
    <row r="150" spans="1:11" ht="18" customHeight="1" x14ac:dyDescent="0.4">
      <c r="A150" s="183" t="s">
        <v>185</v>
      </c>
      <c r="B150" s="117" t="s">
        <v>186</v>
      </c>
      <c r="F150" s="137" t="s">
        <v>73</v>
      </c>
      <c r="G150" s="137" t="s">
        <v>73</v>
      </c>
      <c r="H150" s="560">
        <v>3187003</v>
      </c>
      <c r="I150" s="560">
        <v>0</v>
      </c>
      <c r="J150" s="560">
        <v>2649442</v>
      </c>
      <c r="K150" s="560">
        <v>537561</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25391.469999999998</v>
      </c>
      <c r="G152" s="143">
        <f t="shared" si="22"/>
        <v>34653</v>
      </c>
      <c r="H152" s="143">
        <f t="shared" si="22"/>
        <v>21602461</v>
      </c>
      <c r="I152" s="143">
        <f t="shared" si="22"/>
        <v>93511</v>
      </c>
      <c r="J152" s="143">
        <f t="shared" si="22"/>
        <v>11396759</v>
      </c>
      <c r="K152" s="143">
        <f t="shared" si="22"/>
        <v>12135655</v>
      </c>
    </row>
    <row r="154" spans="1:11" ht="18" customHeight="1" x14ac:dyDescent="0.4">
      <c r="A154" s="120" t="s">
        <v>168</v>
      </c>
      <c r="B154" s="117" t="s">
        <v>28</v>
      </c>
      <c r="F154" s="571">
        <f>K152/F121</f>
        <v>7.4704778004372432E-2</v>
      </c>
    </row>
    <row r="155" spans="1:11" ht="18" customHeight="1" x14ac:dyDescent="0.4">
      <c r="A155" s="120" t="s">
        <v>169</v>
      </c>
      <c r="B155" s="117" t="s">
        <v>72</v>
      </c>
      <c r="F155" s="571">
        <f>K152/F127</f>
        <v>-2.7131459638458999</v>
      </c>
      <c r="G155" s="117"/>
    </row>
    <row r="156" spans="1:11" ht="18" customHeight="1" x14ac:dyDescent="0.4">
      <c r="G156" s="117"/>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156"/>
  <sheetViews>
    <sheetView showGridLines="0" topLeftCell="A46" zoomScale="80" zoomScaleNormal="80" zoomScaleSheetLayoutView="8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435</v>
      </c>
      <c r="D5" s="962"/>
      <c r="E5" s="962"/>
      <c r="F5" s="962"/>
      <c r="G5" s="963"/>
    </row>
    <row r="6" spans="1:11" ht="18" customHeight="1" x14ac:dyDescent="0.4">
      <c r="B6" s="183" t="s">
        <v>3</v>
      </c>
      <c r="C6" s="964" t="s">
        <v>268</v>
      </c>
      <c r="D6" s="965"/>
      <c r="E6" s="965"/>
      <c r="F6" s="965"/>
      <c r="G6" s="966"/>
    </row>
    <row r="7" spans="1:11" ht="18" customHeight="1" x14ac:dyDescent="0.4">
      <c r="B7" s="183" t="s">
        <v>4</v>
      </c>
      <c r="C7" s="1014">
        <v>1745</v>
      </c>
      <c r="D7" s="1015"/>
      <c r="E7" s="1015"/>
      <c r="F7" s="1015"/>
      <c r="G7" s="1016"/>
    </row>
    <row r="9" spans="1:11" ht="18" customHeight="1" x14ac:dyDescent="0.4">
      <c r="B9" s="183" t="s">
        <v>1</v>
      </c>
      <c r="C9" s="961" t="s">
        <v>269</v>
      </c>
      <c r="D9" s="962"/>
      <c r="E9" s="962"/>
      <c r="F9" s="962"/>
      <c r="G9" s="963"/>
    </row>
    <row r="10" spans="1:11" ht="18" customHeight="1" x14ac:dyDescent="0.4">
      <c r="B10" s="183" t="s">
        <v>2</v>
      </c>
      <c r="C10" s="970" t="s">
        <v>270</v>
      </c>
      <c r="D10" s="971"/>
      <c r="E10" s="971"/>
      <c r="F10" s="971"/>
      <c r="G10" s="972"/>
    </row>
    <row r="11" spans="1:11" ht="18" customHeight="1" x14ac:dyDescent="0.4">
      <c r="B11" s="183" t="s">
        <v>32</v>
      </c>
      <c r="C11" s="1020" t="s">
        <v>271</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4568353</v>
      </c>
      <c r="I18" s="144">
        <v>0</v>
      </c>
      <c r="J18" s="556">
        <v>3797796</v>
      </c>
      <c r="K18" s="557">
        <f>(H18+I18)-J18</f>
        <v>770557</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37900</v>
      </c>
      <c r="G21" s="555">
        <v>85954</v>
      </c>
      <c r="H21" s="556">
        <v>1675691</v>
      </c>
      <c r="I21" s="144">
        <f t="shared" ref="I21:I34" si="0">H21*F$114</f>
        <v>837845.5</v>
      </c>
      <c r="J21" s="556">
        <v>213610</v>
      </c>
      <c r="K21" s="557">
        <f t="shared" ref="K21:K34" si="1">(H21+I21)-J21</f>
        <v>2299926.5</v>
      </c>
    </row>
    <row r="22" spans="1:11" ht="18" customHeight="1" x14ac:dyDescent="0.4">
      <c r="A22" s="183" t="s">
        <v>76</v>
      </c>
      <c r="B22" s="189" t="s">
        <v>6</v>
      </c>
      <c r="F22" s="555">
        <v>89</v>
      </c>
      <c r="G22" s="555">
        <v>1820</v>
      </c>
      <c r="H22" s="556">
        <v>3612</v>
      </c>
      <c r="I22" s="144">
        <f t="shared" si="0"/>
        <v>1806</v>
      </c>
      <c r="J22" s="556"/>
      <c r="K22" s="557">
        <f t="shared" si="1"/>
        <v>5418</v>
      </c>
    </row>
    <row r="23" spans="1:11" ht="18" customHeight="1" x14ac:dyDescent="0.4">
      <c r="A23" s="183" t="s">
        <v>77</v>
      </c>
      <c r="B23" s="189" t="s">
        <v>43</v>
      </c>
      <c r="F23" s="555">
        <v>1337</v>
      </c>
      <c r="G23" s="555">
        <v>5769</v>
      </c>
      <c r="H23" s="556">
        <v>92138</v>
      </c>
      <c r="I23" s="144">
        <f t="shared" si="0"/>
        <v>46069</v>
      </c>
      <c r="J23" s="556"/>
      <c r="K23" s="557">
        <f t="shared" si="1"/>
        <v>138207</v>
      </c>
    </row>
    <row r="24" spans="1:11" ht="18" customHeight="1" x14ac:dyDescent="0.4">
      <c r="A24" s="183" t="s">
        <v>78</v>
      </c>
      <c r="B24" s="189" t="s">
        <v>44</v>
      </c>
      <c r="F24" s="555"/>
      <c r="G24" s="555"/>
      <c r="H24" s="556"/>
      <c r="I24" s="144">
        <f t="shared" si="0"/>
        <v>0</v>
      </c>
      <c r="J24" s="556"/>
      <c r="K24" s="557">
        <f t="shared" si="1"/>
        <v>0</v>
      </c>
    </row>
    <row r="25" spans="1:11" ht="18" customHeight="1" x14ac:dyDescent="0.4">
      <c r="A25" s="183" t="s">
        <v>79</v>
      </c>
      <c r="B25" s="189" t="s">
        <v>5</v>
      </c>
      <c r="F25" s="555">
        <v>14</v>
      </c>
      <c r="G25" s="555">
        <v>1881</v>
      </c>
      <c r="H25" s="556">
        <v>568</v>
      </c>
      <c r="I25" s="144">
        <f t="shared" si="0"/>
        <v>284</v>
      </c>
      <c r="J25" s="556"/>
      <c r="K25" s="557">
        <f t="shared" si="1"/>
        <v>852</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c r="G27" s="555"/>
      <c r="H27" s="556"/>
      <c r="I27" s="144">
        <f t="shared" si="0"/>
        <v>0</v>
      </c>
      <c r="J27" s="556"/>
      <c r="K27" s="557">
        <f t="shared" si="1"/>
        <v>0</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5">
        <v>2162</v>
      </c>
      <c r="G29" s="555">
        <v>163</v>
      </c>
      <c r="H29" s="556">
        <v>350037</v>
      </c>
      <c r="I29" s="144">
        <v>175018.5</v>
      </c>
      <c r="J29" s="556"/>
      <c r="K29" s="557">
        <f t="shared" si="1"/>
        <v>525055.5</v>
      </c>
    </row>
    <row r="30" spans="1:11" ht="18" customHeight="1" x14ac:dyDescent="0.4">
      <c r="A30" s="183" t="s">
        <v>84</v>
      </c>
      <c r="B30" s="1109" t="s">
        <v>272</v>
      </c>
      <c r="C30" s="1110"/>
      <c r="D30" s="1111"/>
      <c r="F30" s="555"/>
      <c r="G30" s="555">
        <v>153</v>
      </c>
      <c r="H30" s="556">
        <v>116841</v>
      </c>
      <c r="I30" s="144">
        <f t="shared" si="0"/>
        <v>58420.5</v>
      </c>
      <c r="J30" s="556"/>
      <c r="K30" s="557">
        <f t="shared" si="1"/>
        <v>175261.5</v>
      </c>
    </row>
    <row r="31" spans="1:11" ht="18" customHeight="1" x14ac:dyDescent="0.4">
      <c r="A31" s="183" t="s">
        <v>133</v>
      </c>
      <c r="B31" s="1109" t="s">
        <v>273</v>
      </c>
      <c r="C31" s="1110"/>
      <c r="D31" s="1111"/>
      <c r="F31" s="555">
        <v>1655</v>
      </c>
      <c r="G31" s="555">
        <v>47</v>
      </c>
      <c r="H31" s="556">
        <v>135187</v>
      </c>
      <c r="I31" s="144">
        <v>67593.5</v>
      </c>
      <c r="J31" s="556"/>
      <c r="K31" s="557">
        <f t="shared" si="1"/>
        <v>202780.5</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43157</v>
      </c>
      <c r="G36" s="560">
        <f t="shared" si="2"/>
        <v>95787</v>
      </c>
      <c r="H36" s="560">
        <f t="shared" si="2"/>
        <v>2374074</v>
      </c>
      <c r="I36" s="557">
        <f t="shared" si="2"/>
        <v>1187037</v>
      </c>
      <c r="J36" s="557">
        <f t="shared" si="2"/>
        <v>213610</v>
      </c>
      <c r="K36" s="557">
        <f t="shared" si="2"/>
        <v>3347501</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c r="G40" s="555"/>
      <c r="H40" s="556"/>
      <c r="I40" s="144">
        <v>0</v>
      </c>
      <c r="J40" s="556"/>
      <c r="K40" s="557">
        <f t="shared" ref="K40:K47" si="3">(H40+I40)-J40</f>
        <v>0</v>
      </c>
    </row>
    <row r="41" spans="1:11" ht="18" customHeight="1" x14ac:dyDescent="0.4">
      <c r="A41" s="183" t="s">
        <v>88</v>
      </c>
      <c r="B41" s="956" t="s">
        <v>50</v>
      </c>
      <c r="C41" s="957"/>
      <c r="F41" s="555">
        <v>1217</v>
      </c>
      <c r="G41" s="555">
        <v>165</v>
      </c>
      <c r="H41" s="556">
        <v>37423</v>
      </c>
      <c r="I41" s="144">
        <v>0</v>
      </c>
      <c r="J41" s="556"/>
      <c r="K41" s="557">
        <f t="shared" si="3"/>
        <v>37423</v>
      </c>
    </row>
    <row r="42" spans="1:11" ht="18" customHeight="1" x14ac:dyDescent="0.4">
      <c r="A42" s="183" t="s">
        <v>89</v>
      </c>
      <c r="B42" s="116" t="s">
        <v>11</v>
      </c>
      <c r="F42" s="555">
        <v>13430</v>
      </c>
      <c r="G42" s="555">
        <v>144</v>
      </c>
      <c r="H42" s="556">
        <v>412972</v>
      </c>
      <c r="I42" s="144">
        <v>0</v>
      </c>
      <c r="J42" s="556"/>
      <c r="K42" s="557">
        <f t="shared" si="3"/>
        <v>412972</v>
      </c>
    </row>
    <row r="43" spans="1:11" ht="18" customHeight="1" x14ac:dyDescent="0.4">
      <c r="A43" s="183" t="s">
        <v>90</v>
      </c>
      <c r="B43" s="141" t="s">
        <v>10</v>
      </c>
      <c r="C43" s="123"/>
      <c r="D43" s="123"/>
      <c r="F43" s="555">
        <v>12</v>
      </c>
      <c r="G43" s="555">
        <v>9</v>
      </c>
      <c r="H43" s="556">
        <v>14090</v>
      </c>
      <c r="I43" s="144">
        <v>0</v>
      </c>
      <c r="J43" s="556"/>
      <c r="K43" s="557">
        <f t="shared" si="3"/>
        <v>14090</v>
      </c>
    </row>
    <row r="44" spans="1:11" ht="18" customHeight="1" x14ac:dyDescent="0.4">
      <c r="A44" s="183" t="s">
        <v>91</v>
      </c>
      <c r="B44" s="951" t="s">
        <v>274</v>
      </c>
      <c r="C44" s="952"/>
      <c r="D44" s="953"/>
      <c r="F44" s="561">
        <v>164</v>
      </c>
      <c r="G44" s="561">
        <v>36</v>
      </c>
      <c r="H44" s="561">
        <v>3026</v>
      </c>
      <c r="I44" s="146">
        <v>0</v>
      </c>
      <c r="J44" s="561"/>
      <c r="K44" s="562">
        <f t="shared" si="3"/>
        <v>3026</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14823</v>
      </c>
      <c r="G49" s="563">
        <f t="shared" si="4"/>
        <v>354</v>
      </c>
      <c r="H49" s="557">
        <f t="shared" si="4"/>
        <v>467511</v>
      </c>
      <c r="I49" s="557">
        <f t="shared" si="4"/>
        <v>0</v>
      </c>
      <c r="J49" s="557">
        <f t="shared" si="4"/>
        <v>0</v>
      </c>
      <c r="K49" s="557">
        <f t="shared" si="4"/>
        <v>467511</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112" t="s">
        <v>765</v>
      </c>
      <c r="C53" s="1113"/>
      <c r="D53" s="1114"/>
      <c r="F53" s="555">
        <v>6216</v>
      </c>
      <c r="G53" s="555">
        <v>21267</v>
      </c>
      <c r="H53" s="556">
        <v>1256101</v>
      </c>
      <c r="I53" s="144">
        <v>0</v>
      </c>
      <c r="J53" s="556"/>
      <c r="K53" s="557">
        <f t="shared" ref="K53:K62" si="5">(H53+I53)-J53</f>
        <v>1256101</v>
      </c>
    </row>
    <row r="54" spans="1:11" ht="18" customHeight="1" x14ac:dyDescent="0.4">
      <c r="A54" s="183" t="s">
        <v>93</v>
      </c>
      <c r="B54" s="529" t="s">
        <v>275</v>
      </c>
      <c r="C54" s="530"/>
      <c r="D54" s="528"/>
      <c r="F54" s="555">
        <v>85713</v>
      </c>
      <c r="G54" s="555">
        <v>46229</v>
      </c>
      <c r="H54" s="556">
        <v>9331415</v>
      </c>
      <c r="I54" s="144">
        <v>0</v>
      </c>
      <c r="J54" s="556"/>
      <c r="K54" s="557">
        <f t="shared" si="5"/>
        <v>9331415</v>
      </c>
    </row>
    <row r="55" spans="1:11" ht="18" customHeight="1" x14ac:dyDescent="0.4">
      <c r="A55" s="183" t="s">
        <v>94</v>
      </c>
      <c r="B55" s="1115" t="s">
        <v>276</v>
      </c>
      <c r="C55" s="1116"/>
      <c r="D55" s="1114"/>
      <c r="F55" s="555"/>
      <c r="G55" s="555"/>
      <c r="H55" s="556">
        <v>185500</v>
      </c>
      <c r="I55" s="144">
        <v>0</v>
      </c>
      <c r="J55" s="556"/>
      <c r="K55" s="557">
        <f t="shared" si="5"/>
        <v>185500</v>
      </c>
    </row>
    <row r="56" spans="1:11" ht="18" customHeight="1" x14ac:dyDescent="0.4">
      <c r="A56" s="183" t="s">
        <v>95</v>
      </c>
      <c r="B56" s="980"/>
      <c r="C56" s="974"/>
      <c r="D56" s="975"/>
      <c r="F56" s="555"/>
      <c r="G56" s="555"/>
      <c r="H56" s="556"/>
      <c r="I56" s="144">
        <v>0</v>
      </c>
      <c r="J56" s="556"/>
      <c r="K56" s="557">
        <f t="shared" si="5"/>
        <v>0</v>
      </c>
    </row>
    <row r="57" spans="1:11" ht="18" customHeight="1" x14ac:dyDescent="0.4">
      <c r="A57" s="183" t="s">
        <v>96</v>
      </c>
      <c r="B57" s="980"/>
      <c r="C57" s="974"/>
      <c r="D57" s="975"/>
      <c r="F57" s="555"/>
      <c r="G57" s="555"/>
      <c r="H57" s="556"/>
      <c r="I57" s="144">
        <v>0</v>
      </c>
      <c r="J57" s="556"/>
      <c r="K57" s="557">
        <f t="shared" si="5"/>
        <v>0</v>
      </c>
    </row>
    <row r="58" spans="1:11" ht="18" customHeight="1" x14ac:dyDescent="0.4">
      <c r="A58" s="183" t="s">
        <v>97</v>
      </c>
      <c r="B58" s="503"/>
      <c r="C58" s="504"/>
      <c r="D58" s="505"/>
      <c r="F58" s="555"/>
      <c r="G58" s="555"/>
      <c r="H58" s="556"/>
      <c r="I58" s="144">
        <v>0</v>
      </c>
      <c r="J58" s="556"/>
      <c r="K58" s="557">
        <f t="shared" si="5"/>
        <v>0</v>
      </c>
    </row>
    <row r="59" spans="1:11" ht="18" customHeight="1" x14ac:dyDescent="0.4">
      <c r="A59" s="183" t="s">
        <v>98</v>
      </c>
      <c r="B59" s="980"/>
      <c r="C59" s="974"/>
      <c r="D59" s="975"/>
      <c r="F59" s="555"/>
      <c r="G59" s="555"/>
      <c r="H59" s="556"/>
      <c r="I59" s="144">
        <v>0</v>
      </c>
      <c r="J59" s="556"/>
      <c r="K59" s="557">
        <f t="shared" si="5"/>
        <v>0</v>
      </c>
    </row>
    <row r="60" spans="1:11" ht="18" customHeight="1" x14ac:dyDescent="0.4">
      <c r="A60" s="183" t="s">
        <v>99</v>
      </c>
      <c r="B60" s="503"/>
      <c r="C60" s="504"/>
      <c r="D60" s="505"/>
      <c r="F60" s="555"/>
      <c r="G60" s="555"/>
      <c r="H60" s="556"/>
      <c r="I60" s="144">
        <v>0</v>
      </c>
      <c r="J60" s="556"/>
      <c r="K60" s="557">
        <f t="shared" si="5"/>
        <v>0</v>
      </c>
    </row>
    <row r="61" spans="1:11" ht="18" customHeight="1" x14ac:dyDescent="0.4">
      <c r="A61" s="183" t="s">
        <v>100</v>
      </c>
      <c r="B61" s="503"/>
      <c r="C61" s="504"/>
      <c r="D61" s="505"/>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91929</v>
      </c>
      <c r="G64" s="560">
        <f t="shared" si="6"/>
        <v>67496</v>
      </c>
      <c r="H64" s="557">
        <f t="shared" si="6"/>
        <v>10773016</v>
      </c>
      <c r="I64" s="557">
        <f t="shared" si="6"/>
        <v>0</v>
      </c>
      <c r="J64" s="557">
        <f t="shared" si="6"/>
        <v>0</v>
      </c>
      <c r="K64" s="557">
        <f t="shared" si="6"/>
        <v>10773016</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f>(H68+I68)-J68</f>
        <v>0</v>
      </c>
    </row>
    <row r="69" spans="1:11" ht="18" customHeight="1" x14ac:dyDescent="0.4">
      <c r="A69" s="183" t="s">
        <v>104</v>
      </c>
      <c r="B69" s="116" t="s">
        <v>53</v>
      </c>
      <c r="F69" s="564">
        <v>6948.8</v>
      </c>
      <c r="G69" s="564"/>
      <c r="H69" s="564">
        <v>226704</v>
      </c>
      <c r="I69" s="144">
        <v>0</v>
      </c>
      <c r="J69" s="564"/>
      <c r="K69" s="557">
        <f>(H69+I69)-J69</f>
        <v>226704</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6948.8</v>
      </c>
      <c r="G74" s="566">
        <f t="shared" si="7"/>
        <v>0</v>
      </c>
      <c r="H74" s="566">
        <f t="shared" si="7"/>
        <v>226704</v>
      </c>
      <c r="I74" s="145">
        <f t="shared" si="7"/>
        <v>0</v>
      </c>
      <c r="J74" s="566">
        <f t="shared" si="7"/>
        <v>0</v>
      </c>
      <c r="K74" s="567">
        <f t="shared" si="7"/>
        <v>226704</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255857</v>
      </c>
      <c r="I77" s="144">
        <v>0</v>
      </c>
      <c r="J77" s="556"/>
      <c r="K77" s="557">
        <f>(H77+I77)-J77</f>
        <v>255857</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1059</v>
      </c>
      <c r="G79" s="555">
        <v>2158</v>
      </c>
      <c r="H79" s="556">
        <v>114096</v>
      </c>
      <c r="I79" s="144">
        <v>0</v>
      </c>
      <c r="J79" s="556"/>
      <c r="K79" s="557">
        <f>(H79+I79)-J79</f>
        <v>114096</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1059</v>
      </c>
      <c r="G82" s="566">
        <f t="shared" si="8"/>
        <v>2158</v>
      </c>
      <c r="H82" s="567">
        <f t="shared" si="8"/>
        <v>369953</v>
      </c>
      <c r="I82" s="567">
        <f t="shared" si="8"/>
        <v>0</v>
      </c>
      <c r="J82" s="567">
        <f t="shared" si="8"/>
        <v>0</v>
      </c>
      <c r="K82" s="567">
        <f t="shared" si="8"/>
        <v>369953</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9">H86*F$114</f>
        <v>0</v>
      </c>
      <c r="J86" s="556"/>
      <c r="K86" s="557">
        <f t="shared" ref="K86:K96" si="10">(H86+I86)-J86</f>
        <v>0</v>
      </c>
    </row>
    <row r="87" spans="1:11" ht="18" customHeight="1" x14ac:dyDescent="0.4">
      <c r="A87" s="183" t="s">
        <v>114</v>
      </c>
      <c r="B87" s="116" t="s">
        <v>14</v>
      </c>
      <c r="F87" s="555"/>
      <c r="G87" s="555"/>
      <c r="H87" s="556"/>
      <c r="I87" s="144">
        <f t="shared" si="9"/>
        <v>0</v>
      </c>
      <c r="J87" s="556"/>
      <c r="K87" s="557">
        <f t="shared" si="10"/>
        <v>0</v>
      </c>
    </row>
    <row r="88" spans="1:11" ht="18" customHeight="1" x14ac:dyDescent="0.4">
      <c r="A88" s="183" t="s">
        <v>115</v>
      </c>
      <c r="B88" s="116" t="s">
        <v>116</v>
      </c>
      <c r="F88" s="555"/>
      <c r="G88" s="555"/>
      <c r="H88" s="556"/>
      <c r="I88" s="144">
        <f t="shared" si="9"/>
        <v>0</v>
      </c>
      <c r="J88" s="556"/>
      <c r="K88" s="557">
        <f t="shared" si="10"/>
        <v>0</v>
      </c>
    </row>
    <row r="89" spans="1:11" ht="18" customHeight="1" x14ac:dyDescent="0.4">
      <c r="A89" s="183" t="s">
        <v>117</v>
      </c>
      <c r="B89" s="116" t="s">
        <v>58</v>
      </c>
      <c r="F89" s="555"/>
      <c r="G89" s="555"/>
      <c r="H89" s="556"/>
      <c r="I89" s="144">
        <f t="shared" si="9"/>
        <v>0</v>
      </c>
      <c r="J89" s="556"/>
      <c r="K89" s="557">
        <f t="shared" si="10"/>
        <v>0</v>
      </c>
    </row>
    <row r="90" spans="1:11" ht="18" customHeight="1" x14ac:dyDescent="0.4">
      <c r="A90" s="183" t="s">
        <v>118</v>
      </c>
      <c r="B90" s="956" t="s">
        <v>59</v>
      </c>
      <c r="C90" s="957"/>
      <c r="F90" s="555"/>
      <c r="G90" s="555"/>
      <c r="H90" s="556"/>
      <c r="I90" s="144">
        <f t="shared" si="9"/>
        <v>0</v>
      </c>
      <c r="J90" s="556"/>
      <c r="K90" s="557">
        <f t="shared" si="10"/>
        <v>0</v>
      </c>
    </row>
    <row r="91" spans="1:11" ht="18" customHeight="1" x14ac:dyDescent="0.4">
      <c r="A91" s="183" t="s">
        <v>119</v>
      </c>
      <c r="B91" s="116" t="s">
        <v>60</v>
      </c>
      <c r="F91" s="555">
        <v>2080</v>
      </c>
      <c r="G91" s="555"/>
      <c r="H91" s="556">
        <v>389682</v>
      </c>
      <c r="I91" s="144">
        <v>194841</v>
      </c>
      <c r="J91" s="556"/>
      <c r="K91" s="557">
        <f t="shared" si="10"/>
        <v>584523</v>
      </c>
    </row>
    <row r="92" spans="1:11" ht="18" customHeight="1" x14ac:dyDescent="0.4">
      <c r="A92" s="183" t="s">
        <v>120</v>
      </c>
      <c r="B92" s="116" t="s">
        <v>121</v>
      </c>
      <c r="F92" s="134"/>
      <c r="G92" s="134"/>
      <c r="H92" s="135"/>
      <c r="I92" s="144">
        <f t="shared" si="9"/>
        <v>0</v>
      </c>
      <c r="J92" s="135"/>
      <c r="K92" s="557">
        <f t="shared" si="10"/>
        <v>0</v>
      </c>
    </row>
    <row r="93" spans="1:11" ht="18" customHeight="1" x14ac:dyDescent="0.4">
      <c r="A93" s="183" t="s">
        <v>122</v>
      </c>
      <c r="B93" s="116" t="s">
        <v>123</v>
      </c>
      <c r="F93" s="555"/>
      <c r="G93" s="555"/>
      <c r="H93" s="556"/>
      <c r="I93" s="144">
        <f t="shared" si="9"/>
        <v>0</v>
      </c>
      <c r="J93" s="556"/>
      <c r="K93" s="557">
        <f t="shared" si="10"/>
        <v>0</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2080</v>
      </c>
      <c r="G98" s="560">
        <f t="shared" si="11"/>
        <v>0</v>
      </c>
      <c r="H98" s="560">
        <f t="shared" si="11"/>
        <v>389682</v>
      </c>
      <c r="I98" s="560">
        <f t="shared" si="11"/>
        <v>194841</v>
      </c>
      <c r="J98" s="560">
        <f t="shared" si="11"/>
        <v>0</v>
      </c>
      <c r="K98" s="560">
        <f t="shared" si="11"/>
        <v>584523</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2080</v>
      </c>
      <c r="G102" s="555"/>
      <c r="H102" s="556">
        <v>127920</v>
      </c>
      <c r="I102" s="144">
        <v>63960</v>
      </c>
      <c r="J102" s="556"/>
      <c r="K102" s="557">
        <f>(H102+I102)-J102</f>
        <v>191880</v>
      </c>
    </row>
    <row r="103" spans="1:11" ht="18" customHeight="1" x14ac:dyDescent="0.4">
      <c r="A103" s="183" t="s">
        <v>132</v>
      </c>
      <c r="B103" s="956" t="s">
        <v>62</v>
      </c>
      <c r="C103" s="956"/>
      <c r="F103" s="555"/>
      <c r="G103" s="555"/>
      <c r="H103" s="556"/>
      <c r="I103" s="144">
        <f>H103*F$114</f>
        <v>0</v>
      </c>
      <c r="J103" s="556"/>
      <c r="K103" s="557">
        <f>(H103+I103)-J103</f>
        <v>0</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2080</v>
      </c>
      <c r="G108" s="560">
        <f t="shared" si="12"/>
        <v>0</v>
      </c>
      <c r="H108" s="557">
        <f t="shared" si="12"/>
        <v>127920</v>
      </c>
      <c r="I108" s="557">
        <f t="shared" si="12"/>
        <v>63960</v>
      </c>
      <c r="J108" s="557">
        <f t="shared" si="12"/>
        <v>0</v>
      </c>
      <c r="K108" s="557">
        <f t="shared" si="12"/>
        <v>191880</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376223</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0.5</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202096518</v>
      </c>
    </row>
    <row r="118" spans="1:6" ht="18" customHeight="1" x14ac:dyDescent="0.4">
      <c r="A118" s="183" t="s">
        <v>173</v>
      </c>
      <c r="B118" s="189" t="s">
        <v>18</v>
      </c>
      <c r="F118" s="556">
        <v>10297074</v>
      </c>
    </row>
    <row r="119" spans="1:6" ht="18" customHeight="1" x14ac:dyDescent="0.4">
      <c r="A119" s="183" t="s">
        <v>174</v>
      </c>
      <c r="B119" s="117" t="s">
        <v>19</v>
      </c>
      <c r="F119" s="567">
        <f>SUM(F117:F118)</f>
        <v>212393592</v>
      </c>
    </row>
    <row r="120" spans="1:6" ht="18" customHeight="1" x14ac:dyDescent="0.4">
      <c r="A120" s="183"/>
      <c r="B120" s="117"/>
    </row>
    <row r="121" spans="1:6" ht="18" customHeight="1" x14ac:dyDescent="0.4">
      <c r="A121" s="183" t="s">
        <v>167</v>
      </c>
      <c r="B121" s="117" t="s">
        <v>36</v>
      </c>
      <c r="F121" s="556">
        <v>203344125</v>
      </c>
    </row>
    <row r="122" spans="1:6" ht="18" customHeight="1" x14ac:dyDescent="0.4">
      <c r="A122" s="183"/>
    </row>
    <row r="123" spans="1:6" ht="18" customHeight="1" x14ac:dyDescent="0.4">
      <c r="A123" s="183" t="s">
        <v>175</v>
      </c>
      <c r="B123" s="117" t="s">
        <v>20</v>
      </c>
      <c r="F123" s="556">
        <v>9049467</v>
      </c>
    </row>
    <row r="124" spans="1:6" ht="18" customHeight="1" x14ac:dyDescent="0.4">
      <c r="A124" s="183"/>
    </row>
    <row r="125" spans="1:6" ht="18" customHeight="1" x14ac:dyDescent="0.4">
      <c r="A125" s="183" t="s">
        <v>176</v>
      </c>
      <c r="B125" s="117" t="s">
        <v>21</v>
      </c>
      <c r="F125" s="556">
        <v>9034308</v>
      </c>
    </row>
    <row r="126" spans="1:6" ht="18" customHeight="1" x14ac:dyDescent="0.4">
      <c r="A126" s="183"/>
    </row>
    <row r="127" spans="1:6" ht="18" customHeight="1" x14ac:dyDescent="0.4">
      <c r="A127" s="183" t="s">
        <v>177</v>
      </c>
      <c r="B127" s="117" t="s">
        <v>22</v>
      </c>
      <c r="F127" s="556">
        <v>18083775</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43157</v>
      </c>
      <c r="G141" s="136">
        <f t="shared" si="14"/>
        <v>95787</v>
      </c>
      <c r="H141" s="136">
        <f t="shared" si="14"/>
        <v>2374074</v>
      </c>
      <c r="I141" s="136">
        <f t="shared" si="14"/>
        <v>1187037</v>
      </c>
      <c r="J141" s="136">
        <f t="shared" si="14"/>
        <v>213610</v>
      </c>
      <c r="K141" s="136">
        <f t="shared" si="14"/>
        <v>3347501</v>
      </c>
    </row>
    <row r="142" spans="1:11" ht="18" customHeight="1" x14ac:dyDescent="0.4">
      <c r="A142" s="183" t="s">
        <v>142</v>
      </c>
      <c r="B142" s="117" t="s">
        <v>65</v>
      </c>
      <c r="F142" s="136">
        <f t="shared" ref="F142:K142" si="15">F49</f>
        <v>14823</v>
      </c>
      <c r="G142" s="136">
        <f t="shared" si="15"/>
        <v>354</v>
      </c>
      <c r="H142" s="136">
        <f t="shared" si="15"/>
        <v>467511</v>
      </c>
      <c r="I142" s="136">
        <f t="shared" si="15"/>
        <v>0</v>
      </c>
      <c r="J142" s="136">
        <f t="shared" si="15"/>
        <v>0</v>
      </c>
      <c r="K142" s="136">
        <f t="shared" si="15"/>
        <v>467511</v>
      </c>
    </row>
    <row r="143" spans="1:11" ht="18" customHeight="1" x14ac:dyDescent="0.4">
      <c r="A143" s="183" t="s">
        <v>144</v>
      </c>
      <c r="B143" s="117" t="s">
        <v>66</v>
      </c>
      <c r="F143" s="136">
        <f t="shared" ref="F143:K143" si="16">F64</f>
        <v>91929</v>
      </c>
      <c r="G143" s="136">
        <f t="shared" si="16"/>
        <v>67496</v>
      </c>
      <c r="H143" s="136">
        <f t="shared" si="16"/>
        <v>10773016</v>
      </c>
      <c r="I143" s="136">
        <f t="shared" si="16"/>
        <v>0</v>
      </c>
      <c r="J143" s="136">
        <f t="shared" si="16"/>
        <v>0</v>
      </c>
      <c r="K143" s="136">
        <f t="shared" si="16"/>
        <v>10773016</v>
      </c>
    </row>
    <row r="144" spans="1:11" ht="18" customHeight="1" x14ac:dyDescent="0.4">
      <c r="A144" s="183" t="s">
        <v>146</v>
      </c>
      <c r="B144" s="117" t="s">
        <v>67</v>
      </c>
      <c r="F144" s="136">
        <f t="shared" ref="F144:K144" si="17">F74</f>
        <v>6948.8</v>
      </c>
      <c r="G144" s="136">
        <f t="shared" si="17"/>
        <v>0</v>
      </c>
      <c r="H144" s="136">
        <f t="shared" si="17"/>
        <v>226704</v>
      </c>
      <c r="I144" s="136">
        <f t="shared" si="17"/>
        <v>0</v>
      </c>
      <c r="J144" s="136">
        <f t="shared" si="17"/>
        <v>0</v>
      </c>
      <c r="K144" s="136">
        <f t="shared" si="17"/>
        <v>226704</v>
      </c>
    </row>
    <row r="145" spans="1:11" ht="18" customHeight="1" x14ac:dyDescent="0.4">
      <c r="A145" s="183" t="s">
        <v>148</v>
      </c>
      <c r="B145" s="117" t="s">
        <v>68</v>
      </c>
      <c r="F145" s="136">
        <f t="shared" ref="F145:K145" si="18">F82</f>
        <v>1059</v>
      </c>
      <c r="G145" s="136">
        <f t="shared" si="18"/>
        <v>2158</v>
      </c>
      <c r="H145" s="136">
        <f t="shared" si="18"/>
        <v>369953</v>
      </c>
      <c r="I145" s="136">
        <f t="shared" si="18"/>
        <v>0</v>
      </c>
      <c r="J145" s="136">
        <f t="shared" si="18"/>
        <v>0</v>
      </c>
      <c r="K145" s="136">
        <f t="shared" si="18"/>
        <v>369953</v>
      </c>
    </row>
    <row r="146" spans="1:11" ht="18" customHeight="1" x14ac:dyDescent="0.4">
      <c r="A146" s="183" t="s">
        <v>150</v>
      </c>
      <c r="B146" s="117" t="s">
        <v>69</v>
      </c>
      <c r="F146" s="136">
        <f t="shared" ref="F146:K146" si="19">F98</f>
        <v>2080</v>
      </c>
      <c r="G146" s="136">
        <f t="shared" si="19"/>
        <v>0</v>
      </c>
      <c r="H146" s="136">
        <f t="shared" si="19"/>
        <v>389682</v>
      </c>
      <c r="I146" s="136">
        <f t="shared" si="19"/>
        <v>194841</v>
      </c>
      <c r="J146" s="136">
        <f t="shared" si="19"/>
        <v>0</v>
      </c>
      <c r="K146" s="136">
        <f t="shared" si="19"/>
        <v>584523</v>
      </c>
    </row>
    <row r="147" spans="1:11" ht="18" customHeight="1" x14ac:dyDescent="0.4">
      <c r="A147" s="183" t="s">
        <v>153</v>
      </c>
      <c r="B147" s="117" t="s">
        <v>61</v>
      </c>
      <c r="F147" s="560">
        <f t="shared" ref="F147:K147" si="20">F108</f>
        <v>2080</v>
      </c>
      <c r="G147" s="560">
        <f t="shared" si="20"/>
        <v>0</v>
      </c>
      <c r="H147" s="560">
        <f t="shared" si="20"/>
        <v>127920</v>
      </c>
      <c r="I147" s="560">
        <f t="shared" si="20"/>
        <v>63960</v>
      </c>
      <c r="J147" s="560">
        <f t="shared" si="20"/>
        <v>0</v>
      </c>
      <c r="K147" s="560">
        <f t="shared" si="20"/>
        <v>191880</v>
      </c>
    </row>
    <row r="148" spans="1:11" ht="18" customHeight="1" x14ac:dyDescent="0.4">
      <c r="A148" s="183" t="s">
        <v>155</v>
      </c>
      <c r="B148" s="117" t="s">
        <v>70</v>
      </c>
      <c r="F148" s="137" t="s">
        <v>73</v>
      </c>
      <c r="G148" s="137" t="s">
        <v>73</v>
      </c>
      <c r="H148" s="138" t="s">
        <v>73</v>
      </c>
      <c r="I148" s="138" t="s">
        <v>73</v>
      </c>
      <c r="J148" s="138" t="s">
        <v>73</v>
      </c>
      <c r="K148" s="133">
        <f>F111</f>
        <v>376223</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4568353</v>
      </c>
      <c r="I150" s="560">
        <f>I18</f>
        <v>0</v>
      </c>
      <c r="J150" s="560">
        <f>J18</f>
        <v>3797796</v>
      </c>
      <c r="K150" s="560">
        <f>K18</f>
        <v>770557</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162076.79999999999</v>
      </c>
      <c r="G152" s="143">
        <f t="shared" si="22"/>
        <v>165795</v>
      </c>
      <c r="H152" s="143">
        <f t="shared" si="22"/>
        <v>19297213</v>
      </c>
      <c r="I152" s="143">
        <f t="shared" si="22"/>
        <v>1445838</v>
      </c>
      <c r="J152" s="143">
        <f t="shared" si="22"/>
        <v>4011406</v>
      </c>
      <c r="K152" s="143">
        <f t="shared" si="22"/>
        <v>17107868</v>
      </c>
    </row>
    <row r="154" spans="1:11" ht="18" customHeight="1" x14ac:dyDescent="0.4">
      <c r="A154" s="120" t="s">
        <v>168</v>
      </c>
      <c r="B154" s="117" t="s">
        <v>28</v>
      </c>
      <c r="F154" s="571">
        <f>K152/F121</f>
        <v>8.4132590503905633E-2</v>
      </c>
    </row>
    <row r="155" spans="1:11" ht="18" customHeight="1" x14ac:dyDescent="0.4">
      <c r="A155" s="120" t="s">
        <v>169</v>
      </c>
      <c r="B155" s="117" t="s">
        <v>72</v>
      </c>
      <c r="F155" s="571">
        <f>K152/F127</f>
        <v>0.94603411068761911</v>
      </c>
      <c r="G155" s="117"/>
    </row>
    <row r="156" spans="1:11" ht="18" customHeight="1" x14ac:dyDescent="0.4">
      <c r="G156" s="117"/>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K156"/>
  <sheetViews>
    <sheetView topLeftCell="A52" zoomScale="80" zoomScaleNormal="80" workbookViewId="0">
      <selection activeCell="A2" sqref="A2"/>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231</v>
      </c>
      <c r="D5" s="962"/>
      <c r="E5" s="962"/>
      <c r="F5" s="962"/>
      <c r="G5" s="963"/>
    </row>
    <row r="6" spans="1:11" ht="18" customHeight="1" x14ac:dyDescent="0.4">
      <c r="B6" s="183" t="s">
        <v>3</v>
      </c>
      <c r="C6" s="1058">
        <v>34</v>
      </c>
      <c r="D6" s="1059"/>
      <c r="E6" s="1059"/>
      <c r="F6" s="1059"/>
      <c r="G6" s="1060"/>
    </row>
    <row r="7" spans="1:11" ht="18" customHeight="1" x14ac:dyDescent="0.4">
      <c r="B7" s="183" t="s">
        <v>4</v>
      </c>
      <c r="C7" s="967">
        <v>1161</v>
      </c>
      <c r="D7" s="968"/>
      <c r="E7" s="968"/>
      <c r="F7" s="968"/>
      <c r="G7" s="969"/>
    </row>
    <row r="9" spans="1:11" ht="18" customHeight="1" x14ac:dyDescent="0.4">
      <c r="B9" s="183" t="s">
        <v>1</v>
      </c>
      <c r="C9" s="961" t="s">
        <v>469</v>
      </c>
      <c r="D9" s="955"/>
      <c r="E9" s="955"/>
      <c r="F9" s="955"/>
      <c r="G9" s="981"/>
    </row>
    <row r="10" spans="1:11" ht="18" customHeight="1" x14ac:dyDescent="0.4">
      <c r="B10" s="183" t="s">
        <v>2</v>
      </c>
      <c r="C10" s="970" t="s">
        <v>470</v>
      </c>
      <c r="D10" s="1065"/>
      <c r="E10" s="1065"/>
      <c r="F10" s="1065"/>
      <c r="G10" s="1066"/>
    </row>
    <row r="11" spans="1:11" ht="18" customHeight="1" x14ac:dyDescent="0.4">
      <c r="B11" s="183" t="s">
        <v>32</v>
      </c>
      <c r="C11" s="954" t="s">
        <v>471</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3664418</v>
      </c>
      <c r="I18" s="144">
        <v>0</v>
      </c>
      <c r="J18" s="556">
        <v>3046330</v>
      </c>
      <c r="K18" s="557">
        <v>618088</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264</v>
      </c>
      <c r="G21" s="555">
        <v>1886</v>
      </c>
      <c r="H21" s="556">
        <v>28213</v>
      </c>
      <c r="I21" s="144">
        <v>15914</v>
      </c>
      <c r="J21" s="556">
        <v>2250</v>
      </c>
      <c r="K21" s="557">
        <v>41877</v>
      </c>
    </row>
    <row r="22" spans="1:11" ht="18" customHeight="1" x14ac:dyDescent="0.4">
      <c r="A22" s="183" t="s">
        <v>76</v>
      </c>
      <c r="B22" s="189" t="s">
        <v>6</v>
      </c>
      <c r="F22" s="555">
        <v>10.5</v>
      </c>
      <c r="G22" s="555">
        <v>514</v>
      </c>
      <c r="H22" s="556">
        <v>5087</v>
      </c>
      <c r="I22" s="144">
        <v>4608</v>
      </c>
      <c r="J22" s="556"/>
      <c r="K22" s="557">
        <v>9695</v>
      </c>
    </row>
    <row r="23" spans="1:11" ht="18" customHeight="1" x14ac:dyDescent="0.4">
      <c r="A23" s="183" t="s">
        <v>77</v>
      </c>
      <c r="B23" s="189" t="s">
        <v>43</v>
      </c>
      <c r="F23" s="555"/>
      <c r="G23" s="555"/>
      <c r="H23" s="556"/>
      <c r="I23" s="144">
        <v>0</v>
      </c>
      <c r="J23" s="556"/>
      <c r="K23" s="557">
        <v>0</v>
      </c>
    </row>
    <row r="24" spans="1:11" ht="18" customHeight="1" x14ac:dyDescent="0.4">
      <c r="A24" s="183" t="s">
        <v>78</v>
      </c>
      <c r="B24" s="189" t="s">
        <v>44</v>
      </c>
      <c r="F24" s="555">
        <v>5700</v>
      </c>
      <c r="G24" s="555">
        <v>60</v>
      </c>
      <c r="H24" s="556">
        <v>634994</v>
      </c>
      <c r="I24" s="144">
        <v>571687</v>
      </c>
      <c r="J24" s="556">
        <v>631001</v>
      </c>
      <c r="K24" s="557">
        <v>575680</v>
      </c>
    </row>
    <row r="25" spans="1:11" ht="18" customHeight="1" x14ac:dyDescent="0.4">
      <c r="A25" s="183" t="s">
        <v>79</v>
      </c>
      <c r="B25" s="189" t="s">
        <v>5</v>
      </c>
      <c r="F25" s="555">
        <v>6</v>
      </c>
      <c r="G25" s="555">
        <v>46615</v>
      </c>
      <c r="H25" s="556">
        <v>156088</v>
      </c>
      <c r="I25" s="144">
        <v>141281</v>
      </c>
      <c r="J25" s="556"/>
      <c r="K25" s="557">
        <v>297369</v>
      </c>
    </row>
    <row r="26" spans="1:11" ht="18" customHeight="1" x14ac:dyDescent="0.4">
      <c r="A26" s="183" t="s">
        <v>80</v>
      </c>
      <c r="B26" s="189" t="s">
        <v>45</v>
      </c>
      <c r="F26" s="555"/>
      <c r="G26" s="555"/>
      <c r="H26" s="556"/>
      <c r="I26" s="144">
        <v>0</v>
      </c>
      <c r="J26" s="556"/>
      <c r="K26" s="557">
        <v>0</v>
      </c>
    </row>
    <row r="27" spans="1:11" ht="18" customHeight="1" x14ac:dyDescent="0.4">
      <c r="A27" s="183" t="s">
        <v>81</v>
      </c>
      <c r="B27" s="189" t="s">
        <v>498</v>
      </c>
      <c r="F27" s="555"/>
      <c r="G27" s="555"/>
      <c r="H27" s="556"/>
      <c r="I27" s="144">
        <v>0</v>
      </c>
      <c r="J27" s="556"/>
      <c r="K27" s="557">
        <v>0</v>
      </c>
    </row>
    <row r="28" spans="1:11" ht="18" customHeight="1" x14ac:dyDescent="0.4">
      <c r="A28" s="183" t="s">
        <v>82</v>
      </c>
      <c r="B28" s="189" t="s">
        <v>47</v>
      </c>
      <c r="F28" s="555"/>
      <c r="G28" s="555"/>
      <c r="H28" s="556"/>
      <c r="I28" s="144">
        <v>0</v>
      </c>
      <c r="J28" s="556"/>
      <c r="K28" s="557">
        <v>0</v>
      </c>
    </row>
    <row r="29" spans="1:11" ht="18" customHeight="1" x14ac:dyDescent="0.4">
      <c r="A29" s="183" t="s">
        <v>83</v>
      </c>
      <c r="B29" s="189" t="s">
        <v>48</v>
      </c>
      <c r="F29" s="555">
        <v>6029</v>
      </c>
      <c r="G29" s="555">
        <v>0</v>
      </c>
      <c r="H29" s="556">
        <v>896320</v>
      </c>
      <c r="I29" s="144">
        <v>580837</v>
      </c>
      <c r="J29" s="556">
        <v>624794</v>
      </c>
      <c r="K29" s="557">
        <v>852363</v>
      </c>
    </row>
    <row r="30" spans="1:11" ht="18" customHeight="1" x14ac:dyDescent="0.4">
      <c r="A30" s="183" t="s">
        <v>84</v>
      </c>
      <c r="B30" s="951" t="s">
        <v>233</v>
      </c>
      <c r="C30" s="952"/>
      <c r="D30" s="953"/>
      <c r="F30" s="555"/>
      <c r="G30" s="555"/>
      <c r="H30" s="556">
        <v>85678</v>
      </c>
      <c r="I30" s="144">
        <v>68203</v>
      </c>
      <c r="J30" s="556"/>
      <c r="K30" s="557">
        <v>153881</v>
      </c>
    </row>
    <row r="31" spans="1:11" ht="18" customHeight="1" x14ac:dyDescent="0.4">
      <c r="A31" s="183" t="s">
        <v>133</v>
      </c>
      <c r="B31" s="951"/>
      <c r="C31" s="952"/>
      <c r="D31" s="953"/>
      <c r="F31" s="555"/>
      <c r="G31" s="555"/>
      <c r="H31" s="556"/>
      <c r="I31" s="144">
        <v>0</v>
      </c>
      <c r="J31" s="556"/>
      <c r="K31" s="557">
        <v>0</v>
      </c>
    </row>
    <row r="32" spans="1:11" ht="18" customHeight="1" x14ac:dyDescent="0.4">
      <c r="A32" s="183" t="s">
        <v>134</v>
      </c>
      <c r="B32" s="500"/>
      <c r="C32" s="501"/>
      <c r="D32" s="502"/>
      <c r="F32" s="555"/>
      <c r="G32" s="558" t="s">
        <v>85</v>
      </c>
      <c r="H32" s="556"/>
      <c r="I32" s="144">
        <v>0</v>
      </c>
      <c r="J32" s="556"/>
      <c r="K32" s="557">
        <v>0</v>
      </c>
    </row>
    <row r="33" spans="1:11" ht="18" customHeight="1" x14ac:dyDescent="0.4">
      <c r="A33" s="183" t="s">
        <v>135</v>
      </c>
      <c r="B33" s="500"/>
      <c r="C33" s="501"/>
      <c r="D33" s="502"/>
      <c r="F33" s="555"/>
      <c r="G33" s="558" t="s">
        <v>85</v>
      </c>
      <c r="H33" s="556"/>
      <c r="I33" s="144">
        <v>0</v>
      </c>
      <c r="J33" s="556"/>
      <c r="K33" s="557">
        <v>0</v>
      </c>
    </row>
    <row r="34" spans="1:11" ht="18" customHeight="1" x14ac:dyDescent="0.4">
      <c r="A34" s="183" t="s">
        <v>136</v>
      </c>
      <c r="B34" s="951"/>
      <c r="C34" s="952"/>
      <c r="D34" s="953"/>
      <c r="F34" s="555"/>
      <c r="G34" s="558" t="s">
        <v>85</v>
      </c>
      <c r="H34" s="556"/>
      <c r="I34" s="144">
        <v>0</v>
      </c>
      <c r="J34" s="556"/>
      <c r="K34" s="557">
        <v>0</v>
      </c>
    </row>
    <row r="35" spans="1:11" ht="18" customHeight="1" x14ac:dyDescent="0.35">
      <c r="K35" s="559"/>
    </row>
    <row r="36" spans="1:11" ht="18" customHeight="1" x14ac:dyDescent="0.4">
      <c r="A36" s="120" t="s">
        <v>137</v>
      </c>
      <c r="B36" s="117" t="s">
        <v>138</v>
      </c>
      <c r="E36" s="117" t="s">
        <v>7</v>
      </c>
      <c r="F36" s="560">
        <v>12009.5</v>
      </c>
      <c r="G36" s="560">
        <v>49075</v>
      </c>
      <c r="H36" s="560">
        <v>1806380</v>
      </c>
      <c r="I36" s="557">
        <v>1382530</v>
      </c>
      <c r="J36" s="557">
        <v>1258045</v>
      </c>
      <c r="K36" s="557">
        <v>1930865</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76858</v>
      </c>
      <c r="G40" s="555"/>
      <c r="H40" s="556">
        <v>3945440</v>
      </c>
      <c r="I40" s="144">
        <v>3574569</v>
      </c>
      <c r="J40" s="556"/>
      <c r="K40" s="557">
        <v>7520009</v>
      </c>
    </row>
    <row r="41" spans="1:11" ht="18" customHeight="1" x14ac:dyDescent="0.4">
      <c r="A41" s="183" t="s">
        <v>88</v>
      </c>
      <c r="B41" s="956" t="s">
        <v>50</v>
      </c>
      <c r="C41" s="957"/>
      <c r="F41" s="555">
        <v>4556</v>
      </c>
      <c r="G41" s="555"/>
      <c r="H41" s="556">
        <v>204825</v>
      </c>
      <c r="I41" s="144">
        <v>185571</v>
      </c>
      <c r="J41" s="556"/>
      <c r="K41" s="557">
        <v>390396</v>
      </c>
    </row>
    <row r="42" spans="1:11" ht="18" customHeight="1" x14ac:dyDescent="0.4">
      <c r="A42" s="183" t="s">
        <v>89</v>
      </c>
      <c r="B42" s="116" t="s">
        <v>11</v>
      </c>
      <c r="F42" s="555">
        <v>49</v>
      </c>
      <c r="G42" s="555">
        <v>18</v>
      </c>
      <c r="H42" s="556">
        <v>5432</v>
      </c>
      <c r="I42" s="144">
        <v>4922</v>
      </c>
      <c r="J42" s="556"/>
      <c r="K42" s="557">
        <v>10354</v>
      </c>
    </row>
    <row r="43" spans="1:11" ht="18" customHeight="1" x14ac:dyDescent="0.4">
      <c r="A43" s="183" t="s">
        <v>90</v>
      </c>
      <c r="B43" s="141" t="s">
        <v>10</v>
      </c>
      <c r="C43" s="123"/>
      <c r="D43" s="123"/>
      <c r="F43" s="555"/>
      <c r="G43" s="555"/>
      <c r="H43" s="556"/>
      <c r="I43" s="144">
        <v>0</v>
      </c>
      <c r="J43" s="556"/>
      <c r="K43" s="557">
        <v>0</v>
      </c>
    </row>
    <row r="44" spans="1:11" ht="18" customHeight="1" x14ac:dyDescent="0.4">
      <c r="A44" s="183" t="s">
        <v>91</v>
      </c>
      <c r="B44" s="951"/>
      <c r="C44" s="952"/>
      <c r="D44" s="953"/>
      <c r="F44" s="561"/>
      <c r="G44" s="561"/>
      <c r="H44" s="561"/>
      <c r="I44" s="146">
        <v>0</v>
      </c>
      <c r="J44" s="561"/>
      <c r="K44" s="562">
        <v>0</v>
      </c>
    </row>
    <row r="45" spans="1:11" ht="18" customHeight="1" x14ac:dyDescent="0.4">
      <c r="A45" s="183" t="s">
        <v>139</v>
      </c>
      <c r="B45" s="951"/>
      <c r="C45" s="952"/>
      <c r="D45" s="953"/>
      <c r="F45" s="555"/>
      <c r="G45" s="555"/>
      <c r="H45" s="556"/>
      <c r="I45" s="144">
        <v>0</v>
      </c>
      <c r="J45" s="556"/>
      <c r="K45" s="557">
        <v>0</v>
      </c>
    </row>
    <row r="46" spans="1:11" ht="18" customHeight="1" x14ac:dyDescent="0.4">
      <c r="A46" s="183" t="s">
        <v>140</v>
      </c>
      <c r="B46" s="951"/>
      <c r="C46" s="952"/>
      <c r="D46" s="953"/>
      <c r="F46" s="555"/>
      <c r="G46" s="555"/>
      <c r="H46" s="556"/>
      <c r="I46" s="144">
        <v>0</v>
      </c>
      <c r="J46" s="556"/>
      <c r="K46" s="557">
        <v>0</v>
      </c>
    </row>
    <row r="47" spans="1:11" ht="18" customHeight="1" x14ac:dyDescent="0.4">
      <c r="A47" s="183" t="s">
        <v>141</v>
      </c>
      <c r="B47" s="951"/>
      <c r="C47" s="952"/>
      <c r="D47" s="953"/>
      <c r="F47" s="555"/>
      <c r="G47" s="555"/>
      <c r="H47" s="556"/>
      <c r="I47" s="144">
        <v>0</v>
      </c>
      <c r="J47" s="556"/>
      <c r="K47" s="557">
        <v>0</v>
      </c>
    </row>
    <row r="49" spans="1:11" ht="18" customHeight="1" x14ac:dyDescent="0.4">
      <c r="A49" s="120" t="s">
        <v>142</v>
      </c>
      <c r="B49" s="117" t="s">
        <v>143</v>
      </c>
      <c r="E49" s="117" t="s">
        <v>7</v>
      </c>
      <c r="F49" s="601">
        <v>81463</v>
      </c>
      <c r="G49" s="563">
        <v>18</v>
      </c>
      <c r="H49" s="557">
        <v>4155697</v>
      </c>
      <c r="I49" s="557">
        <v>3765062</v>
      </c>
      <c r="J49" s="557">
        <v>0</v>
      </c>
      <c r="K49" s="557">
        <v>7920759</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588</v>
      </c>
      <c r="C53" s="979"/>
      <c r="D53" s="975"/>
      <c r="F53" s="555"/>
      <c r="G53" s="555"/>
      <c r="H53" s="556">
        <v>1037620</v>
      </c>
      <c r="I53" s="144">
        <v>0</v>
      </c>
      <c r="J53" s="556"/>
      <c r="K53" s="557">
        <v>1037620</v>
      </c>
    </row>
    <row r="54" spans="1:11" ht="18" customHeight="1" x14ac:dyDescent="0.4">
      <c r="A54" s="183" t="s">
        <v>93</v>
      </c>
      <c r="B54" s="503"/>
      <c r="C54" s="504"/>
      <c r="D54" s="505"/>
      <c r="F54" s="555"/>
      <c r="G54" s="555"/>
      <c r="H54" s="556"/>
      <c r="I54" s="144">
        <v>0</v>
      </c>
      <c r="J54" s="556"/>
      <c r="K54" s="557">
        <v>0</v>
      </c>
    </row>
    <row r="55" spans="1:11" ht="18" customHeight="1" x14ac:dyDescent="0.4">
      <c r="A55" s="183" t="s">
        <v>94</v>
      </c>
      <c r="B55" s="973" t="s">
        <v>589</v>
      </c>
      <c r="C55" s="974"/>
      <c r="D55" s="975"/>
      <c r="F55" s="555"/>
      <c r="G55" s="555"/>
      <c r="H55" s="556">
        <v>6798751</v>
      </c>
      <c r="I55" s="144">
        <v>0</v>
      </c>
      <c r="J55" s="556">
        <v>5806594</v>
      </c>
      <c r="K55" s="557">
        <v>992157</v>
      </c>
    </row>
    <row r="56" spans="1:11" ht="18" customHeight="1" x14ac:dyDescent="0.4">
      <c r="A56" s="183" t="s">
        <v>95</v>
      </c>
      <c r="B56" s="980"/>
      <c r="C56" s="974"/>
      <c r="D56" s="975"/>
      <c r="F56" s="555"/>
      <c r="G56" s="555"/>
      <c r="H56" s="556"/>
      <c r="I56" s="144">
        <v>0</v>
      </c>
      <c r="J56" s="556"/>
      <c r="K56" s="557">
        <v>0</v>
      </c>
    </row>
    <row r="57" spans="1:11" ht="18" customHeight="1" x14ac:dyDescent="0.4">
      <c r="A57" s="183" t="s">
        <v>96</v>
      </c>
      <c r="B57" s="973" t="s">
        <v>317</v>
      </c>
      <c r="C57" s="974"/>
      <c r="D57" s="975"/>
      <c r="F57" s="555"/>
      <c r="G57" s="555"/>
      <c r="H57" s="556">
        <v>7225074</v>
      </c>
      <c r="I57" s="144">
        <v>0</v>
      </c>
      <c r="J57" s="556">
        <v>2597535</v>
      </c>
      <c r="K57" s="557">
        <v>4627539</v>
      </c>
    </row>
    <row r="58" spans="1:11" ht="18" customHeight="1" x14ac:dyDescent="0.4">
      <c r="A58" s="183" t="s">
        <v>97</v>
      </c>
      <c r="B58" s="503"/>
      <c r="C58" s="504"/>
      <c r="D58" s="505"/>
      <c r="F58" s="555"/>
      <c r="G58" s="555"/>
      <c r="H58" s="556"/>
      <c r="I58" s="144">
        <v>0</v>
      </c>
      <c r="J58" s="556"/>
      <c r="K58" s="557">
        <v>0</v>
      </c>
    </row>
    <row r="59" spans="1:11" ht="18" customHeight="1" x14ac:dyDescent="0.4">
      <c r="A59" s="183" t="s">
        <v>98</v>
      </c>
      <c r="B59" s="980"/>
      <c r="C59" s="974"/>
      <c r="D59" s="975"/>
      <c r="F59" s="555"/>
      <c r="G59" s="555"/>
      <c r="H59" s="556"/>
      <c r="I59" s="144">
        <v>0</v>
      </c>
      <c r="J59" s="556"/>
      <c r="K59" s="557">
        <v>0</v>
      </c>
    </row>
    <row r="60" spans="1:11" ht="18" customHeight="1" x14ac:dyDescent="0.4">
      <c r="A60" s="183" t="s">
        <v>99</v>
      </c>
      <c r="B60" s="506" t="s">
        <v>436</v>
      </c>
      <c r="C60" s="504"/>
      <c r="D60" s="505"/>
      <c r="F60" s="555"/>
      <c r="G60" s="555"/>
      <c r="H60" s="556">
        <v>322249</v>
      </c>
      <c r="I60" s="144">
        <v>0</v>
      </c>
      <c r="J60" s="556"/>
      <c r="K60" s="557">
        <v>322249</v>
      </c>
    </row>
    <row r="61" spans="1:11" ht="18" customHeight="1" x14ac:dyDescent="0.4">
      <c r="A61" s="183" t="s">
        <v>100</v>
      </c>
      <c r="B61" s="506" t="s">
        <v>372</v>
      </c>
      <c r="C61" s="504"/>
      <c r="D61" s="505"/>
      <c r="F61" s="555"/>
      <c r="G61" s="555"/>
      <c r="H61" s="556">
        <v>221125</v>
      </c>
      <c r="I61" s="144">
        <v>0</v>
      </c>
      <c r="J61" s="556">
        <v>86167</v>
      </c>
      <c r="K61" s="557">
        <v>134958</v>
      </c>
    </row>
    <row r="62" spans="1:11" ht="18" customHeight="1" x14ac:dyDescent="0.4">
      <c r="A62" s="183" t="s">
        <v>101</v>
      </c>
      <c r="B62" s="980"/>
      <c r="C62" s="974"/>
      <c r="D62" s="975"/>
      <c r="F62" s="555"/>
      <c r="G62" s="555"/>
      <c r="H62" s="556"/>
      <c r="I62" s="144">
        <v>0</v>
      </c>
      <c r="J62" s="556"/>
      <c r="K62" s="557">
        <v>0</v>
      </c>
    </row>
    <row r="63" spans="1:11" ht="18" customHeight="1" x14ac:dyDescent="0.4">
      <c r="A63" s="183"/>
      <c r="I63" s="140"/>
    </row>
    <row r="64" spans="1:11" ht="18" customHeight="1" x14ac:dyDescent="0.4">
      <c r="A64" s="183" t="s">
        <v>144</v>
      </c>
      <c r="B64" s="117" t="s">
        <v>145</v>
      </c>
      <c r="E64" s="117" t="s">
        <v>7</v>
      </c>
      <c r="F64" s="560">
        <v>0</v>
      </c>
      <c r="G64" s="560">
        <v>0</v>
      </c>
      <c r="H64" s="557">
        <v>15604819</v>
      </c>
      <c r="I64" s="557">
        <v>0</v>
      </c>
      <c r="J64" s="557">
        <v>8490296</v>
      </c>
      <c r="K64" s="557">
        <v>7114523</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v>0</v>
      </c>
    </row>
    <row r="69" spans="1:11" ht="18" customHeight="1" x14ac:dyDescent="0.4">
      <c r="A69" s="183" t="s">
        <v>104</v>
      </c>
      <c r="B69" s="116" t="s">
        <v>53</v>
      </c>
      <c r="F69" s="564"/>
      <c r="G69" s="564"/>
      <c r="H69" s="564"/>
      <c r="I69" s="144">
        <v>0</v>
      </c>
      <c r="J69" s="564"/>
      <c r="K69" s="557">
        <v>0</v>
      </c>
    </row>
    <row r="70" spans="1:11" ht="18" customHeight="1" x14ac:dyDescent="0.4">
      <c r="A70" s="183" t="s">
        <v>178</v>
      </c>
      <c r="B70" s="503"/>
      <c r="C70" s="504"/>
      <c r="D70" s="505"/>
      <c r="E70" s="117"/>
      <c r="F70" s="131"/>
      <c r="G70" s="131"/>
      <c r="H70" s="132"/>
      <c r="I70" s="144">
        <v>0</v>
      </c>
      <c r="J70" s="132"/>
      <c r="K70" s="557">
        <v>0</v>
      </c>
    </row>
    <row r="71" spans="1:11" ht="18" customHeight="1" x14ac:dyDescent="0.4">
      <c r="A71" s="183" t="s">
        <v>179</v>
      </c>
      <c r="B71" s="503"/>
      <c r="C71" s="504"/>
      <c r="D71" s="505"/>
      <c r="E71" s="117"/>
      <c r="F71" s="131"/>
      <c r="G71" s="131"/>
      <c r="H71" s="132"/>
      <c r="I71" s="144">
        <v>0</v>
      </c>
      <c r="J71" s="132"/>
      <c r="K71" s="557">
        <v>0</v>
      </c>
    </row>
    <row r="72" spans="1:11" ht="18" customHeight="1" x14ac:dyDescent="0.4">
      <c r="A72" s="183" t="s">
        <v>180</v>
      </c>
      <c r="B72" s="510"/>
      <c r="C72" s="508"/>
      <c r="D72" s="130"/>
      <c r="E72" s="117"/>
      <c r="F72" s="555"/>
      <c r="G72" s="555"/>
      <c r="H72" s="556"/>
      <c r="I72" s="144">
        <v>0</v>
      </c>
      <c r="J72" s="556"/>
      <c r="K72" s="557">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v>0</v>
      </c>
      <c r="G74" s="566">
        <v>0</v>
      </c>
      <c r="H74" s="566">
        <v>0</v>
      </c>
      <c r="I74" s="145">
        <v>0</v>
      </c>
      <c r="J74" s="566">
        <v>0</v>
      </c>
      <c r="K74" s="56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57613</v>
      </c>
      <c r="I77" s="144">
        <v>0</v>
      </c>
      <c r="J77" s="556"/>
      <c r="K77" s="557">
        <v>57613</v>
      </c>
    </row>
    <row r="78" spans="1:11" ht="18" customHeight="1" x14ac:dyDescent="0.4">
      <c r="A78" s="183" t="s">
        <v>108</v>
      </c>
      <c r="B78" s="116" t="s">
        <v>55</v>
      </c>
      <c r="F78" s="555"/>
      <c r="G78" s="555"/>
      <c r="H78" s="556"/>
      <c r="I78" s="144">
        <v>0</v>
      </c>
      <c r="J78" s="556"/>
      <c r="K78" s="557">
        <v>0</v>
      </c>
    </row>
    <row r="79" spans="1:11" ht="18" customHeight="1" x14ac:dyDescent="0.4">
      <c r="A79" s="183" t="s">
        <v>109</v>
      </c>
      <c r="B79" s="116" t="s">
        <v>13</v>
      </c>
      <c r="F79" s="555">
        <v>138</v>
      </c>
      <c r="G79" s="555"/>
      <c r="H79" s="556">
        <v>19426</v>
      </c>
      <c r="I79" s="144">
        <v>0</v>
      </c>
      <c r="J79" s="556"/>
      <c r="K79" s="557">
        <v>19426</v>
      </c>
    </row>
    <row r="80" spans="1:11" ht="18" customHeight="1" x14ac:dyDescent="0.4">
      <c r="A80" s="183" t="s">
        <v>110</v>
      </c>
      <c r="B80" s="116" t="s">
        <v>56</v>
      </c>
      <c r="F80" s="555"/>
      <c r="G80" s="555"/>
      <c r="H80" s="556"/>
      <c r="I80" s="144">
        <v>0</v>
      </c>
      <c r="J80" s="556"/>
      <c r="K80" s="557">
        <v>0</v>
      </c>
    </row>
    <row r="81" spans="1:11" ht="18" customHeight="1" x14ac:dyDescent="0.4">
      <c r="A81" s="183"/>
      <c r="K81" s="568"/>
    </row>
    <row r="82" spans="1:11" ht="18" customHeight="1" x14ac:dyDescent="0.4">
      <c r="A82" s="183" t="s">
        <v>148</v>
      </c>
      <c r="B82" s="117" t="s">
        <v>149</v>
      </c>
      <c r="E82" s="117" t="s">
        <v>7</v>
      </c>
      <c r="F82" s="566">
        <v>138</v>
      </c>
      <c r="G82" s="566">
        <v>0</v>
      </c>
      <c r="H82" s="567">
        <v>77039</v>
      </c>
      <c r="I82" s="567">
        <v>0</v>
      </c>
      <c r="J82" s="567">
        <v>0</v>
      </c>
      <c r="K82" s="567">
        <v>77039</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v>5850</v>
      </c>
      <c r="I86" s="144">
        <v>0</v>
      </c>
      <c r="J86" s="556"/>
      <c r="K86" s="557">
        <v>5850</v>
      </c>
    </row>
    <row r="87" spans="1:11" ht="18" customHeight="1" x14ac:dyDescent="0.4">
      <c r="A87" s="183" t="s">
        <v>114</v>
      </c>
      <c r="B87" s="116" t="s">
        <v>14</v>
      </c>
      <c r="F87" s="555">
        <v>103</v>
      </c>
      <c r="G87" s="555"/>
      <c r="H87" s="556">
        <v>10100</v>
      </c>
      <c r="I87" s="144">
        <v>0</v>
      </c>
      <c r="J87" s="556"/>
      <c r="K87" s="557">
        <v>10100</v>
      </c>
    </row>
    <row r="88" spans="1:11" ht="18" customHeight="1" x14ac:dyDescent="0.4">
      <c r="A88" s="183" t="s">
        <v>115</v>
      </c>
      <c r="B88" s="116" t="s">
        <v>116</v>
      </c>
      <c r="F88" s="555">
        <v>97</v>
      </c>
      <c r="G88" s="555"/>
      <c r="H88" s="556">
        <v>9520</v>
      </c>
      <c r="I88" s="144">
        <v>0</v>
      </c>
      <c r="J88" s="556"/>
      <c r="K88" s="557">
        <v>9520</v>
      </c>
    </row>
    <row r="89" spans="1:11" ht="18" customHeight="1" x14ac:dyDescent="0.4">
      <c r="A89" s="183" t="s">
        <v>117</v>
      </c>
      <c r="B89" s="116" t="s">
        <v>58</v>
      </c>
      <c r="F89" s="555">
        <v>323</v>
      </c>
      <c r="G89" s="555">
        <v>39</v>
      </c>
      <c r="H89" s="556">
        <v>25670</v>
      </c>
      <c r="I89" s="144">
        <v>8911</v>
      </c>
      <c r="J89" s="556"/>
      <c r="K89" s="557">
        <v>34581</v>
      </c>
    </row>
    <row r="90" spans="1:11" ht="18" customHeight="1" x14ac:dyDescent="0.4">
      <c r="A90" s="183" t="s">
        <v>118</v>
      </c>
      <c r="B90" s="956" t="s">
        <v>59</v>
      </c>
      <c r="C90" s="957"/>
      <c r="F90" s="555"/>
      <c r="G90" s="555"/>
      <c r="H90" s="556"/>
      <c r="I90" s="144">
        <v>0</v>
      </c>
      <c r="J90" s="556"/>
      <c r="K90" s="557">
        <v>0</v>
      </c>
    </row>
    <row r="91" spans="1:11" ht="18" customHeight="1" x14ac:dyDescent="0.4">
      <c r="A91" s="183" t="s">
        <v>119</v>
      </c>
      <c r="B91" s="116" t="s">
        <v>60</v>
      </c>
      <c r="F91" s="555"/>
      <c r="G91" s="555"/>
      <c r="H91" s="556"/>
      <c r="I91" s="144">
        <v>0</v>
      </c>
      <c r="J91" s="556"/>
      <c r="K91" s="557">
        <v>0</v>
      </c>
    </row>
    <row r="92" spans="1:11" ht="18" customHeight="1" x14ac:dyDescent="0.4">
      <c r="A92" s="183" t="s">
        <v>120</v>
      </c>
      <c r="B92" s="116" t="s">
        <v>121</v>
      </c>
      <c r="F92" s="134"/>
      <c r="G92" s="134"/>
      <c r="H92" s="135">
        <v>26386</v>
      </c>
      <c r="I92" s="144">
        <v>0</v>
      </c>
      <c r="J92" s="135"/>
      <c r="K92" s="557">
        <v>26386</v>
      </c>
    </row>
    <row r="93" spans="1:11" ht="18" customHeight="1" x14ac:dyDescent="0.4">
      <c r="A93" s="183" t="s">
        <v>122</v>
      </c>
      <c r="B93" s="116" t="s">
        <v>123</v>
      </c>
      <c r="F93" s="555">
        <v>20</v>
      </c>
      <c r="G93" s="555">
        <v>10</v>
      </c>
      <c r="H93" s="556">
        <v>11614</v>
      </c>
      <c r="I93" s="144">
        <v>5750</v>
      </c>
      <c r="J93" s="556"/>
      <c r="K93" s="557">
        <v>17364</v>
      </c>
    </row>
    <row r="94" spans="1:11" ht="18" customHeight="1" x14ac:dyDescent="0.4">
      <c r="A94" s="183" t="s">
        <v>124</v>
      </c>
      <c r="B94" s="980"/>
      <c r="C94" s="974"/>
      <c r="D94" s="975"/>
      <c r="F94" s="555"/>
      <c r="G94" s="555"/>
      <c r="H94" s="556"/>
      <c r="I94" s="144">
        <v>0</v>
      </c>
      <c r="J94" s="556"/>
      <c r="K94" s="557">
        <v>0</v>
      </c>
    </row>
    <row r="95" spans="1:11" ht="18" customHeight="1" x14ac:dyDescent="0.4">
      <c r="A95" s="183" t="s">
        <v>125</v>
      </c>
      <c r="B95" s="980"/>
      <c r="C95" s="974"/>
      <c r="D95" s="975"/>
      <c r="F95" s="555"/>
      <c r="G95" s="555"/>
      <c r="H95" s="556"/>
      <c r="I95" s="144">
        <v>0</v>
      </c>
      <c r="J95" s="556"/>
      <c r="K95" s="557">
        <v>0</v>
      </c>
    </row>
    <row r="96" spans="1:11" ht="18" customHeight="1" x14ac:dyDescent="0.4">
      <c r="A96" s="183" t="s">
        <v>126</v>
      </c>
      <c r="B96" s="980"/>
      <c r="C96" s="974"/>
      <c r="D96" s="975"/>
      <c r="F96" s="555"/>
      <c r="G96" s="555"/>
      <c r="H96" s="556"/>
      <c r="I96" s="144">
        <v>0</v>
      </c>
      <c r="J96" s="556"/>
      <c r="K96" s="557">
        <v>0</v>
      </c>
    </row>
    <row r="97" spans="1:11" ht="18" customHeight="1" x14ac:dyDescent="0.4">
      <c r="A97" s="183"/>
      <c r="B97" s="116"/>
    </row>
    <row r="98" spans="1:11" ht="18" customHeight="1" x14ac:dyDescent="0.4">
      <c r="A98" s="120" t="s">
        <v>150</v>
      </c>
      <c r="B98" s="117" t="s">
        <v>151</v>
      </c>
      <c r="E98" s="117" t="s">
        <v>7</v>
      </c>
      <c r="F98" s="560">
        <v>543</v>
      </c>
      <c r="G98" s="560">
        <v>49</v>
      </c>
      <c r="H98" s="560">
        <v>89140</v>
      </c>
      <c r="I98" s="560">
        <v>14661</v>
      </c>
      <c r="J98" s="560">
        <v>0</v>
      </c>
      <c r="K98" s="560">
        <v>103801</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2080</v>
      </c>
      <c r="G102" s="555"/>
      <c r="H102" s="556">
        <v>164448</v>
      </c>
      <c r="I102" s="144">
        <v>102678</v>
      </c>
      <c r="J102" s="556"/>
      <c r="K102" s="557">
        <v>267126</v>
      </c>
    </row>
    <row r="103" spans="1:11" ht="18" customHeight="1" x14ac:dyDescent="0.4">
      <c r="A103" s="183" t="s">
        <v>132</v>
      </c>
      <c r="B103" s="956" t="s">
        <v>62</v>
      </c>
      <c r="C103" s="956"/>
      <c r="F103" s="555"/>
      <c r="G103" s="555"/>
      <c r="H103" s="556"/>
      <c r="I103" s="144">
        <v>0</v>
      </c>
      <c r="J103" s="556"/>
      <c r="K103" s="557">
        <v>0</v>
      </c>
    </row>
    <row r="104" spans="1:11" ht="18" customHeight="1" x14ac:dyDescent="0.4">
      <c r="A104" s="183" t="s">
        <v>128</v>
      </c>
      <c r="B104" s="980"/>
      <c r="C104" s="974"/>
      <c r="D104" s="975"/>
      <c r="F104" s="555"/>
      <c r="G104" s="555"/>
      <c r="H104" s="556"/>
      <c r="I104" s="144">
        <v>0</v>
      </c>
      <c r="J104" s="556"/>
      <c r="K104" s="557">
        <v>0</v>
      </c>
    </row>
    <row r="105" spans="1:11" ht="18" customHeight="1" x14ac:dyDescent="0.4">
      <c r="A105" s="183" t="s">
        <v>127</v>
      </c>
      <c r="B105" s="980"/>
      <c r="C105" s="974"/>
      <c r="D105" s="975"/>
      <c r="F105" s="555"/>
      <c r="G105" s="555"/>
      <c r="H105" s="556"/>
      <c r="I105" s="144">
        <v>0</v>
      </c>
      <c r="J105" s="556"/>
      <c r="K105" s="557">
        <v>0</v>
      </c>
    </row>
    <row r="106" spans="1:11" ht="18" customHeight="1" x14ac:dyDescent="0.4">
      <c r="A106" s="183" t="s">
        <v>129</v>
      </c>
      <c r="B106" s="980"/>
      <c r="C106" s="974"/>
      <c r="D106" s="975"/>
      <c r="F106" s="555"/>
      <c r="G106" s="555"/>
      <c r="H106" s="556"/>
      <c r="I106" s="144">
        <v>0</v>
      </c>
      <c r="J106" s="556"/>
      <c r="K106" s="557">
        <v>0</v>
      </c>
    </row>
    <row r="107" spans="1:11" ht="18" customHeight="1" x14ac:dyDescent="0.4">
      <c r="B107" s="117"/>
    </row>
    <row r="108" spans="1:11" s="123" customFormat="1" ht="18" customHeight="1" x14ac:dyDescent="0.4">
      <c r="A108" s="120" t="s">
        <v>153</v>
      </c>
      <c r="B108" s="153" t="s">
        <v>154</v>
      </c>
      <c r="C108" s="189"/>
      <c r="D108" s="189"/>
      <c r="E108" s="117" t="s">
        <v>7</v>
      </c>
      <c r="F108" s="560">
        <v>2080</v>
      </c>
      <c r="G108" s="560">
        <v>0</v>
      </c>
      <c r="H108" s="557">
        <v>164448</v>
      </c>
      <c r="I108" s="557">
        <v>102678</v>
      </c>
      <c r="J108" s="557">
        <v>0</v>
      </c>
      <c r="K108" s="557">
        <v>267126</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5016378</v>
      </c>
    </row>
    <row r="112" spans="1:11" ht="18" customHeight="1" x14ac:dyDescent="0.4">
      <c r="B112" s="117"/>
      <c r="E112" s="117"/>
      <c r="F112" s="184"/>
    </row>
    <row r="113" spans="1:7" ht="18" customHeight="1" x14ac:dyDescent="0.4">
      <c r="A113" s="120"/>
      <c r="B113" s="117" t="s">
        <v>15</v>
      </c>
    </row>
    <row r="114" spans="1:7" ht="18" customHeight="1" x14ac:dyDescent="0.4">
      <c r="A114" s="183" t="s">
        <v>171</v>
      </c>
      <c r="B114" s="116" t="s">
        <v>35</v>
      </c>
      <c r="F114" s="570">
        <v>0.90600000000000003</v>
      </c>
    </row>
    <row r="115" spans="1:7" ht="18" customHeight="1" x14ac:dyDescent="0.4">
      <c r="A115" s="183"/>
      <c r="B115" s="117"/>
    </row>
    <row r="116" spans="1:7" ht="18" customHeight="1" x14ac:dyDescent="0.4">
      <c r="A116" s="183" t="s">
        <v>170</v>
      </c>
      <c r="B116" s="117" t="s">
        <v>16</v>
      </c>
    </row>
    <row r="117" spans="1:7" ht="18" customHeight="1" x14ac:dyDescent="0.4">
      <c r="A117" s="183" t="s">
        <v>172</v>
      </c>
      <c r="B117" s="116" t="s">
        <v>17</v>
      </c>
      <c r="F117" s="556">
        <v>178122840</v>
      </c>
    </row>
    <row r="118" spans="1:7" ht="18" customHeight="1" x14ac:dyDescent="0.4">
      <c r="A118" s="183" t="s">
        <v>173</v>
      </c>
      <c r="B118" s="189" t="s">
        <v>18</v>
      </c>
      <c r="F118" s="556">
        <v>12383364</v>
      </c>
    </row>
    <row r="119" spans="1:7" ht="18" customHeight="1" x14ac:dyDescent="0.4">
      <c r="A119" s="183" t="s">
        <v>174</v>
      </c>
      <c r="B119" s="117" t="s">
        <v>19</v>
      </c>
      <c r="F119" s="567">
        <v>190506204</v>
      </c>
    </row>
    <row r="120" spans="1:7" ht="18" customHeight="1" x14ac:dyDescent="0.4">
      <c r="A120" s="183"/>
      <c r="B120" s="117"/>
    </row>
    <row r="121" spans="1:7" ht="18" customHeight="1" x14ac:dyDescent="0.4">
      <c r="A121" s="183" t="s">
        <v>167</v>
      </c>
      <c r="B121" s="117" t="s">
        <v>36</v>
      </c>
      <c r="F121" s="556">
        <v>190590189</v>
      </c>
      <c r="G121" s="185"/>
    </row>
    <row r="122" spans="1:7" ht="18" customHeight="1" x14ac:dyDescent="0.4">
      <c r="A122" s="183"/>
    </row>
    <row r="123" spans="1:7" ht="18" customHeight="1" x14ac:dyDescent="0.4">
      <c r="A123" s="183" t="s">
        <v>175</v>
      </c>
      <c r="B123" s="117" t="s">
        <v>20</v>
      </c>
      <c r="F123" s="556">
        <v>-83985</v>
      </c>
    </row>
    <row r="124" spans="1:7" ht="18" customHeight="1" x14ac:dyDescent="0.4">
      <c r="A124" s="183"/>
    </row>
    <row r="125" spans="1:7" ht="18" customHeight="1" x14ac:dyDescent="0.4">
      <c r="A125" s="183" t="s">
        <v>176</v>
      </c>
      <c r="B125" s="117" t="s">
        <v>21</v>
      </c>
      <c r="F125" s="556">
        <v>381291</v>
      </c>
    </row>
    <row r="126" spans="1:7" ht="18" customHeight="1" x14ac:dyDescent="0.4">
      <c r="A126" s="183"/>
    </row>
    <row r="127" spans="1:7" ht="18" customHeight="1" x14ac:dyDescent="0.4">
      <c r="A127" s="183" t="s">
        <v>177</v>
      </c>
      <c r="B127" s="117" t="s">
        <v>22</v>
      </c>
      <c r="F127" s="556">
        <v>297306</v>
      </c>
    </row>
    <row r="128" spans="1:7"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v>0</v>
      </c>
    </row>
    <row r="132" spans="1:11" ht="18" customHeight="1" x14ac:dyDescent="0.4">
      <c r="A132" s="183" t="s">
        <v>159</v>
      </c>
      <c r="B132" s="189" t="s">
        <v>25</v>
      </c>
      <c r="F132" s="555"/>
      <c r="G132" s="555"/>
      <c r="H132" s="556"/>
      <c r="I132" s="144">
        <v>0</v>
      </c>
      <c r="J132" s="556"/>
      <c r="K132" s="557">
        <v>0</v>
      </c>
    </row>
    <row r="133" spans="1:11" ht="18" customHeight="1" x14ac:dyDescent="0.4">
      <c r="A133" s="183" t="s">
        <v>160</v>
      </c>
      <c r="B133" s="951"/>
      <c r="C133" s="952"/>
      <c r="D133" s="953"/>
      <c r="F133" s="555"/>
      <c r="G133" s="555"/>
      <c r="H133" s="556"/>
      <c r="I133" s="144">
        <v>0</v>
      </c>
      <c r="J133" s="556"/>
      <c r="K133" s="557">
        <v>0</v>
      </c>
    </row>
    <row r="134" spans="1:11" ht="18" customHeight="1" x14ac:dyDescent="0.4">
      <c r="A134" s="183" t="s">
        <v>161</v>
      </c>
      <c r="B134" s="951"/>
      <c r="C134" s="952"/>
      <c r="D134" s="953"/>
      <c r="F134" s="555"/>
      <c r="G134" s="555"/>
      <c r="H134" s="556"/>
      <c r="I134" s="144">
        <v>0</v>
      </c>
      <c r="J134" s="556"/>
      <c r="K134" s="557">
        <v>0</v>
      </c>
    </row>
    <row r="135" spans="1:11" ht="18" customHeight="1" x14ac:dyDescent="0.4">
      <c r="A135" s="183" t="s">
        <v>162</v>
      </c>
      <c r="B135" s="951"/>
      <c r="C135" s="952"/>
      <c r="D135" s="953"/>
      <c r="F135" s="555"/>
      <c r="G135" s="555"/>
      <c r="H135" s="556"/>
      <c r="I135" s="144">
        <v>0</v>
      </c>
      <c r="J135" s="556"/>
      <c r="K135" s="557">
        <v>0</v>
      </c>
    </row>
    <row r="136" spans="1:11" ht="18" customHeight="1" x14ac:dyDescent="0.4">
      <c r="A136" s="120"/>
    </row>
    <row r="137" spans="1:11" ht="18" customHeight="1" x14ac:dyDescent="0.4">
      <c r="A137" s="120" t="s">
        <v>163</v>
      </c>
      <c r="B137" s="117" t="s">
        <v>27</v>
      </c>
      <c r="F137" s="560">
        <v>0</v>
      </c>
      <c r="G137" s="560">
        <v>0</v>
      </c>
      <c r="H137" s="557">
        <v>0</v>
      </c>
      <c r="I137" s="557">
        <v>0</v>
      </c>
      <c r="J137" s="557">
        <v>0</v>
      </c>
      <c r="K137" s="557">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v>12009.5</v>
      </c>
      <c r="G141" s="136">
        <v>49075</v>
      </c>
      <c r="H141" s="136">
        <v>1806380</v>
      </c>
      <c r="I141" s="136">
        <v>1382530</v>
      </c>
      <c r="J141" s="136">
        <v>1258045</v>
      </c>
      <c r="K141" s="136">
        <v>1930865</v>
      </c>
    </row>
    <row r="142" spans="1:11" ht="18" customHeight="1" x14ac:dyDescent="0.4">
      <c r="A142" s="183" t="s">
        <v>142</v>
      </c>
      <c r="B142" s="117" t="s">
        <v>65</v>
      </c>
      <c r="F142" s="136">
        <v>81463</v>
      </c>
      <c r="G142" s="136">
        <v>18</v>
      </c>
      <c r="H142" s="136">
        <v>4155697</v>
      </c>
      <c r="I142" s="136">
        <v>3765062</v>
      </c>
      <c r="J142" s="136">
        <v>0</v>
      </c>
      <c r="K142" s="136">
        <v>7920759</v>
      </c>
    </row>
    <row r="143" spans="1:11" ht="18" customHeight="1" x14ac:dyDescent="0.4">
      <c r="A143" s="183" t="s">
        <v>144</v>
      </c>
      <c r="B143" s="117" t="s">
        <v>66</v>
      </c>
      <c r="F143" s="136">
        <v>0</v>
      </c>
      <c r="G143" s="136">
        <v>0</v>
      </c>
      <c r="H143" s="136">
        <v>15604819</v>
      </c>
      <c r="I143" s="136">
        <v>0</v>
      </c>
      <c r="J143" s="136">
        <v>8490296</v>
      </c>
      <c r="K143" s="136">
        <v>7114523</v>
      </c>
    </row>
    <row r="144" spans="1:11" ht="18" customHeight="1" x14ac:dyDescent="0.4">
      <c r="A144" s="183" t="s">
        <v>146</v>
      </c>
      <c r="B144" s="117" t="s">
        <v>67</v>
      </c>
      <c r="F144" s="136">
        <v>0</v>
      </c>
      <c r="G144" s="136">
        <v>0</v>
      </c>
      <c r="H144" s="136">
        <v>0</v>
      </c>
      <c r="I144" s="136">
        <v>0</v>
      </c>
      <c r="J144" s="136">
        <v>0</v>
      </c>
      <c r="K144" s="136">
        <v>0</v>
      </c>
    </row>
    <row r="145" spans="1:11" ht="18" customHeight="1" x14ac:dyDescent="0.4">
      <c r="A145" s="183" t="s">
        <v>148</v>
      </c>
      <c r="B145" s="117" t="s">
        <v>68</v>
      </c>
      <c r="F145" s="136">
        <v>138</v>
      </c>
      <c r="G145" s="136">
        <v>0</v>
      </c>
      <c r="H145" s="136">
        <v>77039</v>
      </c>
      <c r="I145" s="136">
        <v>0</v>
      </c>
      <c r="J145" s="136">
        <v>0</v>
      </c>
      <c r="K145" s="136">
        <v>77039</v>
      </c>
    </row>
    <row r="146" spans="1:11" ht="18" customHeight="1" x14ac:dyDescent="0.4">
      <c r="A146" s="183" t="s">
        <v>150</v>
      </c>
      <c r="B146" s="117" t="s">
        <v>69</v>
      </c>
      <c r="F146" s="136">
        <v>543</v>
      </c>
      <c r="G146" s="136">
        <v>49</v>
      </c>
      <c r="H146" s="136">
        <v>89140</v>
      </c>
      <c r="I146" s="136">
        <v>14661</v>
      </c>
      <c r="J146" s="136">
        <v>0</v>
      </c>
      <c r="K146" s="136">
        <v>103801</v>
      </c>
    </row>
    <row r="147" spans="1:11" ht="18" customHeight="1" x14ac:dyDescent="0.4">
      <c r="A147" s="183" t="s">
        <v>153</v>
      </c>
      <c r="B147" s="117" t="s">
        <v>61</v>
      </c>
      <c r="F147" s="560">
        <v>2080</v>
      </c>
      <c r="G147" s="560">
        <v>0</v>
      </c>
      <c r="H147" s="560">
        <v>164448</v>
      </c>
      <c r="I147" s="560">
        <v>102678</v>
      </c>
      <c r="J147" s="560">
        <v>0</v>
      </c>
      <c r="K147" s="560">
        <v>267126</v>
      </c>
    </row>
    <row r="148" spans="1:11" ht="18" customHeight="1" x14ac:dyDescent="0.4">
      <c r="A148" s="183" t="s">
        <v>155</v>
      </c>
      <c r="B148" s="117" t="s">
        <v>70</v>
      </c>
      <c r="F148" s="137" t="s">
        <v>73</v>
      </c>
      <c r="G148" s="137" t="s">
        <v>73</v>
      </c>
      <c r="H148" s="138" t="s">
        <v>73</v>
      </c>
      <c r="I148" s="138" t="s">
        <v>73</v>
      </c>
      <c r="J148" s="138" t="s">
        <v>73</v>
      </c>
      <c r="K148" s="133">
        <v>5016378</v>
      </c>
    </row>
    <row r="149" spans="1:11" ht="18" customHeight="1" x14ac:dyDescent="0.4">
      <c r="A149" s="183" t="s">
        <v>163</v>
      </c>
      <c r="B149" s="117" t="s">
        <v>71</v>
      </c>
      <c r="F149" s="560">
        <v>0</v>
      </c>
      <c r="G149" s="560">
        <v>0</v>
      </c>
      <c r="H149" s="560">
        <v>0</v>
      </c>
      <c r="I149" s="560">
        <v>0</v>
      </c>
      <c r="J149" s="560">
        <v>0</v>
      </c>
      <c r="K149" s="560">
        <v>0</v>
      </c>
    </row>
    <row r="150" spans="1:11" ht="18" customHeight="1" x14ac:dyDescent="0.4">
      <c r="A150" s="183" t="s">
        <v>185</v>
      </c>
      <c r="B150" s="117" t="s">
        <v>186</v>
      </c>
      <c r="F150" s="137" t="s">
        <v>73</v>
      </c>
      <c r="G150" s="137" t="s">
        <v>73</v>
      </c>
      <c r="H150" s="560">
        <v>3664418</v>
      </c>
      <c r="I150" s="560">
        <v>0</v>
      </c>
      <c r="J150" s="560">
        <v>3046330</v>
      </c>
      <c r="K150" s="560">
        <v>618088</v>
      </c>
    </row>
    <row r="151" spans="1:11" ht="18" customHeight="1" x14ac:dyDescent="0.4">
      <c r="B151" s="117"/>
      <c r="F151" s="142"/>
      <c r="G151" s="142"/>
      <c r="H151" s="142"/>
      <c r="I151" s="142"/>
      <c r="J151" s="142"/>
      <c r="K151" s="142"/>
    </row>
    <row r="152" spans="1:11" ht="18" customHeight="1" x14ac:dyDescent="0.4">
      <c r="A152" s="120" t="s">
        <v>165</v>
      </c>
      <c r="B152" s="117" t="s">
        <v>26</v>
      </c>
      <c r="F152" s="143">
        <v>96233.5</v>
      </c>
      <c r="G152" s="143">
        <v>49142</v>
      </c>
      <c r="H152" s="143">
        <v>25561941</v>
      </c>
      <c r="I152" s="143">
        <v>5264931</v>
      </c>
      <c r="J152" s="143">
        <v>12794671</v>
      </c>
      <c r="K152" s="143">
        <v>23048579</v>
      </c>
    </row>
    <row r="154" spans="1:11" ht="18" customHeight="1" x14ac:dyDescent="0.4">
      <c r="A154" s="120" t="s">
        <v>168</v>
      </c>
      <c r="B154" s="117" t="s">
        <v>28</v>
      </c>
      <c r="F154" s="571">
        <v>0.12093266248872862</v>
      </c>
    </row>
    <row r="155" spans="1:11" ht="18" customHeight="1" x14ac:dyDescent="0.4">
      <c r="A155" s="120" t="s">
        <v>169</v>
      </c>
      <c r="B155" s="117" t="s">
        <v>72</v>
      </c>
      <c r="F155" s="571">
        <v>77.524769093122913</v>
      </c>
      <c r="G155" s="117"/>
      <c r="K155" s="255"/>
    </row>
    <row r="156" spans="1:11" ht="18" customHeight="1" x14ac:dyDescent="0.4">
      <c r="F156" s="763"/>
      <c r="G156" s="117"/>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hyperlinks>
  <pageMargins left="0.7" right="0.7" top="0.75" bottom="0.75" header="0.3" footer="0.3"/>
  <pageSetup scale="18" orientation="landscape"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156"/>
  <sheetViews>
    <sheetView showGridLines="0" topLeftCell="A49" zoomScale="80" zoomScaleNormal="80" zoomScaleSheetLayoutView="10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612</v>
      </c>
      <c r="D5" s="955"/>
      <c r="E5" s="955"/>
      <c r="F5" s="955"/>
      <c r="G5" s="981"/>
    </row>
    <row r="6" spans="1:11" ht="18" customHeight="1" x14ac:dyDescent="0.4">
      <c r="B6" s="183" t="s">
        <v>3</v>
      </c>
      <c r="C6" s="964"/>
      <c r="D6" s="965"/>
      <c r="E6" s="965"/>
      <c r="F6" s="965"/>
      <c r="G6" s="966"/>
    </row>
    <row r="7" spans="1:11" ht="18" customHeight="1" x14ac:dyDescent="0.4">
      <c r="B7" s="183" t="s">
        <v>4</v>
      </c>
      <c r="C7" s="1014"/>
      <c r="D7" s="1015"/>
      <c r="E7" s="1015"/>
      <c r="F7" s="1015"/>
      <c r="G7" s="1016"/>
    </row>
    <row r="9" spans="1:11" ht="18" customHeight="1" x14ac:dyDescent="0.4">
      <c r="B9" s="183" t="s">
        <v>1</v>
      </c>
      <c r="C9" s="961" t="s">
        <v>766</v>
      </c>
      <c r="D9" s="962"/>
      <c r="E9" s="962"/>
      <c r="F9" s="962"/>
      <c r="G9" s="963"/>
    </row>
    <row r="10" spans="1:11" ht="18" customHeight="1" x14ac:dyDescent="0.4">
      <c r="B10" s="183" t="s">
        <v>2</v>
      </c>
      <c r="C10" s="970" t="s">
        <v>767</v>
      </c>
      <c r="D10" s="971"/>
      <c r="E10" s="971"/>
      <c r="F10" s="971"/>
      <c r="G10" s="972"/>
    </row>
    <row r="11" spans="1:11" ht="18" customHeight="1" x14ac:dyDescent="0.4">
      <c r="B11" s="183" t="s">
        <v>32</v>
      </c>
      <c r="C11" s="1020" t="s">
        <v>768</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3089898</v>
      </c>
      <c r="I18" s="144">
        <v>0</v>
      </c>
      <c r="J18" s="556">
        <v>2568716</v>
      </c>
      <c r="K18" s="557">
        <f>(H18+I18)-J18</f>
        <v>521182</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575</v>
      </c>
      <c r="G21" s="555">
        <v>129759</v>
      </c>
      <c r="H21" s="556">
        <v>64301</v>
      </c>
      <c r="I21" s="144">
        <f t="shared" ref="I21:I34" si="0">H21*F$114</f>
        <v>51788.668409999998</v>
      </c>
      <c r="J21" s="556"/>
      <c r="K21" s="557">
        <f t="shared" ref="K21:K34" si="1">(H21+I21)-J21</f>
        <v>116089.66841</v>
      </c>
    </row>
    <row r="22" spans="1:11" ht="18" customHeight="1" x14ac:dyDescent="0.4">
      <c r="A22" s="183" t="s">
        <v>76</v>
      </c>
      <c r="B22" s="189" t="s">
        <v>6</v>
      </c>
      <c r="F22" s="555"/>
      <c r="G22" s="555"/>
      <c r="H22" s="556"/>
      <c r="I22" s="144">
        <f t="shared" si="0"/>
        <v>0</v>
      </c>
      <c r="J22" s="556"/>
      <c r="K22" s="557">
        <f t="shared" si="1"/>
        <v>0</v>
      </c>
    </row>
    <row r="23" spans="1:11" ht="18" customHeight="1" x14ac:dyDescent="0.4">
      <c r="A23" s="183" t="s">
        <v>77</v>
      </c>
      <c r="B23" s="189" t="s">
        <v>43</v>
      </c>
      <c r="F23" s="555"/>
      <c r="G23" s="555"/>
      <c r="H23" s="556"/>
      <c r="I23" s="144">
        <f t="shared" si="0"/>
        <v>0</v>
      </c>
      <c r="J23" s="556"/>
      <c r="K23" s="557">
        <f t="shared" si="1"/>
        <v>0</v>
      </c>
    </row>
    <row r="24" spans="1:11" ht="18" customHeight="1" x14ac:dyDescent="0.4">
      <c r="A24" s="183" t="s">
        <v>78</v>
      </c>
      <c r="B24" s="189" t="s">
        <v>44</v>
      </c>
      <c r="F24" s="555"/>
      <c r="G24" s="555"/>
      <c r="H24" s="556"/>
      <c r="I24" s="144">
        <f t="shared" si="0"/>
        <v>0</v>
      </c>
      <c r="J24" s="556"/>
      <c r="K24" s="557">
        <f t="shared" si="1"/>
        <v>0</v>
      </c>
    </row>
    <row r="25" spans="1:11" ht="18" customHeight="1" x14ac:dyDescent="0.4">
      <c r="A25" s="183" t="s">
        <v>79</v>
      </c>
      <c r="B25" s="189" t="s">
        <v>5</v>
      </c>
      <c r="F25" s="555"/>
      <c r="G25" s="555"/>
      <c r="H25" s="556"/>
      <c r="I25" s="144">
        <f t="shared" si="0"/>
        <v>0</v>
      </c>
      <c r="J25" s="556"/>
      <c r="K25" s="557">
        <f t="shared" si="1"/>
        <v>0</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c r="G27" s="555"/>
      <c r="H27" s="556"/>
      <c r="I27" s="144">
        <f t="shared" si="0"/>
        <v>0</v>
      </c>
      <c r="J27" s="556"/>
      <c r="K27" s="557">
        <f t="shared" si="1"/>
        <v>0</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5">
        <v>357</v>
      </c>
      <c r="G29" s="555">
        <v>560</v>
      </c>
      <c r="H29" s="556">
        <v>47652</v>
      </c>
      <c r="I29" s="144">
        <f t="shared" si="0"/>
        <v>38379.397319999996</v>
      </c>
      <c r="J29" s="556"/>
      <c r="K29" s="557">
        <f t="shared" si="1"/>
        <v>86031.397319999989</v>
      </c>
    </row>
    <row r="30" spans="1:11" ht="18" customHeight="1" x14ac:dyDescent="0.4">
      <c r="A30" s="183" t="s">
        <v>84</v>
      </c>
      <c r="B30" s="951" t="s">
        <v>233</v>
      </c>
      <c r="C30" s="952"/>
      <c r="D30" s="953"/>
      <c r="F30" s="555">
        <v>558</v>
      </c>
      <c r="G30" s="555">
        <v>80</v>
      </c>
      <c r="H30" s="556">
        <v>27025</v>
      </c>
      <c r="I30" s="144">
        <f t="shared" si="0"/>
        <v>21766.205249999999</v>
      </c>
      <c r="J30" s="556"/>
      <c r="K30" s="557">
        <f t="shared" si="1"/>
        <v>48791.205249999999</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1490</v>
      </c>
      <c r="G36" s="560">
        <f t="shared" si="2"/>
        <v>130399</v>
      </c>
      <c r="H36" s="560">
        <f t="shared" si="2"/>
        <v>138978</v>
      </c>
      <c r="I36" s="557">
        <f t="shared" si="2"/>
        <v>111934.27098</v>
      </c>
      <c r="J36" s="557">
        <f t="shared" si="2"/>
        <v>0</v>
      </c>
      <c r="K36" s="557">
        <f t="shared" si="2"/>
        <v>250912.27097999997</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c r="G40" s="555"/>
      <c r="H40" s="556"/>
      <c r="I40" s="144">
        <f t="shared" ref="I40:I47" si="3">H40*F$114</f>
        <v>0</v>
      </c>
      <c r="J40" s="556"/>
      <c r="K40" s="557">
        <f t="shared" ref="K40:K47" si="4">(H40+I40)-J40</f>
        <v>0</v>
      </c>
    </row>
    <row r="41" spans="1:11" ht="18" customHeight="1" x14ac:dyDescent="0.4">
      <c r="A41" s="183" t="s">
        <v>88</v>
      </c>
      <c r="B41" s="956" t="s">
        <v>50</v>
      </c>
      <c r="C41" s="957"/>
      <c r="F41" s="555">
        <v>1608</v>
      </c>
      <c r="G41" s="555">
        <v>57</v>
      </c>
      <c r="H41" s="556">
        <v>52321</v>
      </c>
      <c r="I41" s="144">
        <f t="shared" si="3"/>
        <v>42139.856609999995</v>
      </c>
      <c r="J41" s="556"/>
      <c r="K41" s="557">
        <f t="shared" si="4"/>
        <v>94460.856609999988</v>
      </c>
    </row>
    <row r="42" spans="1:11" ht="18" customHeight="1" x14ac:dyDescent="0.4">
      <c r="A42" s="183" t="s">
        <v>89</v>
      </c>
      <c r="B42" s="116" t="s">
        <v>11</v>
      </c>
      <c r="F42" s="555">
        <v>1212</v>
      </c>
      <c r="G42" s="555">
        <v>13</v>
      </c>
      <c r="H42" s="556">
        <v>39282</v>
      </c>
      <c r="I42" s="144">
        <f t="shared" si="3"/>
        <v>31638.115619999997</v>
      </c>
      <c r="J42" s="556"/>
      <c r="K42" s="557">
        <f t="shared" si="4"/>
        <v>70920.115619999997</v>
      </c>
    </row>
    <row r="43" spans="1:11" ht="18" customHeight="1" x14ac:dyDescent="0.4">
      <c r="A43" s="183" t="s">
        <v>90</v>
      </c>
      <c r="B43" s="141" t="s">
        <v>10</v>
      </c>
      <c r="C43" s="123"/>
      <c r="D43" s="123"/>
      <c r="F43" s="555"/>
      <c r="G43" s="555"/>
      <c r="H43" s="556"/>
      <c r="I43" s="144">
        <f t="shared" si="3"/>
        <v>0</v>
      </c>
      <c r="J43" s="556"/>
      <c r="K43" s="557">
        <f t="shared" si="4"/>
        <v>0</v>
      </c>
    </row>
    <row r="44" spans="1:11" ht="18" customHeight="1" x14ac:dyDescent="0.4">
      <c r="A44" s="183" t="s">
        <v>91</v>
      </c>
      <c r="B44" s="951"/>
      <c r="C44" s="952"/>
      <c r="D44" s="953"/>
      <c r="F44" s="561"/>
      <c r="G44" s="561"/>
      <c r="H44" s="561"/>
      <c r="I44" s="146">
        <f t="shared" si="3"/>
        <v>0</v>
      </c>
      <c r="J44" s="561"/>
      <c r="K44" s="562">
        <f t="shared" si="4"/>
        <v>0</v>
      </c>
    </row>
    <row r="45" spans="1:11" ht="18" customHeight="1" x14ac:dyDescent="0.4">
      <c r="A45" s="183" t="s">
        <v>139</v>
      </c>
      <c r="B45" s="951"/>
      <c r="C45" s="952"/>
      <c r="D45" s="953"/>
      <c r="F45" s="555"/>
      <c r="G45" s="555"/>
      <c r="H45" s="556"/>
      <c r="I45" s="144">
        <f t="shared" si="3"/>
        <v>0</v>
      </c>
      <c r="J45" s="556"/>
      <c r="K45" s="557">
        <f t="shared" si="4"/>
        <v>0</v>
      </c>
    </row>
    <row r="46" spans="1:11" ht="18" customHeight="1" x14ac:dyDescent="0.4">
      <c r="A46" s="183" t="s">
        <v>140</v>
      </c>
      <c r="B46" s="951"/>
      <c r="C46" s="952"/>
      <c r="D46" s="953"/>
      <c r="F46" s="555"/>
      <c r="G46" s="555"/>
      <c r="H46" s="556"/>
      <c r="I46" s="144">
        <f t="shared" si="3"/>
        <v>0</v>
      </c>
      <c r="J46" s="556"/>
      <c r="K46" s="557">
        <f t="shared" si="4"/>
        <v>0</v>
      </c>
    </row>
    <row r="47" spans="1:11" ht="18" customHeight="1" x14ac:dyDescent="0.4">
      <c r="A47" s="183" t="s">
        <v>141</v>
      </c>
      <c r="B47" s="951"/>
      <c r="C47" s="952"/>
      <c r="D47" s="953"/>
      <c r="F47" s="555"/>
      <c r="G47" s="555"/>
      <c r="H47" s="556"/>
      <c r="I47" s="144">
        <f t="shared" si="3"/>
        <v>0</v>
      </c>
      <c r="J47" s="556"/>
      <c r="K47" s="557">
        <f t="shared" si="4"/>
        <v>0</v>
      </c>
    </row>
    <row r="49" spans="1:11" ht="18" customHeight="1" x14ac:dyDescent="0.4">
      <c r="A49" s="120" t="s">
        <v>142</v>
      </c>
      <c r="B49" s="117" t="s">
        <v>143</v>
      </c>
      <c r="E49" s="117" t="s">
        <v>7</v>
      </c>
      <c r="F49" s="560">
        <f t="shared" ref="F49:K49" si="5">SUM(F40:F47)</f>
        <v>2820</v>
      </c>
      <c r="G49" s="560">
        <f t="shared" si="5"/>
        <v>70</v>
      </c>
      <c r="H49" s="560">
        <f t="shared" si="5"/>
        <v>91603</v>
      </c>
      <c r="I49" s="557">
        <f t="shared" si="5"/>
        <v>73777.972229999985</v>
      </c>
      <c r="J49" s="557">
        <f t="shared" si="5"/>
        <v>0</v>
      </c>
      <c r="K49" s="557">
        <f t="shared" si="5"/>
        <v>165380.97222999998</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769</v>
      </c>
      <c r="C53" s="979"/>
      <c r="D53" s="975"/>
      <c r="F53" s="555"/>
      <c r="G53" s="555"/>
      <c r="H53" s="556">
        <v>1280175</v>
      </c>
      <c r="I53" s="144">
        <v>0</v>
      </c>
      <c r="J53" s="556"/>
      <c r="K53" s="557">
        <f t="shared" ref="K53:K62" si="6">(H53+I53)-J53</f>
        <v>1280175</v>
      </c>
    </row>
    <row r="54" spans="1:11" ht="18" customHeight="1" x14ac:dyDescent="0.4">
      <c r="A54" s="183" t="s">
        <v>93</v>
      </c>
      <c r="B54" s="503" t="s">
        <v>233</v>
      </c>
      <c r="C54" s="504"/>
      <c r="D54" s="505"/>
      <c r="F54" s="555"/>
      <c r="G54" s="555"/>
      <c r="H54" s="556">
        <v>6578841</v>
      </c>
      <c r="I54" s="144">
        <v>0</v>
      </c>
      <c r="J54" s="556"/>
      <c r="K54" s="557">
        <f t="shared" si="6"/>
        <v>6578841</v>
      </c>
    </row>
    <row r="55" spans="1:11" ht="18" customHeight="1" x14ac:dyDescent="0.4">
      <c r="A55" s="183" t="s">
        <v>94</v>
      </c>
      <c r="B55" s="980" t="s">
        <v>770</v>
      </c>
      <c r="C55" s="974"/>
      <c r="D55" s="975"/>
      <c r="F55" s="555"/>
      <c r="G55" s="555"/>
      <c r="H55" s="556">
        <v>1099611</v>
      </c>
      <c r="I55" s="144">
        <v>0</v>
      </c>
      <c r="J55" s="556"/>
      <c r="K55" s="557">
        <f t="shared" si="6"/>
        <v>1099611</v>
      </c>
    </row>
    <row r="56" spans="1:11" ht="18" customHeight="1" x14ac:dyDescent="0.4">
      <c r="A56" s="183" t="s">
        <v>95</v>
      </c>
      <c r="B56" s="980" t="s">
        <v>324</v>
      </c>
      <c r="C56" s="974"/>
      <c r="D56" s="975"/>
      <c r="F56" s="555"/>
      <c r="G56" s="555"/>
      <c r="H56" s="556">
        <v>50000</v>
      </c>
      <c r="I56" s="144">
        <v>0</v>
      </c>
      <c r="J56" s="556"/>
      <c r="K56" s="557">
        <f t="shared" si="6"/>
        <v>50000</v>
      </c>
    </row>
    <row r="57" spans="1:11" ht="18" customHeight="1" x14ac:dyDescent="0.4">
      <c r="A57" s="183" t="s">
        <v>96</v>
      </c>
      <c r="B57" s="980"/>
      <c r="C57" s="974"/>
      <c r="D57" s="975"/>
      <c r="F57" s="555"/>
      <c r="G57" s="555"/>
      <c r="H57" s="556"/>
      <c r="I57" s="144">
        <v>0</v>
      </c>
      <c r="J57" s="556"/>
      <c r="K57" s="557">
        <f t="shared" si="6"/>
        <v>0</v>
      </c>
    </row>
    <row r="58" spans="1:11" ht="18" customHeight="1" x14ac:dyDescent="0.4">
      <c r="A58" s="183" t="s">
        <v>97</v>
      </c>
      <c r="B58" s="503"/>
      <c r="C58" s="504"/>
      <c r="D58" s="505"/>
      <c r="F58" s="555"/>
      <c r="G58" s="555"/>
      <c r="H58" s="556"/>
      <c r="I58" s="144">
        <v>0</v>
      </c>
      <c r="J58" s="556"/>
      <c r="K58" s="557">
        <f t="shared" si="6"/>
        <v>0</v>
      </c>
    </row>
    <row r="59" spans="1:11" ht="18" customHeight="1" x14ac:dyDescent="0.4">
      <c r="A59" s="183" t="s">
        <v>98</v>
      </c>
      <c r="B59" s="980"/>
      <c r="C59" s="974"/>
      <c r="D59" s="975"/>
      <c r="F59" s="555"/>
      <c r="G59" s="555"/>
      <c r="H59" s="556"/>
      <c r="I59" s="144">
        <v>0</v>
      </c>
      <c r="J59" s="556"/>
      <c r="K59" s="557">
        <f t="shared" si="6"/>
        <v>0</v>
      </c>
    </row>
    <row r="60" spans="1:11" ht="18" customHeight="1" x14ac:dyDescent="0.4">
      <c r="A60" s="183" t="s">
        <v>99</v>
      </c>
      <c r="B60" s="503"/>
      <c r="C60" s="504"/>
      <c r="D60" s="505"/>
      <c r="F60" s="555"/>
      <c r="G60" s="555"/>
      <c r="H60" s="556"/>
      <c r="I60" s="144">
        <v>0</v>
      </c>
      <c r="J60" s="556"/>
      <c r="K60" s="557">
        <f t="shared" si="6"/>
        <v>0</v>
      </c>
    </row>
    <row r="61" spans="1:11" ht="18" customHeight="1" x14ac:dyDescent="0.4">
      <c r="A61" s="183" t="s">
        <v>100</v>
      </c>
      <c r="B61" s="503"/>
      <c r="C61" s="504"/>
      <c r="D61" s="505"/>
      <c r="F61" s="555"/>
      <c r="G61" s="555"/>
      <c r="H61" s="556"/>
      <c r="I61" s="144">
        <v>0</v>
      </c>
      <c r="J61" s="556"/>
      <c r="K61" s="557">
        <f t="shared" si="6"/>
        <v>0</v>
      </c>
    </row>
    <row r="62" spans="1:11" ht="18" customHeight="1" x14ac:dyDescent="0.4">
      <c r="A62" s="183" t="s">
        <v>101</v>
      </c>
      <c r="B62" s="980"/>
      <c r="C62" s="974"/>
      <c r="D62" s="975"/>
      <c r="F62" s="555"/>
      <c r="G62" s="555"/>
      <c r="H62" s="556"/>
      <c r="I62" s="144">
        <v>0</v>
      </c>
      <c r="J62" s="556"/>
      <c r="K62" s="557">
        <f t="shared" si="6"/>
        <v>0</v>
      </c>
    </row>
    <row r="63" spans="1:11" ht="18" customHeight="1" x14ac:dyDescent="0.4">
      <c r="A63" s="183"/>
      <c r="I63" s="140"/>
    </row>
    <row r="64" spans="1:11" ht="18" customHeight="1" x14ac:dyDescent="0.4">
      <c r="A64" s="183" t="s">
        <v>144</v>
      </c>
      <c r="B64" s="117" t="s">
        <v>145</v>
      </c>
      <c r="E64" s="117" t="s">
        <v>7</v>
      </c>
      <c r="F64" s="560">
        <f t="shared" ref="F64:K64" si="7">SUM(F53:F62)</f>
        <v>0</v>
      </c>
      <c r="G64" s="560">
        <f t="shared" si="7"/>
        <v>0</v>
      </c>
      <c r="H64" s="557">
        <f t="shared" si="7"/>
        <v>9008627</v>
      </c>
      <c r="I64" s="557">
        <f t="shared" si="7"/>
        <v>0</v>
      </c>
      <c r="J64" s="557">
        <f t="shared" si="7"/>
        <v>0</v>
      </c>
      <c r="K64" s="557">
        <f t="shared" si="7"/>
        <v>9008627</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f>(H68+I68)-J68</f>
        <v>0</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8">SUM(F68:F72)</f>
        <v>0</v>
      </c>
      <c r="G74" s="566">
        <f t="shared" si="8"/>
        <v>0</v>
      </c>
      <c r="H74" s="566">
        <f t="shared" si="8"/>
        <v>0</v>
      </c>
      <c r="I74" s="145">
        <f t="shared" si="8"/>
        <v>0</v>
      </c>
      <c r="J74" s="566">
        <f t="shared" si="8"/>
        <v>0</v>
      </c>
      <c r="K74" s="567">
        <f t="shared" si="8"/>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75441</v>
      </c>
      <c r="I77" s="144">
        <v>0</v>
      </c>
      <c r="J77" s="556"/>
      <c r="K77" s="557">
        <f>(H77+I77)-J77</f>
        <v>75441</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68</v>
      </c>
      <c r="G79" s="555"/>
      <c r="H79" s="556">
        <v>10862</v>
      </c>
      <c r="I79" s="144">
        <v>391</v>
      </c>
      <c r="J79" s="556"/>
      <c r="K79" s="557">
        <f>(H79+I79)-J79</f>
        <v>11253</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9">SUM(F77:F80)</f>
        <v>68</v>
      </c>
      <c r="G82" s="566">
        <f t="shared" si="9"/>
        <v>0</v>
      </c>
      <c r="H82" s="567">
        <f t="shared" si="9"/>
        <v>86303</v>
      </c>
      <c r="I82" s="567">
        <f t="shared" si="9"/>
        <v>391</v>
      </c>
      <c r="J82" s="567">
        <f t="shared" si="9"/>
        <v>0</v>
      </c>
      <c r="K82" s="567">
        <f t="shared" si="9"/>
        <v>86694</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10">H86*F$114</f>
        <v>0</v>
      </c>
      <c r="J86" s="556"/>
      <c r="K86" s="557">
        <f t="shared" ref="K86:K96" si="11">(H86+I86)-J86</f>
        <v>0</v>
      </c>
    </row>
    <row r="87" spans="1:11" ht="18" customHeight="1" x14ac:dyDescent="0.4">
      <c r="A87" s="183" t="s">
        <v>114</v>
      </c>
      <c r="B87" s="116" t="s">
        <v>14</v>
      </c>
      <c r="F87" s="555">
        <v>80</v>
      </c>
      <c r="G87" s="555"/>
      <c r="H87" s="556">
        <v>9771</v>
      </c>
      <c r="I87" s="144">
        <f t="shared" si="10"/>
        <v>7869.66111</v>
      </c>
      <c r="J87" s="556"/>
      <c r="K87" s="557">
        <f t="shared" si="11"/>
        <v>17640.661110000001</v>
      </c>
    </row>
    <row r="88" spans="1:11" ht="18" customHeight="1" x14ac:dyDescent="0.4">
      <c r="A88" s="183" t="s">
        <v>115</v>
      </c>
      <c r="B88" s="116" t="s">
        <v>116</v>
      </c>
      <c r="F88" s="555">
        <v>335</v>
      </c>
      <c r="G88" s="555"/>
      <c r="H88" s="556">
        <v>49877</v>
      </c>
      <c r="I88" s="144">
        <f t="shared" si="10"/>
        <v>40171.434569999998</v>
      </c>
      <c r="J88" s="556"/>
      <c r="K88" s="557">
        <f t="shared" si="11"/>
        <v>90048.434569999998</v>
      </c>
    </row>
    <row r="89" spans="1:11" ht="18" customHeight="1" x14ac:dyDescent="0.4">
      <c r="A89" s="183" t="s">
        <v>117</v>
      </c>
      <c r="B89" s="116" t="s">
        <v>58</v>
      </c>
      <c r="F89" s="555"/>
      <c r="G89" s="555"/>
      <c r="H89" s="556"/>
      <c r="I89" s="144">
        <f t="shared" si="10"/>
        <v>0</v>
      </c>
      <c r="J89" s="556"/>
      <c r="K89" s="557">
        <f t="shared" si="11"/>
        <v>0</v>
      </c>
    </row>
    <row r="90" spans="1:11" ht="18" customHeight="1" x14ac:dyDescent="0.4">
      <c r="A90" s="183" t="s">
        <v>118</v>
      </c>
      <c r="B90" s="956" t="s">
        <v>59</v>
      </c>
      <c r="C90" s="957"/>
      <c r="F90" s="555"/>
      <c r="G90" s="555"/>
      <c r="H90" s="556"/>
      <c r="I90" s="144">
        <f t="shared" si="10"/>
        <v>0</v>
      </c>
      <c r="J90" s="556"/>
      <c r="K90" s="557">
        <f t="shared" si="11"/>
        <v>0</v>
      </c>
    </row>
    <row r="91" spans="1:11" ht="18" customHeight="1" x14ac:dyDescent="0.4">
      <c r="A91" s="183" t="s">
        <v>119</v>
      </c>
      <c r="B91" s="116" t="s">
        <v>60</v>
      </c>
      <c r="F91" s="555">
        <v>91</v>
      </c>
      <c r="G91" s="555"/>
      <c r="H91" s="556">
        <v>7200</v>
      </c>
      <c r="I91" s="144">
        <f t="shared" si="10"/>
        <v>5798.9519999999993</v>
      </c>
      <c r="J91" s="556"/>
      <c r="K91" s="557">
        <f t="shared" si="11"/>
        <v>12998.951999999999</v>
      </c>
    </row>
    <row r="92" spans="1:11" ht="18" customHeight="1" x14ac:dyDescent="0.4">
      <c r="A92" s="183" t="s">
        <v>120</v>
      </c>
      <c r="B92" s="116" t="s">
        <v>121</v>
      </c>
      <c r="F92" s="134"/>
      <c r="G92" s="134"/>
      <c r="H92" s="135"/>
      <c r="I92" s="144">
        <f t="shared" si="10"/>
        <v>0</v>
      </c>
      <c r="J92" s="135"/>
      <c r="K92" s="557">
        <f t="shared" si="11"/>
        <v>0</v>
      </c>
    </row>
    <row r="93" spans="1:11" ht="18" customHeight="1" x14ac:dyDescent="0.4">
      <c r="A93" s="183" t="s">
        <v>122</v>
      </c>
      <c r="B93" s="116" t="s">
        <v>123</v>
      </c>
      <c r="F93" s="555"/>
      <c r="G93" s="555"/>
      <c r="H93" s="556">
        <v>105553</v>
      </c>
      <c r="I93" s="144">
        <f t="shared" si="10"/>
        <v>85013.441729999991</v>
      </c>
      <c r="J93" s="556"/>
      <c r="K93" s="557">
        <f t="shared" si="11"/>
        <v>190566.44172999999</v>
      </c>
    </row>
    <row r="94" spans="1:11" ht="18" customHeight="1" x14ac:dyDescent="0.4">
      <c r="A94" s="183" t="s">
        <v>124</v>
      </c>
      <c r="B94" s="980"/>
      <c r="C94" s="974"/>
      <c r="D94" s="975"/>
      <c r="F94" s="555"/>
      <c r="G94" s="555"/>
      <c r="H94" s="556"/>
      <c r="I94" s="144">
        <f t="shared" si="10"/>
        <v>0</v>
      </c>
      <c r="J94" s="556"/>
      <c r="K94" s="557">
        <f t="shared" si="11"/>
        <v>0</v>
      </c>
    </row>
    <row r="95" spans="1:11" ht="18" customHeight="1" x14ac:dyDescent="0.4">
      <c r="A95" s="183" t="s">
        <v>125</v>
      </c>
      <c r="B95" s="980"/>
      <c r="C95" s="974"/>
      <c r="D95" s="975"/>
      <c r="F95" s="555"/>
      <c r="G95" s="555"/>
      <c r="H95" s="556"/>
      <c r="I95" s="144">
        <f t="shared" si="10"/>
        <v>0</v>
      </c>
      <c r="J95" s="556"/>
      <c r="K95" s="557">
        <f t="shared" si="11"/>
        <v>0</v>
      </c>
    </row>
    <row r="96" spans="1:11" ht="18" customHeight="1" x14ac:dyDescent="0.4">
      <c r="A96" s="183" t="s">
        <v>126</v>
      </c>
      <c r="B96" s="980"/>
      <c r="C96" s="974"/>
      <c r="D96" s="975"/>
      <c r="F96" s="555"/>
      <c r="G96" s="555"/>
      <c r="H96" s="556"/>
      <c r="I96" s="144">
        <f t="shared" si="10"/>
        <v>0</v>
      </c>
      <c r="J96" s="556"/>
      <c r="K96" s="557">
        <f t="shared" si="11"/>
        <v>0</v>
      </c>
    </row>
    <row r="97" spans="1:11" ht="18" customHeight="1" x14ac:dyDescent="0.4">
      <c r="A97" s="183"/>
      <c r="B97" s="116"/>
    </row>
    <row r="98" spans="1:11" ht="18" customHeight="1" x14ac:dyDescent="0.4">
      <c r="A98" s="120" t="s">
        <v>150</v>
      </c>
      <c r="B98" s="117" t="s">
        <v>151</v>
      </c>
      <c r="E98" s="117" t="s">
        <v>7</v>
      </c>
      <c r="F98" s="560">
        <f t="shared" ref="F98:K98" si="12">SUM(F86:F96)</f>
        <v>506</v>
      </c>
      <c r="G98" s="560">
        <f t="shared" si="12"/>
        <v>0</v>
      </c>
      <c r="H98" s="560">
        <f t="shared" si="12"/>
        <v>172401</v>
      </c>
      <c r="I98" s="560">
        <f t="shared" si="12"/>
        <v>138853.48940999998</v>
      </c>
      <c r="J98" s="560">
        <f t="shared" si="12"/>
        <v>0</v>
      </c>
      <c r="K98" s="560">
        <f t="shared" si="12"/>
        <v>311254.48940999998</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350</v>
      </c>
      <c r="G102" s="555"/>
      <c r="H102" s="556">
        <v>23506</v>
      </c>
      <c r="I102" s="144">
        <f>H102*F$114</f>
        <v>18931.96746</v>
      </c>
      <c r="J102" s="556"/>
      <c r="K102" s="557">
        <f>(H102+I102)-J102</f>
        <v>42437.96746</v>
      </c>
    </row>
    <row r="103" spans="1:11" ht="18" customHeight="1" x14ac:dyDescent="0.4">
      <c r="A103" s="183" t="s">
        <v>132</v>
      </c>
      <c r="B103" s="956" t="s">
        <v>62</v>
      </c>
      <c r="C103" s="956"/>
      <c r="F103" s="555"/>
      <c r="G103" s="555"/>
      <c r="H103" s="556"/>
      <c r="I103" s="144">
        <f>H103*F$114</f>
        <v>0</v>
      </c>
      <c r="J103" s="556"/>
      <c r="K103" s="557">
        <f>(H103+I103)-J103</f>
        <v>0</v>
      </c>
    </row>
    <row r="104" spans="1:11" ht="18" customHeight="1" x14ac:dyDescent="0.4">
      <c r="A104" s="183" t="s">
        <v>128</v>
      </c>
      <c r="B104" s="980" t="s">
        <v>233</v>
      </c>
      <c r="C104" s="974"/>
      <c r="D104" s="975"/>
      <c r="F104" s="555">
        <v>44</v>
      </c>
      <c r="G104" s="555"/>
      <c r="H104" s="556">
        <v>1427</v>
      </c>
      <c r="I104" s="144">
        <f>H104*F$114</f>
        <v>1149.32007</v>
      </c>
      <c r="J104" s="556"/>
      <c r="K104" s="557">
        <f>(H104+I104)-J104</f>
        <v>2576.3200699999998</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3">SUM(F102:F106)</f>
        <v>394</v>
      </c>
      <c r="G108" s="560">
        <f t="shared" si="13"/>
        <v>0</v>
      </c>
      <c r="H108" s="557">
        <f t="shared" si="13"/>
        <v>24933</v>
      </c>
      <c r="I108" s="557">
        <f t="shared" si="13"/>
        <v>20081.287530000001</v>
      </c>
      <c r="J108" s="557">
        <f t="shared" si="13"/>
        <v>0</v>
      </c>
      <c r="K108" s="557">
        <f t="shared" si="13"/>
        <v>45014.287530000001</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966929</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0.80540999999999996</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132931902</v>
      </c>
    </row>
    <row r="118" spans="1:6" ht="18" customHeight="1" x14ac:dyDescent="0.4">
      <c r="A118" s="183" t="s">
        <v>173</v>
      </c>
      <c r="B118" s="189" t="s">
        <v>18</v>
      </c>
      <c r="F118" s="556">
        <v>540545</v>
      </c>
    </row>
    <row r="119" spans="1:6" ht="18" customHeight="1" x14ac:dyDescent="0.4">
      <c r="A119" s="183" t="s">
        <v>174</v>
      </c>
      <c r="B119" s="117" t="s">
        <v>19</v>
      </c>
      <c r="F119" s="567">
        <f>SUM(F117:F118)</f>
        <v>133472447</v>
      </c>
    </row>
    <row r="120" spans="1:6" ht="18" customHeight="1" x14ac:dyDescent="0.4">
      <c r="A120" s="183"/>
      <c r="B120" s="117"/>
    </row>
    <row r="121" spans="1:6" ht="18" customHeight="1" x14ac:dyDescent="0.4">
      <c r="A121" s="183" t="s">
        <v>167</v>
      </c>
      <c r="B121" s="117" t="s">
        <v>36</v>
      </c>
      <c r="F121" s="556">
        <v>124218000</v>
      </c>
    </row>
    <row r="122" spans="1:6" ht="18" customHeight="1" x14ac:dyDescent="0.4">
      <c r="A122" s="183"/>
    </row>
    <row r="123" spans="1:6" ht="18" customHeight="1" x14ac:dyDescent="0.4">
      <c r="A123" s="183" t="s">
        <v>175</v>
      </c>
      <c r="B123" s="117" t="s">
        <v>20</v>
      </c>
      <c r="F123" s="556">
        <v>9255000</v>
      </c>
    </row>
    <row r="124" spans="1:6" ht="18" customHeight="1" x14ac:dyDescent="0.4">
      <c r="A124" s="183"/>
    </row>
    <row r="125" spans="1:6" ht="18" customHeight="1" x14ac:dyDescent="0.4">
      <c r="A125" s="183" t="s">
        <v>176</v>
      </c>
      <c r="B125" s="117" t="s">
        <v>21</v>
      </c>
      <c r="F125" s="556">
        <v>916000</v>
      </c>
    </row>
    <row r="126" spans="1:6" ht="18" customHeight="1" x14ac:dyDescent="0.4">
      <c r="A126" s="183"/>
    </row>
    <row r="127" spans="1:6" ht="18" customHeight="1" x14ac:dyDescent="0.4">
      <c r="A127" s="183" t="s">
        <v>177</v>
      </c>
      <c r="B127" s="117" t="s">
        <v>22</v>
      </c>
      <c r="F127" s="556">
        <v>10171000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4">SUM(F131:F135)</f>
        <v>0</v>
      </c>
      <c r="G137" s="560">
        <f t="shared" si="14"/>
        <v>0</v>
      </c>
      <c r="H137" s="557">
        <f t="shared" si="14"/>
        <v>0</v>
      </c>
      <c r="I137" s="557">
        <f t="shared" si="14"/>
        <v>0</v>
      </c>
      <c r="J137" s="557">
        <f t="shared" si="14"/>
        <v>0</v>
      </c>
      <c r="K137" s="557">
        <f t="shared" si="14"/>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5">F36</f>
        <v>1490</v>
      </c>
      <c r="G141" s="136">
        <f t="shared" si="15"/>
        <v>130399</v>
      </c>
      <c r="H141" s="136">
        <f t="shared" si="15"/>
        <v>138978</v>
      </c>
      <c r="I141" s="136">
        <f t="shared" si="15"/>
        <v>111934.27098</v>
      </c>
      <c r="J141" s="136">
        <f t="shared" si="15"/>
        <v>0</v>
      </c>
      <c r="K141" s="136">
        <f t="shared" si="15"/>
        <v>250912.27097999997</v>
      </c>
    </row>
    <row r="142" spans="1:11" ht="18" customHeight="1" x14ac:dyDescent="0.4">
      <c r="A142" s="183" t="s">
        <v>142</v>
      </c>
      <c r="B142" s="117" t="s">
        <v>65</v>
      </c>
      <c r="F142" s="136">
        <f t="shared" ref="F142:K142" si="16">F49</f>
        <v>2820</v>
      </c>
      <c r="G142" s="136">
        <f t="shared" si="16"/>
        <v>70</v>
      </c>
      <c r="H142" s="136">
        <f t="shared" si="16"/>
        <v>91603</v>
      </c>
      <c r="I142" s="136">
        <f t="shared" si="16"/>
        <v>73777.972229999985</v>
      </c>
      <c r="J142" s="136">
        <f t="shared" si="16"/>
        <v>0</v>
      </c>
      <c r="K142" s="136">
        <f t="shared" si="16"/>
        <v>165380.97222999998</v>
      </c>
    </row>
    <row r="143" spans="1:11" ht="18" customHeight="1" x14ac:dyDescent="0.4">
      <c r="A143" s="183" t="s">
        <v>144</v>
      </c>
      <c r="B143" s="117" t="s">
        <v>66</v>
      </c>
      <c r="F143" s="136">
        <f t="shared" ref="F143:K143" si="17">F64</f>
        <v>0</v>
      </c>
      <c r="G143" s="136">
        <f t="shared" si="17"/>
        <v>0</v>
      </c>
      <c r="H143" s="136">
        <f t="shared" si="17"/>
        <v>9008627</v>
      </c>
      <c r="I143" s="136">
        <f t="shared" si="17"/>
        <v>0</v>
      </c>
      <c r="J143" s="136">
        <f t="shared" si="17"/>
        <v>0</v>
      </c>
      <c r="K143" s="136">
        <f t="shared" si="17"/>
        <v>9008627</v>
      </c>
    </row>
    <row r="144" spans="1:11" ht="18" customHeight="1" x14ac:dyDescent="0.4">
      <c r="A144" s="183" t="s">
        <v>146</v>
      </c>
      <c r="B144" s="117" t="s">
        <v>67</v>
      </c>
      <c r="F144" s="136">
        <f t="shared" ref="F144:K144" si="18">F74</f>
        <v>0</v>
      </c>
      <c r="G144" s="136">
        <f t="shared" si="18"/>
        <v>0</v>
      </c>
      <c r="H144" s="136">
        <f t="shared" si="18"/>
        <v>0</v>
      </c>
      <c r="I144" s="136">
        <f t="shared" si="18"/>
        <v>0</v>
      </c>
      <c r="J144" s="136">
        <f t="shared" si="18"/>
        <v>0</v>
      </c>
      <c r="K144" s="136">
        <f t="shared" si="18"/>
        <v>0</v>
      </c>
    </row>
    <row r="145" spans="1:11" ht="18" customHeight="1" x14ac:dyDescent="0.4">
      <c r="A145" s="183" t="s">
        <v>148</v>
      </c>
      <c r="B145" s="117" t="s">
        <v>68</v>
      </c>
      <c r="F145" s="136">
        <f t="shared" ref="F145:K145" si="19">F82</f>
        <v>68</v>
      </c>
      <c r="G145" s="136">
        <f t="shared" si="19"/>
        <v>0</v>
      </c>
      <c r="H145" s="136">
        <f t="shared" si="19"/>
        <v>86303</v>
      </c>
      <c r="I145" s="136">
        <f t="shared" si="19"/>
        <v>391</v>
      </c>
      <c r="J145" s="136">
        <f t="shared" si="19"/>
        <v>0</v>
      </c>
      <c r="K145" s="136">
        <f t="shared" si="19"/>
        <v>86694</v>
      </c>
    </row>
    <row r="146" spans="1:11" ht="18" customHeight="1" x14ac:dyDescent="0.4">
      <c r="A146" s="183" t="s">
        <v>150</v>
      </c>
      <c r="B146" s="117" t="s">
        <v>69</v>
      </c>
      <c r="F146" s="136">
        <f t="shared" ref="F146:K146" si="20">F98</f>
        <v>506</v>
      </c>
      <c r="G146" s="136">
        <f t="shared" si="20"/>
        <v>0</v>
      </c>
      <c r="H146" s="136">
        <f t="shared" si="20"/>
        <v>172401</v>
      </c>
      <c r="I146" s="136">
        <f t="shared" si="20"/>
        <v>138853.48940999998</v>
      </c>
      <c r="J146" s="136">
        <f t="shared" si="20"/>
        <v>0</v>
      </c>
      <c r="K146" s="136">
        <f t="shared" si="20"/>
        <v>311254.48940999998</v>
      </c>
    </row>
    <row r="147" spans="1:11" ht="18" customHeight="1" x14ac:dyDescent="0.4">
      <c r="A147" s="183" t="s">
        <v>153</v>
      </c>
      <c r="B147" s="117" t="s">
        <v>61</v>
      </c>
      <c r="F147" s="560">
        <f t="shared" ref="F147:K147" si="21">F108</f>
        <v>394</v>
      </c>
      <c r="G147" s="560">
        <f t="shared" si="21"/>
        <v>0</v>
      </c>
      <c r="H147" s="560">
        <f t="shared" si="21"/>
        <v>24933</v>
      </c>
      <c r="I147" s="560">
        <f t="shared" si="21"/>
        <v>20081.287530000001</v>
      </c>
      <c r="J147" s="560">
        <f t="shared" si="21"/>
        <v>0</v>
      </c>
      <c r="K147" s="560">
        <f t="shared" si="21"/>
        <v>45014.287530000001</v>
      </c>
    </row>
    <row r="148" spans="1:11" ht="18" customHeight="1" x14ac:dyDescent="0.4">
      <c r="A148" s="183" t="s">
        <v>155</v>
      </c>
      <c r="B148" s="117" t="s">
        <v>70</v>
      </c>
      <c r="F148" s="137" t="s">
        <v>73</v>
      </c>
      <c r="G148" s="137" t="s">
        <v>73</v>
      </c>
      <c r="H148" s="138" t="s">
        <v>73</v>
      </c>
      <c r="I148" s="138" t="s">
        <v>73</v>
      </c>
      <c r="J148" s="138" t="s">
        <v>73</v>
      </c>
      <c r="K148" s="133">
        <f>F111</f>
        <v>966929</v>
      </c>
    </row>
    <row r="149" spans="1:11" ht="18" customHeight="1" x14ac:dyDescent="0.4">
      <c r="A149" s="183" t="s">
        <v>163</v>
      </c>
      <c r="B149" s="117" t="s">
        <v>71</v>
      </c>
      <c r="F149" s="560">
        <f t="shared" ref="F149:K149" si="22">F137</f>
        <v>0</v>
      </c>
      <c r="G149" s="560">
        <f t="shared" si="22"/>
        <v>0</v>
      </c>
      <c r="H149" s="560">
        <f t="shared" si="22"/>
        <v>0</v>
      </c>
      <c r="I149" s="560">
        <f t="shared" si="22"/>
        <v>0</v>
      </c>
      <c r="J149" s="560">
        <f t="shared" si="22"/>
        <v>0</v>
      </c>
      <c r="K149" s="560">
        <f t="shared" si="22"/>
        <v>0</v>
      </c>
    </row>
    <row r="150" spans="1:11" ht="18" customHeight="1" x14ac:dyDescent="0.4">
      <c r="A150" s="183" t="s">
        <v>185</v>
      </c>
      <c r="B150" s="117" t="s">
        <v>186</v>
      </c>
      <c r="F150" s="137" t="s">
        <v>73</v>
      </c>
      <c r="G150" s="137" t="s">
        <v>73</v>
      </c>
      <c r="H150" s="560">
        <f>H18</f>
        <v>3089898</v>
      </c>
      <c r="I150" s="560">
        <f>I18</f>
        <v>0</v>
      </c>
      <c r="J150" s="560">
        <f>J18</f>
        <v>2568716</v>
      </c>
      <c r="K150" s="560">
        <f>K18</f>
        <v>521182</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3">SUM(F141:F150)</f>
        <v>5278</v>
      </c>
      <c r="G152" s="143">
        <f t="shared" si="23"/>
        <v>130469</v>
      </c>
      <c r="H152" s="143">
        <f t="shared" si="23"/>
        <v>12612743</v>
      </c>
      <c r="I152" s="143">
        <f t="shared" si="23"/>
        <v>345038.02015</v>
      </c>
      <c r="J152" s="143">
        <f t="shared" si="23"/>
        <v>2568716</v>
      </c>
      <c r="K152" s="143">
        <f t="shared" si="23"/>
        <v>11355994.020149998</v>
      </c>
    </row>
    <row r="154" spans="1:11" ht="18" customHeight="1" x14ac:dyDescent="0.4">
      <c r="A154" s="120" t="s">
        <v>168</v>
      </c>
      <c r="B154" s="117" t="s">
        <v>28</v>
      </c>
      <c r="F154" s="571">
        <f>K152/F121</f>
        <v>9.1419874898565415E-2</v>
      </c>
    </row>
    <row r="155" spans="1:11" ht="18" customHeight="1" x14ac:dyDescent="0.4">
      <c r="A155" s="120" t="s">
        <v>169</v>
      </c>
      <c r="B155" s="117" t="s">
        <v>72</v>
      </c>
      <c r="F155" s="571">
        <f>K152/F127</f>
        <v>1.116507130090453</v>
      </c>
      <c r="G155" s="117"/>
    </row>
    <row r="156" spans="1:11" ht="18" customHeight="1" x14ac:dyDescent="0.4">
      <c r="G156" s="117"/>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6:D56"/>
    <mergeCell ref="B59:D59"/>
    <mergeCell ref="B53:D53"/>
    <mergeCell ref="B55:D55"/>
    <mergeCell ref="B46:D46"/>
    <mergeCell ref="B47:D47"/>
  </mergeCells>
  <hyperlinks>
    <hyperlink ref="C11" r:id="rId1"/>
  </hyperlinks>
  <printOptions headings="1" gridLines="1"/>
  <pageMargins left="0.25" right="0.25" top="1.25" bottom="0.75" header="0.3" footer="0.3"/>
  <pageSetup scale="59" fitToHeight="3" orientation="landscape" horizontalDpi="4294967294" r:id="rId2"/>
  <headerFooter alignWithMargins="0">
    <oddHeader>&amp;R&amp;"Arial,Bold Italic"&amp;16FINAL DRAFT</oddHeader>
  </headerFooter>
  <rowBreaks count="4" manualBreakCount="4">
    <brk id="37" max="16383" man="1"/>
    <brk id="74" max="16383" man="1"/>
    <brk id="109" max="16383" man="1"/>
    <brk id="138"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L174"/>
  <sheetViews>
    <sheetView topLeftCell="A52" zoomScale="80" zoomScaleNormal="80" workbookViewId="0">
      <selection activeCell="B59" sqref="B59"/>
    </sheetView>
  </sheetViews>
  <sheetFormatPr defaultColWidth="9" defaultRowHeight="18" customHeight="1" x14ac:dyDescent="0.35"/>
  <cols>
    <col min="1" max="1" width="8.265625" style="115" customWidth="1"/>
    <col min="2" max="2" width="55.3984375" style="189" bestFit="1" customWidth="1"/>
    <col min="3" max="4" width="4.73046875" style="189" customWidth="1"/>
    <col min="5" max="5" width="12.3984375" style="189" customWidth="1"/>
    <col min="6" max="6" width="18.59765625" style="189" customWidth="1"/>
    <col min="7" max="7" width="23.59765625" style="189" customWidth="1"/>
    <col min="8" max="8" width="17.1328125" style="400" customWidth="1"/>
    <col min="9" max="9" width="21.1328125" style="400" customWidth="1"/>
    <col min="10" max="10" width="19.86328125" style="400" customWidth="1"/>
    <col min="11" max="11" width="17.59765625" style="189" customWidth="1"/>
    <col min="12" max="12" width="3.59765625" style="189" customWidth="1"/>
    <col min="13" max="16384" width="9" style="189"/>
  </cols>
  <sheetData>
    <row r="1" spans="1:12" ht="18" customHeight="1" x14ac:dyDescent="0.4">
      <c r="C1" s="119"/>
      <c r="D1" s="118"/>
      <c r="E1" s="119"/>
      <c r="F1" s="119"/>
      <c r="G1" s="119"/>
      <c r="H1" s="399"/>
      <c r="I1" s="399"/>
      <c r="J1" s="399"/>
      <c r="K1" s="119"/>
    </row>
    <row r="2" spans="1:12" ht="18" customHeight="1" x14ac:dyDescent="0.4">
      <c r="D2" s="190" t="s">
        <v>730</v>
      </c>
      <c r="E2" s="190"/>
      <c r="F2" s="190"/>
      <c r="G2" s="190"/>
      <c r="H2" s="190"/>
    </row>
    <row r="3" spans="1:12" ht="18" customHeight="1" x14ac:dyDescent="0.4">
      <c r="B3" s="117" t="s">
        <v>0</v>
      </c>
    </row>
    <row r="5" spans="1:12" ht="18" customHeight="1" x14ac:dyDescent="0.4">
      <c r="B5" s="183" t="s">
        <v>40</v>
      </c>
      <c r="C5" s="1017" t="s">
        <v>342</v>
      </c>
      <c r="D5" s="962"/>
      <c r="E5" s="962"/>
      <c r="F5" s="962"/>
      <c r="G5" s="963"/>
    </row>
    <row r="6" spans="1:12" ht="18" customHeight="1" x14ac:dyDescent="0.4">
      <c r="B6" s="183" t="s">
        <v>3</v>
      </c>
      <c r="C6" s="1117">
        <v>210037</v>
      </c>
      <c r="D6" s="1059"/>
      <c r="E6" s="1059"/>
      <c r="F6" s="1059"/>
      <c r="G6" s="1060"/>
    </row>
    <row r="7" spans="1:12" ht="18" customHeight="1" x14ac:dyDescent="0.4">
      <c r="B7" s="183" t="s">
        <v>4</v>
      </c>
      <c r="C7" s="967">
        <v>1316</v>
      </c>
      <c r="D7" s="968"/>
      <c r="E7" s="968"/>
      <c r="F7" s="968"/>
      <c r="G7" s="969"/>
    </row>
    <row r="9" spans="1:12" ht="18" customHeight="1" x14ac:dyDescent="0.4">
      <c r="B9" s="183" t="s">
        <v>1</v>
      </c>
      <c r="C9" s="1017" t="s">
        <v>505</v>
      </c>
      <c r="D9" s="962"/>
      <c r="E9" s="962"/>
      <c r="F9" s="962"/>
      <c r="G9" s="963"/>
    </row>
    <row r="10" spans="1:12" ht="18" customHeight="1" x14ac:dyDescent="0.4">
      <c r="B10" s="183" t="s">
        <v>2</v>
      </c>
      <c r="C10" s="970" t="s">
        <v>343</v>
      </c>
      <c r="D10" s="971"/>
      <c r="E10" s="971"/>
      <c r="F10" s="971"/>
      <c r="G10" s="972"/>
    </row>
    <row r="11" spans="1:12" ht="18" customHeight="1" x14ac:dyDescent="0.4">
      <c r="B11" s="183" t="s">
        <v>32</v>
      </c>
      <c r="C11" s="1020" t="s">
        <v>526</v>
      </c>
      <c r="D11" s="955"/>
      <c r="E11" s="955"/>
      <c r="F11" s="955"/>
      <c r="G11" s="955"/>
    </row>
    <row r="12" spans="1:12" ht="18" customHeight="1" x14ac:dyDescent="0.4">
      <c r="B12" s="183"/>
      <c r="C12" s="183"/>
      <c r="D12" s="183"/>
      <c r="E12" s="183"/>
      <c r="F12" s="183"/>
      <c r="G12" s="183"/>
    </row>
    <row r="13" spans="1:12" ht="24.6" customHeight="1" x14ac:dyDescent="0.35">
      <c r="B13" s="958"/>
      <c r="C13" s="959"/>
      <c r="D13" s="959"/>
      <c r="E13" s="959"/>
      <c r="F13" s="959"/>
      <c r="G13" s="959"/>
      <c r="H13" s="960"/>
      <c r="I13" s="399"/>
    </row>
    <row r="14" spans="1:12" ht="18" customHeight="1" x14ac:dyDescent="0.35">
      <c r="B14" s="121"/>
    </row>
    <row r="15" spans="1:12" ht="18" customHeight="1" x14ac:dyDescent="0.35">
      <c r="B15" s="121"/>
      <c r="L15" s="764"/>
    </row>
    <row r="16" spans="1:12" ht="45" customHeight="1" x14ac:dyDescent="0.4">
      <c r="A16" s="118" t="s">
        <v>181</v>
      </c>
      <c r="B16" s="119"/>
      <c r="C16" s="119"/>
      <c r="D16" s="119"/>
      <c r="E16" s="119"/>
      <c r="F16" s="122" t="s">
        <v>9</v>
      </c>
      <c r="G16" s="122" t="s">
        <v>37</v>
      </c>
      <c r="H16" s="402" t="s">
        <v>29</v>
      </c>
      <c r="I16" s="402" t="s">
        <v>30</v>
      </c>
      <c r="J16" s="402" t="s">
        <v>33</v>
      </c>
      <c r="K16" s="122" t="s">
        <v>34</v>
      </c>
      <c r="L16" s="765"/>
    </row>
    <row r="17" spans="1:12" ht="18" customHeight="1" x14ac:dyDescent="0.4">
      <c r="A17" s="120" t="s">
        <v>184</v>
      </c>
      <c r="B17" s="117" t="s">
        <v>182</v>
      </c>
      <c r="L17" s="765"/>
    </row>
    <row r="18" spans="1:12" ht="18" customHeight="1" x14ac:dyDescent="0.4">
      <c r="A18" s="183" t="s">
        <v>185</v>
      </c>
      <c r="B18" s="116" t="s">
        <v>183</v>
      </c>
      <c r="F18" s="555" t="s">
        <v>73</v>
      </c>
      <c r="G18" s="555" t="s">
        <v>73</v>
      </c>
      <c r="H18" s="766">
        <v>4148036</v>
      </c>
      <c r="I18" s="406">
        <v>0</v>
      </c>
      <c r="J18" s="766">
        <v>3448375</v>
      </c>
      <c r="K18" s="557">
        <v>699661</v>
      </c>
      <c r="L18" s="765"/>
    </row>
    <row r="19" spans="1:12" ht="45" customHeight="1" x14ac:dyDescent="0.4">
      <c r="A19" s="118" t="s">
        <v>8</v>
      </c>
      <c r="B19" s="119"/>
      <c r="C19" s="119"/>
      <c r="D19" s="119"/>
      <c r="E19" s="119"/>
      <c r="F19" s="122" t="s">
        <v>9</v>
      </c>
      <c r="G19" s="122" t="s">
        <v>37</v>
      </c>
      <c r="H19" s="402" t="s">
        <v>29</v>
      </c>
      <c r="I19" s="402" t="s">
        <v>30</v>
      </c>
      <c r="J19" s="402" t="s">
        <v>33</v>
      </c>
      <c r="K19" s="122" t="s">
        <v>34</v>
      </c>
      <c r="L19" s="765"/>
    </row>
    <row r="20" spans="1:12" ht="18" customHeight="1" x14ac:dyDescent="0.4">
      <c r="A20" s="120" t="s">
        <v>74</v>
      </c>
      <c r="B20" s="117" t="s">
        <v>41</v>
      </c>
      <c r="L20" s="765"/>
    </row>
    <row r="21" spans="1:12" ht="18" customHeight="1" x14ac:dyDescent="0.4">
      <c r="A21" s="183" t="s">
        <v>75</v>
      </c>
      <c r="B21" s="116" t="s">
        <v>42</v>
      </c>
      <c r="F21" s="555">
        <v>3590</v>
      </c>
      <c r="G21" s="555">
        <v>6129</v>
      </c>
      <c r="H21" s="555">
        <v>170927.07660657814</v>
      </c>
      <c r="I21" s="555">
        <v>68838.494313679927</v>
      </c>
      <c r="J21" s="555">
        <v>0</v>
      </c>
      <c r="K21" s="557">
        <v>239765.57092025806</v>
      </c>
      <c r="L21" s="765"/>
    </row>
    <row r="22" spans="1:12" ht="18" customHeight="1" x14ac:dyDescent="0.4">
      <c r="A22" s="183" t="s">
        <v>76</v>
      </c>
      <c r="B22" s="189" t="s">
        <v>6</v>
      </c>
      <c r="F22" s="555">
        <v>108</v>
      </c>
      <c r="G22" s="555">
        <v>181</v>
      </c>
      <c r="H22" s="555">
        <v>3921.9967335683677</v>
      </c>
      <c r="I22" s="555">
        <v>1584.5792840383997</v>
      </c>
      <c r="J22" s="555">
        <v>0</v>
      </c>
      <c r="K22" s="557">
        <v>5506.576017606767</v>
      </c>
      <c r="L22" s="765"/>
    </row>
    <row r="23" spans="1:12" ht="18" customHeight="1" x14ac:dyDescent="0.4">
      <c r="A23" s="183" t="s">
        <v>77</v>
      </c>
      <c r="B23" s="189" t="s">
        <v>43</v>
      </c>
      <c r="F23" s="555">
        <v>0</v>
      </c>
      <c r="G23" s="555">
        <v>0</v>
      </c>
      <c r="H23" s="555">
        <v>0</v>
      </c>
      <c r="I23" s="555">
        <v>0</v>
      </c>
      <c r="J23" s="555">
        <v>0</v>
      </c>
      <c r="K23" s="557">
        <v>0</v>
      </c>
      <c r="L23" s="765"/>
    </row>
    <row r="24" spans="1:12" ht="18" customHeight="1" x14ac:dyDescent="0.4">
      <c r="A24" s="183" t="s">
        <v>78</v>
      </c>
      <c r="B24" s="189" t="s">
        <v>44</v>
      </c>
      <c r="F24" s="555"/>
      <c r="G24" s="555"/>
      <c r="H24" s="555"/>
      <c r="I24" s="555"/>
      <c r="J24" s="555"/>
      <c r="K24" s="557">
        <v>0</v>
      </c>
      <c r="L24" s="765"/>
    </row>
    <row r="25" spans="1:12" ht="18" customHeight="1" x14ac:dyDescent="0.4">
      <c r="A25" s="183" t="s">
        <v>79</v>
      </c>
      <c r="B25" s="189" t="s">
        <v>5</v>
      </c>
      <c r="F25" s="555">
        <v>86</v>
      </c>
      <c r="G25" s="555">
        <v>247</v>
      </c>
      <c r="H25" s="555">
        <v>871.03655312123965</v>
      </c>
      <c r="I25" s="555">
        <v>351.91933381860611</v>
      </c>
      <c r="J25" s="555">
        <v>0</v>
      </c>
      <c r="K25" s="557">
        <v>1222.9558869398456</v>
      </c>
      <c r="L25" s="765"/>
    </row>
    <row r="26" spans="1:12" ht="18" customHeight="1" x14ac:dyDescent="0.4">
      <c r="A26" s="183" t="s">
        <v>80</v>
      </c>
      <c r="B26" s="189" t="s">
        <v>45</v>
      </c>
      <c r="F26" s="555"/>
      <c r="G26" s="555"/>
      <c r="H26" s="555"/>
      <c r="I26" s="555"/>
      <c r="J26" s="555"/>
      <c r="K26" s="557">
        <v>0</v>
      </c>
      <c r="L26" s="765"/>
    </row>
    <row r="27" spans="1:12" ht="18" customHeight="1" x14ac:dyDescent="0.4">
      <c r="A27" s="183" t="s">
        <v>81</v>
      </c>
      <c r="B27" s="189" t="s">
        <v>46</v>
      </c>
      <c r="F27" s="555"/>
      <c r="G27" s="555"/>
      <c r="H27" s="555"/>
      <c r="I27" s="555"/>
      <c r="J27" s="555"/>
      <c r="K27" s="557">
        <v>0</v>
      </c>
      <c r="L27" s="765"/>
    </row>
    <row r="28" spans="1:12" ht="18" customHeight="1" x14ac:dyDescent="0.4">
      <c r="A28" s="183" t="s">
        <v>82</v>
      </c>
      <c r="B28" s="189" t="s">
        <v>47</v>
      </c>
      <c r="F28" s="555"/>
      <c r="G28" s="555"/>
      <c r="H28" s="555"/>
      <c r="I28" s="555"/>
      <c r="J28" s="555"/>
      <c r="K28" s="557">
        <v>0</v>
      </c>
      <c r="L28" s="765"/>
    </row>
    <row r="29" spans="1:12" ht="18" customHeight="1" x14ac:dyDescent="0.4">
      <c r="A29" s="183" t="s">
        <v>83</v>
      </c>
      <c r="B29" s="189" t="s">
        <v>48</v>
      </c>
      <c r="F29" s="555">
        <v>1377</v>
      </c>
      <c r="G29" s="555">
        <v>2501</v>
      </c>
      <c r="H29" s="555">
        <v>107339.45835299668</v>
      </c>
      <c r="I29" s="555">
        <v>43367.675605203593</v>
      </c>
      <c r="J29" s="555">
        <v>0</v>
      </c>
      <c r="K29" s="557">
        <v>150707.13395820028</v>
      </c>
      <c r="L29" s="765"/>
    </row>
    <row r="30" spans="1:12" ht="18" customHeight="1" x14ac:dyDescent="0.4">
      <c r="A30" s="183" t="s">
        <v>84</v>
      </c>
      <c r="B30" s="973"/>
      <c r="C30" s="1061"/>
      <c r="D30" s="1062"/>
      <c r="F30" s="555"/>
      <c r="G30" s="555"/>
      <c r="H30" s="555"/>
      <c r="I30" s="555"/>
      <c r="J30" s="555"/>
      <c r="K30" s="557">
        <v>0</v>
      </c>
      <c r="L30" s="765"/>
    </row>
    <row r="31" spans="1:12" ht="18" customHeight="1" x14ac:dyDescent="0.4">
      <c r="A31" s="183" t="s">
        <v>133</v>
      </c>
      <c r="B31" s="951"/>
      <c r="C31" s="952"/>
      <c r="D31" s="953"/>
      <c r="F31" s="555"/>
      <c r="G31" s="555"/>
      <c r="H31" s="766"/>
      <c r="I31" s="406"/>
      <c r="J31" s="766"/>
      <c r="K31" s="557">
        <v>0</v>
      </c>
      <c r="L31" s="765"/>
    </row>
    <row r="32" spans="1:12" ht="18" customHeight="1" x14ac:dyDescent="0.4">
      <c r="A32" s="183" t="s">
        <v>134</v>
      </c>
      <c r="B32" s="531"/>
      <c r="C32" s="532"/>
      <c r="D32" s="533"/>
      <c r="F32" s="555"/>
      <c r="G32" s="558" t="s">
        <v>85</v>
      </c>
      <c r="H32" s="766"/>
      <c r="I32" s="406"/>
      <c r="J32" s="766"/>
      <c r="K32" s="557">
        <v>0</v>
      </c>
      <c r="L32" s="765"/>
    </row>
    <row r="33" spans="1:12" ht="18" customHeight="1" x14ac:dyDescent="0.4">
      <c r="A33" s="183" t="s">
        <v>135</v>
      </c>
      <c r="B33" s="531"/>
      <c r="C33" s="532"/>
      <c r="D33" s="533"/>
      <c r="F33" s="555"/>
      <c r="G33" s="558" t="s">
        <v>85</v>
      </c>
      <c r="H33" s="766"/>
      <c r="I33" s="406"/>
      <c r="J33" s="766"/>
      <c r="K33" s="557">
        <v>0</v>
      </c>
      <c r="L33" s="765"/>
    </row>
    <row r="34" spans="1:12" ht="18" customHeight="1" x14ac:dyDescent="0.4">
      <c r="A34" s="183" t="s">
        <v>136</v>
      </c>
      <c r="B34" s="951"/>
      <c r="C34" s="952"/>
      <c r="D34" s="953"/>
      <c r="F34" s="555"/>
      <c r="G34" s="558" t="s">
        <v>85</v>
      </c>
      <c r="H34" s="766"/>
      <c r="I34" s="406"/>
      <c r="J34" s="766"/>
      <c r="K34" s="557">
        <v>0</v>
      </c>
      <c r="L34" s="765"/>
    </row>
    <row r="35" spans="1:12" ht="18" customHeight="1" x14ac:dyDescent="0.35">
      <c r="K35" s="559"/>
      <c r="L35" s="765"/>
    </row>
    <row r="36" spans="1:12" ht="18" customHeight="1" x14ac:dyDescent="0.4">
      <c r="A36" s="120" t="s">
        <v>137</v>
      </c>
      <c r="B36" s="117" t="s">
        <v>138</v>
      </c>
      <c r="E36" s="117" t="s">
        <v>7</v>
      </c>
      <c r="F36" s="560">
        <v>5161</v>
      </c>
      <c r="G36" s="560">
        <v>9058</v>
      </c>
      <c r="H36" s="767">
        <v>283059.56824626442</v>
      </c>
      <c r="I36" s="767">
        <v>114142.66853674052</v>
      </c>
      <c r="J36" s="767">
        <v>0</v>
      </c>
      <c r="K36" s="557">
        <v>397202.23678300495</v>
      </c>
      <c r="L36" s="765"/>
    </row>
    <row r="37" spans="1:12" ht="18" customHeight="1" thickBot="1" x14ac:dyDescent="0.45">
      <c r="B37" s="117"/>
      <c r="F37" s="127"/>
      <c r="G37" s="127"/>
      <c r="H37" s="407"/>
      <c r="I37" s="407"/>
      <c r="J37" s="407"/>
      <c r="K37" s="139"/>
      <c r="L37" s="765"/>
    </row>
    <row r="38" spans="1:12" ht="42.75" customHeight="1" x14ac:dyDescent="0.4">
      <c r="F38" s="122" t="s">
        <v>9</v>
      </c>
      <c r="G38" s="122" t="s">
        <v>37</v>
      </c>
      <c r="H38" s="402" t="s">
        <v>29</v>
      </c>
      <c r="I38" s="402" t="s">
        <v>30</v>
      </c>
      <c r="J38" s="402" t="s">
        <v>33</v>
      </c>
      <c r="K38" s="122" t="s">
        <v>34</v>
      </c>
      <c r="L38" s="765"/>
    </row>
    <row r="39" spans="1:12" ht="18.75" customHeight="1" x14ac:dyDescent="0.4">
      <c r="A39" s="120" t="s">
        <v>86</v>
      </c>
      <c r="B39" s="117" t="s">
        <v>49</v>
      </c>
      <c r="L39" s="765"/>
    </row>
    <row r="40" spans="1:12" ht="18" customHeight="1" x14ac:dyDescent="0.4">
      <c r="A40" s="183" t="s">
        <v>87</v>
      </c>
      <c r="B40" s="189" t="s">
        <v>31</v>
      </c>
      <c r="F40" s="555"/>
      <c r="G40" s="555"/>
      <c r="H40" s="766"/>
      <c r="I40" s="406"/>
      <c r="J40" s="766"/>
      <c r="K40" s="557">
        <v>0</v>
      </c>
      <c r="L40" s="765"/>
    </row>
    <row r="41" spans="1:12" ht="18" customHeight="1" x14ac:dyDescent="0.4">
      <c r="A41" s="183" t="s">
        <v>88</v>
      </c>
      <c r="B41" s="956" t="s">
        <v>50</v>
      </c>
      <c r="C41" s="957"/>
      <c r="F41" s="555">
        <v>12120.889153057002</v>
      </c>
      <c r="G41" s="555">
        <v>32</v>
      </c>
      <c r="H41" s="766">
        <v>994100</v>
      </c>
      <c r="I41" s="406">
        <v>96796.779056103784</v>
      </c>
      <c r="J41" s="766">
        <v>0</v>
      </c>
      <c r="K41" s="557">
        <v>1090896.7790561039</v>
      </c>
      <c r="L41" s="765"/>
    </row>
    <row r="42" spans="1:12" ht="18" customHeight="1" x14ac:dyDescent="0.4">
      <c r="A42" s="183" t="s">
        <v>89</v>
      </c>
      <c r="B42" s="116" t="s">
        <v>11</v>
      </c>
      <c r="F42" s="555">
        <v>1697</v>
      </c>
      <c r="G42" s="555">
        <v>51</v>
      </c>
      <c r="H42" s="555">
        <v>61626.189415421482</v>
      </c>
      <c r="I42" s="555">
        <v>24898.435601973746</v>
      </c>
      <c r="J42" s="555">
        <v>0</v>
      </c>
      <c r="K42" s="557">
        <v>86524.625017395228</v>
      </c>
      <c r="L42" s="765"/>
    </row>
    <row r="43" spans="1:12" ht="18" customHeight="1" x14ac:dyDescent="0.4">
      <c r="A43" s="183" t="s">
        <v>90</v>
      </c>
      <c r="B43" s="141" t="s">
        <v>10</v>
      </c>
      <c r="C43" s="123"/>
      <c r="D43" s="123"/>
      <c r="F43" s="555"/>
      <c r="G43" s="555"/>
      <c r="H43" s="555"/>
      <c r="I43" s="555"/>
      <c r="J43" s="555"/>
      <c r="K43" s="557">
        <v>0</v>
      </c>
      <c r="L43" s="765"/>
    </row>
    <row r="44" spans="1:12" ht="18" customHeight="1" x14ac:dyDescent="0.4">
      <c r="A44" s="183" t="s">
        <v>91</v>
      </c>
      <c r="B44" s="973" t="s">
        <v>619</v>
      </c>
      <c r="C44" s="1061"/>
      <c r="D44" s="1062"/>
      <c r="F44" s="555"/>
      <c r="G44" s="555"/>
      <c r="H44" s="555"/>
      <c r="I44" s="555"/>
      <c r="J44" s="555"/>
      <c r="K44" s="567">
        <v>0</v>
      </c>
      <c r="L44" s="765"/>
    </row>
    <row r="45" spans="1:12" ht="18" customHeight="1" x14ac:dyDescent="0.4">
      <c r="A45" s="183" t="s">
        <v>139</v>
      </c>
      <c r="B45" s="951"/>
      <c r="C45" s="952"/>
      <c r="D45" s="953"/>
      <c r="F45" s="555"/>
      <c r="G45" s="555"/>
      <c r="H45" s="766"/>
      <c r="I45" s="406"/>
      <c r="J45" s="766"/>
      <c r="K45" s="557">
        <v>0</v>
      </c>
      <c r="L45" s="765"/>
    </row>
    <row r="46" spans="1:12" ht="18" customHeight="1" x14ac:dyDescent="0.4">
      <c r="A46" s="183" t="s">
        <v>140</v>
      </c>
      <c r="B46" s="951"/>
      <c r="C46" s="952"/>
      <c r="D46" s="953"/>
      <c r="F46" s="555"/>
      <c r="G46" s="555"/>
      <c r="H46" s="766"/>
      <c r="I46" s="406"/>
      <c r="J46" s="766"/>
      <c r="K46" s="557">
        <v>0</v>
      </c>
      <c r="L46" s="765"/>
    </row>
    <row r="47" spans="1:12" ht="18" customHeight="1" x14ac:dyDescent="0.4">
      <c r="A47" s="183" t="s">
        <v>141</v>
      </c>
      <c r="B47" s="951"/>
      <c r="C47" s="952"/>
      <c r="D47" s="953"/>
      <c r="F47" s="555"/>
      <c r="G47" s="555"/>
      <c r="H47" s="766"/>
      <c r="I47" s="406"/>
      <c r="J47" s="766"/>
      <c r="K47" s="557">
        <v>0</v>
      </c>
      <c r="L47" s="765"/>
    </row>
    <row r="48" spans="1:12" ht="18" customHeight="1" x14ac:dyDescent="0.35">
      <c r="L48" s="765"/>
    </row>
    <row r="49" spans="1:12" ht="18" customHeight="1" x14ac:dyDescent="0.4">
      <c r="A49" s="120" t="s">
        <v>142</v>
      </c>
      <c r="B49" s="117" t="s">
        <v>143</v>
      </c>
      <c r="E49" s="117" t="s">
        <v>7</v>
      </c>
      <c r="F49" s="563">
        <v>13817.889153057002</v>
      </c>
      <c r="G49" s="563">
        <v>83</v>
      </c>
      <c r="H49" s="767">
        <v>1055726.1894154216</v>
      </c>
      <c r="I49" s="767">
        <v>121695.21465807753</v>
      </c>
      <c r="J49" s="767">
        <v>0</v>
      </c>
      <c r="K49" s="557">
        <v>1177421.4040734991</v>
      </c>
      <c r="L49" s="765"/>
    </row>
    <row r="50" spans="1:12" ht="18" customHeight="1" thickBot="1" x14ac:dyDescent="0.4">
      <c r="G50" s="129"/>
      <c r="H50" s="408"/>
      <c r="I50" s="408"/>
      <c r="J50" s="408"/>
      <c r="K50" s="129"/>
      <c r="L50" s="765"/>
    </row>
    <row r="51" spans="1:12" ht="42.75" customHeight="1" x14ac:dyDescent="0.4">
      <c r="F51" s="122" t="s">
        <v>9</v>
      </c>
      <c r="G51" s="122" t="s">
        <v>37</v>
      </c>
      <c r="H51" s="402" t="s">
        <v>29</v>
      </c>
      <c r="I51" s="402" t="s">
        <v>30</v>
      </c>
      <c r="J51" s="402" t="s">
        <v>33</v>
      </c>
      <c r="K51" s="122" t="s">
        <v>34</v>
      </c>
      <c r="L51" s="765"/>
    </row>
    <row r="52" spans="1:12" ht="18" customHeight="1" x14ac:dyDescent="0.4">
      <c r="A52" s="120" t="s">
        <v>92</v>
      </c>
      <c r="B52" s="976" t="s">
        <v>38</v>
      </c>
      <c r="C52" s="977"/>
      <c r="L52" s="765"/>
    </row>
    <row r="53" spans="1:12" ht="18" customHeight="1" x14ac:dyDescent="0.4">
      <c r="A53" s="768" t="s">
        <v>51</v>
      </c>
      <c r="B53" s="542" t="s">
        <v>771</v>
      </c>
      <c r="C53" s="543"/>
      <c r="D53" s="538"/>
      <c r="F53" s="555">
        <v>7280</v>
      </c>
      <c r="G53" s="555">
        <v>842</v>
      </c>
      <c r="H53" s="555">
        <v>266423.63167016406</v>
      </c>
      <c r="I53" s="558">
        <v>107641.43781902507</v>
      </c>
      <c r="J53" s="555">
        <v>0</v>
      </c>
      <c r="K53" s="557">
        <v>374065.06948918913</v>
      </c>
      <c r="L53" s="765"/>
    </row>
    <row r="54" spans="1:12" ht="18" customHeight="1" x14ac:dyDescent="0.4">
      <c r="A54" s="183" t="s">
        <v>93</v>
      </c>
      <c r="B54" s="536" t="s">
        <v>620</v>
      </c>
      <c r="C54" s="537"/>
      <c r="D54" s="538"/>
      <c r="F54" s="555">
        <v>8751.5</v>
      </c>
      <c r="G54" s="555">
        <v>7954</v>
      </c>
      <c r="H54" s="769">
        <v>1392497</v>
      </c>
      <c r="I54" s="406">
        <v>1037259.6815988783</v>
      </c>
      <c r="J54" s="766"/>
      <c r="K54" s="557">
        <v>2429756.6815988785</v>
      </c>
      <c r="L54" s="765"/>
    </row>
    <row r="55" spans="1:12" ht="18" customHeight="1" x14ac:dyDescent="0.4">
      <c r="A55" s="183" t="s">
        <v>94</v>
      </c>
      <c r="B55" s="539" t="s">
        <v>621</v>
      </c>
      <c r="C55" s="537"/>
      <c r="D55" s="538"/>
      <c r="F55" s="555">
        <v>27391.61599950619</v>
      </c>
      <c r="G55" s="555">
        <v>48631</v>
      </c>
      <c r="H55" s="770">
        <v>2110040</v>
      </c>
      <c r="I55" s="406">
        <v>1571751.6221298124</v>
      </c>
      <c r="J55" s="766"/>
      <c r="K55" s="557">
        <v>3681791.6221298124</v>
      </c>
      <c r="L55" s="765"/>
    </row>
    <row r="56" spans="1:12" ht="18" customHeight="1" x14ac:dyDescent="0.4">
      <c r="A56" s="183" t="s">
        <v>95</v>
      </c>
      <c r="B56" s="539" t="s">
        <v>344</v>
      </c>
      <c r="C56" s="537"/>
      <c r="D56" s="538"/>
      <c r="F56" s="555"/>
      <c r="G56" s="555"/>
      <c r="H56" s="770">
        <v>947250.13990000007</v>
      </c>
      <c r="I56" s="406">
        <v>705598.91942831269</v>
      </c>
      <c r="J56" s="766"/>
      <c r="K56" s="557">
        <v>1652849.0593283128</v>
      </c>
      <c r="L56" s="765"/>
    </row>
    <row r="57" spans="1:12" ht="18" customHeight="1" x14ac:dyDescent="0.4">
      <c r="A57" s="183" t="s">
        <v>96</v>
      </c>
      <c r="B57" s="539" t="s">
        <v>622</v>
      </c>
      <c r="C57" s="537"/>
      <c r="D57" s="538"/>
      <c r="F57" s="555"/>
      <c r="G57" s="555"/>
      <c r="H57" s="771">
        <v>2908011.82</v>
      </c>
      <c r="I57" s="406">
        <v>2166154.3360588746</v>
      </c>
      <c r="J57" s="766"/>
      <c r="K57" s="557">
        <v>5074166.156058874</v>
      </c>
      <c r="L57" s="765"/>
    </row>
    <row r="58" spans="1:12" ht="18" customHeight="1" x14ac:dyDescent="0.4">
      <c r="A58" s="183" t="s">
        <v>97</v>
      </c>
      <c r="B58" s="325" t="s">
        <v>819</v>
      </c>
      <c r="C58" s="537"/>
      <c r="D58" s="538"/>
      <c r="F58" s="555">
        <v>0</v>
      </c>
      <c r="G58" s="555">
        <v>0</v>
      </c>
      <c r="H58" s="771">
        <v>4045025.62</v>
      </c>
      <c r="I58" s="406">
        <v>752176.36908443738</v>
      </c>
      <c r="J58" s="766">
        <v>0</v>
      </c>
      <c r="K58" s="557">
        <v>4797201.9890844375</v>
      </c>
      <c r="L58" s="765"/>
    </row>
    <row r="59" spans="1:12" ht="18" customHeight="1" x14ac:dyDescent="0.4">
      <c r="A59" s="183"/>
      <c r="B59" s="325" t="s">
        <v>820</v>
      </c>
      <c r="C59" s="537"/>
      <c r="D59" s="538"/>
      <c r="F59" s="555"/>
      <c r="G59" s="555"/>
      <c r="H59" s="771">
        <v>8357300.4866666663</v>
      </c>
      <c r="I59" s="406">
        <v>1554039.0208400029</v>
      </c>
      <c r="J59" s="766">
        <v>0</v>
      </c>
      <c r="K59" s="557">
        <v>9911339.5075066686</v>
      </c>
      <c r="L59" s="765"/>
    </row>
    <row r="60" spans="1:12" ht="18" customHeight="1" x14ac:dyDescent="0.4">
      <c r="A60" s="183"/>
      <c r="B60" s="325" t="s">
        <v>345</v>
      </c>
      <c r="C60" s="537"/>
      <c r="D60" s="538"/>
      <c r="F60" s="555"/>
      <c r="G60" s="555"/>
      <c r="H60" s="771">
        <v>853407.19</v>
      </c>
      <c r="I60" s="406">
        <v>635696.06984689622</v>
      </c>
      <c r="J60" s="766"/>
      <c r="K60" s="557">
        <v>1489103.2598468962</v>
      </c>
      <c r="L60" s="765"/>
    </row>
    <row r="61" spans="1:12" ht="18" customHeight="1" x14ac:dyDescent="0.4">
      <c r="A61" s="183"/>
      <c r="B61" s="325"/>
      <c r="C61" s="537"/>
      <c r="D61" s="538"/>
      <c r="F61" s="555"/>
      <c r="G61" s="555"/>
      <c r="H61" s="555"/>
      <c r="I61" s="555"/>
      <c r="J61" s="555"/>
      <c r="K61" s="555"/>
      <c r="L61" s="765"/>
    </row>
    <row r="62" spans="1:12" ht="18" customHeight="1" x14ac:dyDescent="0.4">
      <c r="A62" s="768" t="s">
        <v>101</v>
      </c>
      <c r="B62" s="539"/>
      <c r="C62" s="537"/>
      <c r="D62" s="538"/>
      <c r="F62" s="555">
        <v>0</v>
      </c>
      <c r="G62" s="555">
        <v>0</v>
      </c>
      <c r="H62" s="555">
        <v>0</v>
      </c>
      <c r="I62" s="555">
        <v>0</v>
      </c>
      <c r="J62" s="555">
        <v>0</v>
      </c>
      <c r="K62" s="557">
        <v>0</v>
      </c>
      <c r="L62" s="765"/>
    </row>
    <row r="63" spans="1:12" ht="18" customHeight="1" x14ac:dyDescent="0.4">
      <c r="A63" s="183"/>
      <c r="F63" s="255"/>
      <c r="G63" s="255"/>
      <c r="H63" s="255"/>
      <c r="I63" s="255"/>
      <c r="J63" s="255"/>
      <c r="K63" s="255"/>
      <c r="L63" s="765"/>
    </row>
    <row r="64" spans="1:12" ht="18" customHeight="1" x14ac:dyDescent="0.4">
      <c r="A64" s="183" t="s">
        <v>144</v>
      </c>
      <c r="B64" s="117" t="s">
        <v>145</v>
      </c>
      <c r="E64" s="117" t="s">
        <v>7</v>
      </c>
      <c r="F64" s="560">
        <v>43423.11599950619</v>
      </c>
      <c r="G64" s="560">
        <v>57427</v>
      </c>
      <c r="H64" s="767">
        <v>20879955.888236828</v>
      </c>
      <c r="I64" s="767">
        <v>8530317.4568062406</v>
      </c>
      <c r="J64" s="767">
        <v>0</v>
      </c>
      <c r="K64" s="557">
        <v>29410273.345043078</v>
      </c>
      <c r="L64" s="765"/>
    </row>
    <row r="65" spans="1:12" ht="18" customHeight="1" x14ac:dyDescent="0.35">
      <c r="F65" s="142"/>
      <c r="G65" s="142"/>
      <c r="H65" s="409"/>
      <c r="I65" s="409"/>
      <c r="J65" s="409"/>
      <c r="K65" s="142"/>
      <c r="L65" s="765"/>
    </row>
    <row r="66" spans="1:12" ht="42.75" customHeight="1" x14ac:dyDescent="0.4">
      <c r="F66" s="147" t="s">
        <v>9</v>
      </c>
      <c r="G66" s="147" t="s">
        <v>37</v>
      </c>
      <c r="H66" s="259" t="s">
        <v>29</v>
      </c>
      <c r="I66" s="259" t="s">
        <v>30</v>
      </c>
      <c r="J66" s="259" t="s">
        <v>33</v>
      </c>
      <c r="K66" s="147" t="s">
        <v>34</v>
      </c>
      <c r="L66" s="765"/>
    </row>
    <row r="67" spans="1:12" ht="18" customHeight="1" x14ac:dyDescent="0.4">
      <c r="A67" s="120" t="s">
        <v>102</v>
      </c>
      <c r="B67" s="117" t="s">
        <v>12</v>
      </c>
      <c r="F67" s="148"/>
      <c r="G67" s="148"/>
      <c r="H67" s="410"/>
      <c r="I67" s="411"/>
      <c r="J67" s="410"/>
      <c r="K67" s="150"/>
      <c r="L67" s="765"/>
    </row>
    <row r="68" spans="1:12" ht="18" customHeight="1" x14ac:dyDescent="0.4">
      <c r="A68" s="183" t="s">
        <v>103</v>
      </c>
      <c r="B68" s="189" t="s">
        <v>52</v>
      </c>
      <c r="F68" s="564"/>
      <c r="G68" s="564"/>
      <c r="H68" s="766"/>
      <c r="I68" s="406"/>
      <c r="J68" s="766"/>
      <c r="K68" s="557">
        <v>0</v>
      </c>
      <c r="L68" s="765"/>
    </row>
    <row r="69" spans="1:12" ht="18" customHeight="1" x14ac:dyDescent="0.4">
      <c r="A69" s="183" t="s">
        <v>104</v>
      </c>
      <c r="B69" s="116" t="s">
        <v>53</v>
      </c>
      <c r="F69" s="564"/>
      <c r="G69" s="564"/>
      <c r="H69" s="766"/>
      <c r="I69" s="406"/>
      <c r="J69" s="766"/>
      <c r="K69" s="557">
        <v>0</v>
      </c>
      <c r="L69" s="765"/>
    </row>
    <row r="70" spans="1:12" ht="18" customHeight="1" x14ac:dyDescent="0.4">
      <c r="A70" s="183" t="s">
        <v>178</v>
      </c>
      <c r="B70" s="536"/>
      <c r="C70" s="537"/>
      <c r="D70" s="538"/>
      <c r="E70" s="117"/>
      <c r="F70" s="131"/>
      <c r="G70" s="131"/>
      <c r="H70" s="412"/>
      <c r="I70" s="406"/>
      <c r="J70" s="412"/>
      <c r="K70" s="557">
        <v>0</v>
      </c>
      <c r="L70" s="765"/>
    </row>
    <row r="71" spans="1:12" ht="18" customHeight="1" x14ac:dyDescent="0.4">
      <c r="A71" s="183" t="s">
        <v>179</v>
      </c>
      <c r="B71" s="536"/>
      <c r="C71" s="537"/>
      <c r="D71" s="538"/>
      <c r="E71" s="117"/>
      <c r="F71" s="131"/>
      <c r="G71" s="131"/>
      <c r="H71" s="412"/>
      <c r="I71" s="406"/>
      <c r="J71" s="412"/>
      <c r="K71" s="557">
        <v>0</v>
      </c>
      <c r="L71" s="765"/>
    </row>
    <row r="72" spans="1:12" ht="18" customHeight="1" x14ac:dyDescent="0.4">
      <c r="A72" s="183" t="s">
        <v>180</v>
      </c>
      <c r="B72" s="544"/>
      <c r="C72" s="543"/>
      <c r="D72" s="130"/>
      <c r="E72" s="117"/>
      <c r="F72" s="555"/>
      <c r="G72" s="555"/>
      <c r="H72" s="766"/>
      <c r="I72" s="406"/>
      <c r="J72" s="766"/>
      <c r="K72" s="557">
        <v>0</v>
      </c>
      <c r="L72" s="765"/>
    </row>
    <row r="73" spans="1:12" ht="18" customHeight="1" x14ac:dyDescent="0.4">
      <c r="A73" s="183"/>
      <c r="B73" s="116"/>
      <c r="E73" s="117"/>
      <c r="F73" s="151"/>
      <c r="G73" s="151"/>
      <c r="H73" s="413"/>
      <c r="I73" s="411"/>
      <c r="J73" s="413"/>
      <c r="K73" s="150"/>
      <c r="L73" s="765"/>
    </row>
    <row r="74" spans="1:12" ht="18" customHeight="1" x14ac:dyDescent="0.4">
      <c r="A74" s="120" t="s">
        <v>146</v>
      </c>
      <c r="B74" s="117" t="s">
        <v>147</v>
      </c>
      <c r="E74" s="117" t="s">
        <v>7</v>
      </c>
      <c r="F74" s="566">
        <v>0</v>
      </c>
      <c r="G74" s="566">
        <v>0</v>
      </c>
      <c r="H74" s="772">
        <v>0</v>
      </c>
      <c r="I74" s="405">
        <v>0</v>
      </c>
      <c r="J74" s="772">
        <v>0</v>
      </c>
      <c r="K74" s="567">
        <v>0</v>
      </c>
      <c r="L74" s="765"/>
    </row>
    <row r="75" spans="1:12" ht="42.75" customHeight="1" x14ac:dyDescent="0.4">
      <c r="F75" s="122" t="s">
        <v>9</v>
      </c>
      <c r="G75" s="122" t="s">
        <v>37</v>
      </c>
      <c r="H75" s="402" t="s">
        <v>29</v>
      </c>
      <c r="I75" s="402" t="s">
        <v>30</v>
      </c>
      <c r="J75" s="402" t="s">
        <v>33</v>
      </c>
      <c r="K75" s="122" t="s">
        <v>34</v>
      </c>
      <c r="L75" s="765"/>
    </row>
    <row r="76" spans="1:12" ht="18" customHeight="1" x14ac:dyDescent="0.4">
      <c r="A76" s="120" t="s">
        <v>105</v>
      </c>
      <c r="B76" s="117" t="s">
        <v>106</v>
      </c>
      <c r="L76" s="765"/>
    </row>
    <row r="77" spans="1:12" ht="18" customHeight="1" x14ac:dyDescent="0.4">
      <c r="A77" s="183" t="s">
        <v>107</v>
      </c>
      <c r="B77" s="116" t="s">
        <v>54</v>
      </c>
      <c r="F77" s="555">
        <v>0</v>
      </c>
      <c r="G77" s="555">
        <v>0</v>
      </c>
      <c r="H77" s="555">
        <v>21375</v>
      </c>
      <c r="I77" s="555">
        <v>8636.0046928199135</v>
      </c>
      <c r="J77" s="555">
        <v>0</v>
      </c>
      <c r="K77" s="557">
        <v>30011.004692819915</v>
      </c>
      <c r="L77" s="765"/>
    </row>
    <row r="78" spans="1:12" ht="18" customHeight="1" x14ac:dyDescent="0.4">
      <c r="A78" s="183" t="s">
        <v>108</v>
      </c>
      <c r="B78" s="116" t="s">
        <v>55</v>
      </c>
      <c r="F78" s="555">
        <v>0</v>
      </c>
      <c r="G78" s="555">
        <v>0</v>
      </c>
      <c r="H78" s="555">
        <v>50000</v>
      </c>
      <c r="I78" s="555">
        <v>20201.180567999796</v>
      </c>
      <c r="J78" s="555">
        <v>0</v>
      </c>
      <c r="K78" s="557">
        <v>70201.180567999792</v>
      </c>
      <c r="L78" s="765"/>
    </row>
    <row r="79" spans="1:12" ht="18" customHeight="1" x14ac:dyDescent="0.4">
      <c r="A79" s="183" t="s">
        <v>109</v>
      </c>
      <c r="B79" s="116" t="s">
        <v>13</v>
      </c>
      <c r="F79" s="555">
        <v>245</v>
      </c>
      <c r="G79" s="555">
        <v>10025</v>
      </c>
      <c r="H79" s="555">
        <v>92640.122219668992</v>
      </c>
      <c r="I79" s="555">
        <v>37428.796736022065</v>
      </c>
      <c r="J79" s="555">
        <v>0</v>
      </c>
      <c r="K79" s="557">
        <v>130068.91895569106</v>
      </c>
      <c r="L79" s="765"/>
    </row>
    <row r="80" spans="1:12" ht="18" customHeight="1" x14ac:dyDescent="0.4">
      <c r="A80" s="183" t="s">
        <v>110</v>
      </c>
      <c r="B80" s="116" t="s">
        <v>56</v>
      </c>
      <c r="F80" s="555"/>
      <c r="G80" s="555"/>
      <c r="H80" s="766"/>
      <c r="I80" s="406"/>
      <c r="J80" s="766"/>
      <c r="K80" s="557">
        <v>0</v>
      </c>
      <c r="L80" s="765"/>
    </row>
    <row r="81" spans="1:12" ht="18" customHeight="1" x14ac:dyDescent="0.4">
      <c r="A81" s="183"/>
      <c r="K81" s="568"/>
      <c r="L81" s="765"/>
    </row>
    <row r="82" spans="1:12" ht="18" customHeight="1" x14ac:dyDescent="0.4">
      <c r="A82" s="183" t="s">
        <v>148</v>
      </c>
      <c r="B82" s="117" t="s">
        <v>149</v>
      </c>
      <c r="E82" s="117" t="s">
        <v>7</v>
      </c>
      <c r="F82" s="566">
        <v>245</v>
      </c>
      <c r="G82" s="566">
        <v>10025</v>
      </c>
      <c r="H82" s="772">
        <v>164015.12221966899</v>
      </c>
      <c r="I82" s="772">
        <v>66265.981996841772</v>
      </c>
      <c r="J82" s="772">
        <v>0</v>
      </c>
      <c r="K82" s="567">
        <v>230281.10421651078</v>
      </c>
      <c r="L82" s="765"/>
    </row>
    <row r="83" spans="1:12" ht="18" customHeight="1" thickBot="1" x14ac:dyDescent="0.45">
      <c r="A83" s="183"/>
      <c r="F83" s="129"/>
      <c r="G83" s="129"/>
      <c r="H83" s="408"/>
      <c r="I83" s="408"/>
      <c r="J83" s="408"/>
      <c r="K83" s="129"/>
      <c r="L83" s="765"/>
    </row>
    <row r="84" spans="1:12" ht="42.75" customHeight="1" x14ac:dyDescent="0.4">
      <c r="F84" s="122" t="s">
        <v>9</v>
      </c>
      <c r="G84" s="122" t="s">
        <v>37</v>
      </c>
      <c r="H84" s="402" t="s">
        <v>29</v>
      </c>
      <c r="I84" s="402" t="s">
        <v>30</v>
      </c>
      <c r="J84" s="402" t="s">
        <v>33</v>
      </c>
      <c r="K84" s="122" t="s">
        <v>34</v>
      </c>
      <c r="L84" s="765"/>
    </row>
    <row r="85" spans="1:12" ht="18" customHeight="1" x14ac:dyDescent="0.4">
      <c r="A85" s="120" t="s">
        <v>111</v>
      </c>
      <c r="B85" s="117" t="s">
        <v>57</v>
      </c>
      <c r="L85" s="765"/>
    </row>
    <row r="86" spans="1:12" ht="18" customHeight="1" x14ac:dyDescent="0.4">
      <c r="A86" s="183" t="s">
        <v>112</v>
      </c>
      <c r="B86" s="116" t="s">
        <v>113</v>
      </c>
      <c r="F86" s="555"/>
      <c r="G86" s="555"/>
      <c r="H86" s="766"/>
      <c r="I86" s="406"/>
      <c r="J86" s="766"/>
      <c r="K86" s="557">
        <v>0</v>
      </c>
      <c r="L86" s="765"/>
    </row>
    <row r="87" spans="1:12" ht="18" customHeight="1" x14ac:dyDescent="0.4">
      <c r="A87" s="183" t="s">
        <v>114</v>
      </c>
      <c r="B87" s="116" t="s">
        <v>14</v>
      </c>
      <c r="F87" s="555">
        <v>162</v>
      </c>
      <c r="G87" s="555">
        <v>0</v>
      </c>
      <c r="H87" s="555">
        <v>9782.9951003525512</v>
      </c>
      <c r="I87" s="555">
        <v>3952.5610103615836</v>
      </c>
      <c r="J87" s="555">
        <v>0</v>
      </c>
      <c r="K87" s="557">
        <v>13735.556110714135</v>
      </c>
      <c r="L87" s="765"/>
    </row>
    <row r="88" spans="1:12" ht="18" customHeight="1" x14ac:dyDescent="0.4">
      <c r="A88" s="183" t="s">
        <v>115</v>
      </c>
      <c r="B88" s="116" t="s">
        <v>116</v>
      </c>
      <c r="F88" s="555"/>
      <c r="G88" s="555"/>
      <c r="H88" s="555"/>
      <c r="I88" s="555"/>
      <c r="J88" s="555"/>
      <c r="K88" s="557">
        <v>0</v>
      </c>
      <c r="L88" s="765"/>
    </row>
    <row r="89" spans="1:12" ht="18" customHeight="1" x14ac:dyDescent="0.4">
      <c r="A89" s="183" t="s">
        <v>117</v>
      </c>
      <c r="B89" s="116" t="s">
        <v>58</v>
      </c>
      <c r="F89" s="555"/>
      <c r="G89" s="555"/>
      <c r="H89" s="555"/>
      <c r="I89" s="555"/>
      <c r="J89" s="555"/>
      <c r="K89" s="557">
        <v>0</v>
      </c>
      <c r="L89" s="765"/>
    </row>
    <row r="90" spans="1:12" ht="18" customHeight="1" x14ac:dyDescent="0.4">
      <c r="A90" s="183" t="s">
        <v>118</v>
      </c>
      <c r="B90" s="956" t="s">
        <v>59</v>
      </c>
      <c r="C90" s="957"/>
      <c r="F90" s="555"/>
      <c r="G90" s="555"/>
      <c r="H90" s="555"/>
      <c r="I90" s="555"/>
      <c r="J90" s="555"/>
      <c r="K90" s="557">
        <v>0</v>
      </c>
      <c r="L90" s="765"/>
    </row>
    <row r="91" spans="1:12" ht="18" customHeight="1" x14ac:dyDescent="0.4">
      <c r="A91" s="183" t="s">
        <v>119</v>
      </c>
      <c r="B91" s="116" t="s">
        <v>60</v>
      </c>
      <c r="F91" s="555">
        <v>578</v>
      </c>
      <c r="G91" s="555">
        <v>100</v>
      </c>
      <c r="H91" s="555">
        <v>20989.945481504783</v>
      </c>
      <c r="I91" s="555">
        <v>8480.4335756869914</v>
      </c>
      <c r="J91" s="555">
        <v>0</v>
      </c>
      <c r="K91" s="557">
        <v>29470.379057191774</v>
      </c>
      <c r="L91" s="765"/>
    </row>
    <row r="92" spans="1:12" ht="18" customHeight="1" x14ac:dyDescent="0.4">
      <c r="A92" s="183" t="s">
        <v>120</v>
      </c>
      <c r="B92" s="116" t="s">
        <v>121</v>
      </c>
      <c r="F92" s="134">
        <v>166</v>
      </c>
      <c r="G92" s="134">
        <v>452</v>
      </c>
      <c r="H92" s="134">
        <v>6028.2542386328614</v>
      </c>
      <c r="I92" s="134">
        <v>2435.5570476886514</v>
      </c>
      <c r="J92" s="134">
        <v>0</v>
      </c>
      <c r="K92" s="557">
        <v>8463.8112863215138</v>
      </c>
      <c r="L92" s="765"/>
    </row>
    <row r="93" spans="1:12" ht="18" customHeight="1" x14ac:dyDescent="0.4">
      <c r="A93" s="183" t="s">
        <v>122</v>
      </c>
      <c r="B93" s="116" t="s">
        <v>123</v>
      </c>
      <c r="F93" s="555">
        <v>0</v>
      </c>
      <c r="G93" s="555">
        <v>0</v>
      </c>
      <c r="H93" s="555">
        <v>0</v>
      </c>
      <c r="I93" s="555">
        <v>0</v>
      </c>
      <c r="J93" s="555">
        <v>0</v>
      </c>
      <c r="K93" s="557">
        <v>0</v>
      </c>
      <c r="L93" s="765"/>
    </row>
    <row r="94" spans="1:12" ht="18" customHeight="1" x14ac:dyDescent="0.4">
      <c r="A94" s="183" t="s">
        <v>124</v>
      </c>
      <c r="B94" s="980"/>
      <c r="C94" s="974"/>
      <c r="D94" s="975"/>
      <c r="F94" s="555"/>
      <c r="G94" s="555"/>
      <c r="H94" s="766"/>
      <c r="I94" s="406"/>
      <c r="J94" s="766"/>
      <c r="K94" s="557">
        <v>0</v>
      </c>
      <c r="L94" s="765"/>
    </row>
    <row r="95" spans="1:12" ht="18" customHeight="1" x14ac:dyDescent="0.4">
      <c r="A95" s="183" t="s">
        <v>125</v>
      </c>
      <c r="B95" s="980"/>
      <c r="C95" s="974"/>
      <c r="D95" s="975"/>
      <c r="F95" s="555"/>
      <c r="G95" s="555"/>
      <c r="H95" s="766"/>
      <c r="I95" s="406"/>
      <c r="J95" s="766"/>
      <c r="K95" s="557">
        <v>0</v>
      </c>
      <c r="L95" s="765"/>
    </row>
    <row r="96" spans="1:12" ht="18" customHeight="1" x14ac:dyDescent="0.4">
      <c r="A96" s="183" t="s">
        <v>126</v>
      </c>
      <c r="B96" s="980"/>
      <c r="C96" s="974"/>
      <c r="D96" s="975"/>
      <c r="F96" s="555"/>
      <c r="G96" s="555"/>
      <c r="H96" s="766"/>
      <c r="I96" s="406"/>
      <c r="J96" s="766"/>
      <c r="K96" s="557">
        <v>0</v>
      </c>
      <c r="L96" s="765"/>
    </row>
    <row r="97" spans="1:12" ht="18" customHeight="1" x14ac:dyDescent="0.4">
      <c r="A97" s="183"/>
      <c r="B97" s="116"/>
      <c r="L97" s="765"/>
    </row>
    <row r="98" spans="1:12" ht="18" customHeight="1" x14ac:dyDescent="0.4">
      <c r="A98" s="120" t="s">
        <v>150</v>
      </c>
      <c r="B98" s="117" t="s">
        <v>151</v>
      </c>
      <c r="E98" s="117" t="s">
        <v>7</v>
      </c>
      <c r="F98" s="560">
        <v>906</v>
      </c>
      <c r="G98" s="560">
        <v>552</v>
      </c>
      <c r="H98" s="767">
        <v>36801.1948204902</v>
      </c>
      <c r="I98" s="767">
        <v>14868.551633737226</v>
      </c>
      <c r="J98" s="767">
        <v>0</v>
      </c>
      <c r="K98" s="560">
        <v>51669.746454227425</v>
      </c>
      <c r="L98" s="765"/>
    </row>
    <row r="99" spans="1:12" ht="18" customHeight="1" thickBot="1" x14ac:dyDescent="0.45">
      <c r="B99" s="117"/>
      <c r="F99" s="129"/>
      <c r="G99" s="129"/>
      <c r="H99" s="408"/>
      <c r="I99" s="408"/>
      <c r="J99" s="408"/>
      <c r="K99" s="129"/>
      <c r="L99" s="765"/>
    </row>
    <row r="100" spans="1:12" ht="42.75" customHeight="1" x14ac:dyDescent="0.4">
      <c r="F100" s="122" t="s">
        <v>9</v>
      </c>
      <c r="G100" s="122" t="s">
        <v>37</v>
      </c>
      <c r="H100" s="402" t="s">
        <v>29</v>
      </c>
      <c r="I100" s="402" t="s">
        <v>30</v>
      </c>
      <c r="J100" s="402" t="s">
        <v>33</v>
      </c>
      <c r="K100" s="122" t="s">
        <v>34</v>
      </c>
      <c r="L100" s="765"/>
    </row>
    <row r="101" spans="1:12" ht="18" customHeight="1" x14ac:dyDescent="0.4">
      <c r="A101" s="120" t="s">
        <v>130</v>
      </c>
      <c r="B101" s="117" t="s">
        <v>63</v>
      </c>
      <c r="L101" s="765"/>
    </row>
    <row r="102" spans="1:12" ht="18" customHeight="1" x14ac:dyDescent="0.4">
      <c r="A102" s="183" t="s">
        <v>131</v>
      </c>
      <c r="B102" s="116" t="s">
        <v>152</v>
      </c>
      <c r="F102" s="555">
        <v>500</v>
      </c>
      <c r="G102" s="555">
        <v>0</v>
      </c>
      <c r="H102" s="555">
        <v>18157.392285038739</v>
      </c>
      <c r="I102" s="555">
        <v>7336.0152038814795</v>
      </c>
      <c r="J102" s="555">
        <v>0</v>
      </c>
      <c r="K102" s="557">
        <v>25493.407488920217</v>
      </c>
      <c r="L102" s="765"/>
    </row>
    <row r="103" spans="1:12" ht="18" customHeight="1" x14ac:dyDescent="0.4">
      <c r="A103" s="183" t="s">
        <v>132</v>
      </c>
      <c r="B103" s="956" t="s">
        <v>62</v>
      </c>
      <c r="C103" s="956"/>
      <c r="F103" s="555">
        <v>1500</v>
      </c>
      <c r="G103" s="555">
        <v>0</v>
      </c>
      <c r="H103" s="555">
        <v>54472.176855116217</v>
      </c>
      <c r="I103" s="555">
        <v>22008.04561164444</v>
      </c>
      <c r="J103" s="555">
        <v>0</v>
      </c>
      <c r="K103" s="557">
        <v>76480.222466760664</v>
      </c>
      <c r="L103" s="765"/>
    </row>
    <row r="104" spans="1:12" ht="18" customHeight="1" x14ac:dyDescent="0.4">
      <c r="A104" s="183" t="s">
        <v>128</v>
      </c>
      <c r="B104" s="980"/>
      <c r="C104" s="974"/>
      <c r="D104" s="975"/>
      <c r="F104" s="555"/>
      <c r="G104" s="555"/>
      <c r="H104" s="766"/>
      <c r="I104" s="406"/>
      <c r="J104" s="766"/>
      <c r="K104" s="557">
        <v>0</v>
      </c>
      <c r="L104" s="765"/>
    </row>
    <row r="105" spans="1:12" ht="18" customHeight="1" x14ac:dyDescent="0.4">
      <c r="A105" s="183" t="s">
        <v>127</v>
      </c>
      <c r="B105" s="980"/>
      <c r="C105" s="974"/>
      <c r="D105" s="975"/>
      <c r="F105" s="555"/>
      <c r="G105" s="555"/>
      <c r="H105" s="766"/>
      <c r="I105" s="406"/>
      <c r="J105" s="766"/>
      <c r="K105" s="557">
        <v>0</v>
      </c>
      <c r="L105" s="765"/>
    </row>
    <row r="106" spans="1:12" ht="18" customHeight="1" x14ac:dyDescent="0.4">
      <c r="A106" s="183" t="s">
        <v>129</v>
      </c>
      <c r="B106" s="980"/>
      <c r="C106" s="974"/>
      <c r="D106" s="975"/>
      <c r="F106" s="555"/>
      <c r="G106" s="555"/>
      <c r="H106" s="766"/>
      <c r="I106" s="406"/>
      <c r="J106" s="766"/>
      <c r="K106" s="557">
        <v>0</v>
      </c>
      <c r="L106" s="765"/>
    </row>
    <row r="107" spans="1:12" ht="18" customHeight="1" x14ac:dyDescent="0.4">
      <c r="B107" s="117"/>
      <c r="L107" s="765"/>
    </row>
    <row r="108" spans="1:12" s="123" customFormat="1" ht="18" customHeight="1" x14ac:dyDescent="0.4">
      <c r="A108" s="120" t="s">
        <v>153</v>
      </c>
      <c r="B108" s="153" t="s">
        <v>154</v>
      </c>
      <c r="C108" s="189"/>
      <c r="D108" s="189"/>
      <c r="E108" s="117" t="s">
        <v>7</v>
      </c>
      <c r="F108" s="560">
        <v>2000</v>
      </c>
      <c r="G108" s="560">
        <v>0</v>
      </c>
      <c r="H108" s="767">
        <v>72629.569140154956</v>
      </c>
      <c r="I108" s="767">
        <v>29344.060815525918</v>
      </c>
      <c r="J108" s="767">
        <v>0</v>
      </c>
      <c r="K108" s="557">
        <v>101973.62995568088</v>
      </c>
      <c r="L108" s="773"/>
    </row>
    <row r="109" spans="1:12" s="123" customFormat="1" ht="18" customHeight="1" thickBot="1" x14ac:dyDescent="0.45">
      <c r="A109" s="124"/>
      <c r="B109" s="125"/>
      <c r="C109" s="126"/>
      <c r="D109" s="126"/>
      <c r="E109" s="126"/>
      <c r="F109" s="129"/>
      <c r="G109" s="129"/>
      <c r="H109" s="408"/>
      <c r="I109" s="408"/>
      <c r="J109" s="408"/>
      <c r="K109" s="129"/>
      <c r="L109" s="773"/>
    </row>
    <row r="110" spans="1:12" s="123" customFormat="1" ht="18" customHeight="1" x14ac:dyDescent="0.4">
      <c r="A110" s="120" t="s">
        <v>156</v>
      </c>
      <c r="B110" s="117" t="s">
        <v>39</v>
      </c>
      <c r="C110" s="189"/>
      <c r="D110" s="189"/>
      <c r="E110" s="189"/>
      <c r="F110" s="189"/>
      <c r="G110" s="116"/>
      <c r="H110" s="774"/>
      <c r="I110" s="400"/>
      <c r="J110" s="774"/>
      <c r="K110" s="189"/>
      <c r="L110" s="773"/>
    </row>
    <row r="111" spans="1:12" ht="18" customHeight="1" x14ac:dyDescent="0.4">
      <c r="A111" s="120" t="s">
        <v>155</v>
      </c>
      <c r="B111" s="117" t="s">
        <v>164</v>
      </c>
      <c r="E111" s="117" t="s">
        <v>7</v>
      </c>
      <c r="F111" s="766">
        <v>2265610.8900000006</v>
      </c>
      <c r="G111" s="344"/>
      <c r="I111" s="775"/>
      <c r="J111" s="776"/>
      <c r="L111" s="765"/>
    </row>
    <row r="112" spans="1:12" ht="18" customHeight="1" x14ac:dyDescent="0.4">
      <c r="B112" s="117"/>
      <c r="E112" s="117"/>
      <c r="F112" s="184"/>
      <c r="L112" s="765"/>
    </row>
    <row r="113" spans="1:12" ht="18" customHeight="1" x14ac:dyDescent="0.4">
      <c r="A113" s="120"/>
      <c r="B113" s="117" t="s">
        <v>15</v>
      </c>
      <c r="L113" s="765"/>
    </row>
    <row r="114" spans="1:12" ht="18" customHeight="1" x14ac:dyDescent="0.4">
      <c r="A114" s="183" t="s">
        <v>171</v>
      </c>
      <c r="B114" s="116" t="s">
        <v>35</v>
      </c>
      <c r="F114" s="570">
        <v>0.74489186087932568</v>
      </c>
      <c r="L114" s="777"/>
    </row>
    <row r="115" spans="1:12" ht="18" customHeight="1" x14ac:dyDescent="0.4">
      <c r="A115" s="183"/>
      <c r="B115" s="117"/>
      <c r="L115" s="765"/>
    </row>
    <row r="116" spans="1:12" ht="18" customHeight="1" x14ac:dyDescent="0.4">
      <c r="A116" s="183" t="s">
        <v>170</v>
      </c>
      <c r="B116" s="117" t="s">
        <v>16</v>
      </c>
      <c r="L116" s="765"/>
    </row>
    <row r="117" spans="1:12" ht="18" customHeight="1" x14ac:dyDescent="0.4">
      <c r="A117" s="183" t="s">
        <v>172</v>
      </c>
      <c r="B117" s="116" t="s">
        <v>17</v>
      </c>
      <c r="F117" s="572">
        <v>213292422.05506593</v>
      </c>
      <c r="L117" s="765"/>
    </row>
    <row r="118" spans="1:12" ht="18" customHeight="1" x14ac:dyDescent="0.4">
      <c r="A118" s="183" t="s">
        <v>173</v>
      </c>
      <c r="B118" s="189" t="s">
        <v>18</v>
      </c>
      <c r="F118" s="572">
        <v>8153425.2907690257</v>
      </c>
      <c r="L118" s="765"/>
    </row>
    <row r="119" spans="1:12" ht="18" customHeight="1" x14ac:dyDescent="0.4">
      <c r="A119" s="183" t="s">
        <v>174</v>
      </c>
      <c r="B119" s="117" t="s">
        <v>19</v>
      </c>
      <c r="F119" s="630">
        <v>221445847.34583497</v>
      </c>
      <c r="L119" s="765"/>
    </row>
    <row r="120" spans="1:12" ht="18" customHeight="1" x14ac:dyDescent="0.4">
      <c r="A120" s="183"/>
      <c r="B120" s="117"/>
      <c r="F120" s="108"/>
      <c r="L120" s="765"/>
    </row>
    <row r="121" spans="1:12" ht="18" customHeight="1" x14ac:dyDescent="0.4">
      <c r="A121" s="183" t="s">
        <v>167</v>
      </c>
      <c r="B121" s="117" t="s">
        <v>36</v>
      </c>
      <c r="F121" s="572">
        <v>210627324.73757601</v>
      </c>
      <c r="L121" s="765"/>
    </row>
    <row r="122" spans="1:12" ht="18" customHeight="1" x14ac:dyDescent="0.4">
      <c r="A122" s="183"/>
      <c r="F122" s="108"/>
      <c r="L122" s="765"/>
    </row>
    <row r="123" spans="1:12" ht="18" customHeight="1" x14ac:dyDescent="0.4">
      <c r="A123" s="183" t="s">
        <v>175</v>
      </c>
      <c r="B123" s="117" t="s">
        <v>20</v>
      </c>
      <c r="F123" s="572">
        <v>10818522.608258963</v>
      </c>
      <c r="L123" s="765"/>
    </row>
    <row r="124" spans="1:12" ht="18" customHeight="1" x14ac:dyDescent="0.4">
      <c r="A124" s="183"/>
      <c r="L124" s="765"/>
    </row>
    <row r="125" spans="1:12" ht="18" customHeight="1" x14ac:dyDescent="0.4">
      <c r="A125" s="183" t="s">
        <v>176</v>
      </c>
      <c r="B125" s="117" t="s">
        <v>21</v>
      </c>
      <c r="F125" s="572">
        <v>1851000</v>
      </c>
      <c r="L125" s="765"/>
    </row>
    <row r="126" spans="1:12" ht="18" customHeight="1" x14ac:dyDescent="0.4">
      <c r="A126" s="183"/>
      <c r="F126" s="108"/>
      <c r="L126" s="765"/>
    </row>
    <row r="127" spans="1:12" ht="18" customHeight="1" x14ac:dyDescent="0.4">
      <c r="A127" s="183" t="s">
        <v>177</v>
      </c>
      <c r="B127" s="117" t="s">
        <v>22</v>
      </c>
      <c r="F127" s="572">
        <v>12669522.608258963</v>
      </c>
      <c r="L127" s="765"/>
    </row>
    <row r="128" spans="1:12" ht="18" customHeight="1" x14ac:dyDescent="0.4">
      <c r="A128" s="183"/>
      <c r="L128" s="765"/>
    </row>
    <row r="129" spans="1:12" ht="42.75" customHeight="1" x14ac:dyDescent="0.4">
      <c r="F129" s="122" t="s">
        <v>9</v>
      </c>
      <c r="G129" s="122" t="s">
        <v>37</v>
      </c>
      <c r="H129" s="402" t="s">
        <v>29</v>
      </c>
      <c r="I129" s="402" t="s">
        <v>30</v>
      </c>
      <c r="J129" s="402" t="s">
        <v>33</v>
      </c>
      <c r="K129" s="122" t="s">
        <v>34</v>
      </c>
      <c r="L129" s="765"/>
    </row>
    <row r="130" spans="1:12" ht="18" customHeight="1" x14ac:dyDescent="0.4">
      <c r="A130" s="120" t="s">
        <v>157</v>
      </c>
      <c r="B130" s="117" t="s">
        <v>23</v>
      </c>
      <c r="L130" s="765"/>
    </row>
    <row r="131" spans="1:12" ht="18" customHeight="1" x14ac:dyDescent="0.4">
      <c r="A131" s="183" t="s">
        <v>158</v>
      </c>
      <c r="B131" s="189" t="s">
        <v>24</v>
      </c>
      <c r="F131" s="555"/>
      <c r="G131" s="555"/>
      <c r="H131" s="766">
        <v>72793</v>
      </c>
      <c r="I131" s="406">
        <v>0</v>
      </c>
      <c r="J131" s="766">
        <v>8940</v>
      </c>
      <c r="K131" s="557">
        <v>63853</v>
      </c>
      <c r="L131" s="765"/>
    </row>
    <row r="132" spans="1:12" ht="18" customHeight="1" x14ac:dyDescent="0.4">
      <c r="A132" s="183" t="s">
        <v>159</v>
      </c>
      <c r="B132" s="189" t="s">
        <v>25</v>
      </c>
      <c r="F132" s="555"/>
      <c r="G132" s="555"/>
      <c r="H132" s="766">
        <v>282105</v>
      </c>
      <c r="I132" s="406">
        <v>0</v>
      </c>
      <c r="J132" s="766">
        <v>0</v>
      </c>
      <c r="K132" s="557">
        <v>282105</v>
      </c>
      <c r="L132" s="765"/>
    </row>
    <row r="133" spans="1:12" ht="18" customHeight="1" x14ac:dyDescent="0.4">
      <c r="A133" s="183" t="s">
        <v>160</v>
      </c>
      <c r="B133" s="973" t="s">
        <v>772</v>
      </c>
      <c r="C133" s="974"/>
      <c r="D133" s="975"/>
      <c r="F133" s="555"/>
      <c r="G133" s="555"/>
      <c r="H133" s="766">
        <v>10430</v>
      </c>
      <c r="I133" s="406"/>
      <c r="J133" s="766">
        <v>0</v>
      </c>
      <c r="K133" s="557">
        <v>10430</v>
      </c>
      <c r="L133" s="765"/>
    </row>
    <row r="134" spans="1:12" ht="18" customHeight="1" x14ac:dyDescent="0.4">
      <c r="A134" s="183" t="s">
        <v>161</v>
      </c>
      <c r="B134" s="951"/>
      <c r="C134" s="952"/>
      <c r="D134" s="953"/>
      <c r="F134" s="555"/>
      <c r="G134" s="555"/>
      <c r="H134" s="766"/>
      <c r="I134" s="406"/>
      <c r="J134" s="766"/>
      <c r="K134" s="557">
        <v>0</v>
      </c>
      <c r="L134" s="765"/>
    </row>
    <row r="135" spans="1:12" ht="18" customHeight="1" x14ac:dyDescent="0.4">
      <c r="A135" s="183" t="s">
        <v>162</v>
      </c>
      <c r="B135" s="951"/>
      <c r="C135" s="952"/>
      <c r="D135" s="953"/>
      <c r="F135" s="555"/>
      <c r="G135" s="555"/>
      <c r="H135" s="766"/>
      <c r="I135" s="406"/>
      <c r="J135" s="766"/>
      <c r="K135" s="557">
        <v>0</v>
      </c>
      <c r="L135" s="765"/>
    </row>
    <row r="136" spans="1:12" ht="18" customHeight="1" x14ac:dyDescent="0.4">
      <c r="A136" s="120"/>
      <c r="L136" s="765"/>
    </row>
    <row r="137" spans="1:12" ht="18" customHeight="1" x14ac:dyDescent="0.4">
      <c r="A137" s="120" t="s">
        <v>163</v>
      </c>
      <c r="B137" s="117" t="s">
        <v>27</v>
      </c>
      <c r="F137" s="560">
        <v>0</v>
      </c>
      <c r="G137" s="560">
        <v>0</v>
      </c>
      <c r="H137" s="767">
        <v>365328</v>
      </c>
      <c r="I137" s="767">
        <v>0</v>
      </c>
      <c r="J137" s="767">
        <v>8940</v>
      </c>
      <c r="K137" s="557">
        <v>356388</v>
      </c>
      <c r="L137" s="765"/>
    </row>
    <row r="138" spans="1:12" ht="18" customHeight="1" x14ac:dyDescent="0.35">
      <c r="A138" s="189"/>
      <c r="L138" s="765"/>
    </row>
    <row r="139" spans="1:12" ht="42.75" customHeight="1" x14ac:dyDescent="0.4">
      <c r="F139" s="122" t="s">
        <v>9</v>
      </c>
      <c r="G139" s="122" t="s">
        <v>37</v>
      </c>
      <c r="H139" s="402" t="s">
        <v>29</v>
      </c>
      <c r="I139" s="402" t="s">
        <v>30</v>
      </c>
      <c r="J139" s="402" t="s">
        <v>33</v>
      </c>
      <c r="K139" s="122" t="s">
        <v>34</v>
      </c>
      <c r="L139" s="765"/>
    </row>
    <row r="140" spans="1:12" ht="18" customHeight="1" x14ac:dyDescent="0.4">
      <c r="A140" s="120" t="s">
        <v>166</v>
      </c>
      <c r="B140" s="117" t="s">
        <v>26</v>
      </c>
      <c r="L140" s="765"/>
    </row>
    <row r="141" spans="1:12" ht="18" customHeight="1" x14ac:dyDescent="0.4">
      <c r="A141" s="183" t="s">
        <v>137</v>
      </c>
      <c r="B141" s="117" t="s">
        <v>64</v>
      </c>
      <c r="F141" s="136">
        <v>5161</v>
      </c>
      <c r="G141" s="136">
        <v>9058</v>
      </c>
      <c r="H141" s="416">
        <v>283059.56824626442</v>
      </c>
      <c r="I141" s="416">
        <v>114142.66853674052</v>
      </c>
      <c r="J141" s="416">
        <v>0</v>
      </c>
      <c r="K141" s="136">
        <v>397202.23678300495</v>
      </c>
      <c r="L141" s="765"/>
    </row>
    <row r="142" spans="1:12" ht="18" customHeight="1" x14ac:dyDescent="0.4">
      <c r="A142" s="183" t="s">
        <v>142</v>
      </c>
      <c r="B142" s="117" t="s">
        <v>65</v>
      </c>
      <c r="F142" s="136">
        <v>13817.889153057002</v>
      </c>
      <c r="G142" s="136">
        <v>83</v>
      </c>
      <c r="H142" s="416">
        <v>1055726.1894154216</v>
      </c>
      <c r="I142" s="416">
        <v>121695.21465807753</v>
      </c>
      <c r="J142" s="416">
        <v>0</v>
      </c>
      <c r="K142" s="136">
        <v>1177421.4040734991</v>
      </c>
      <c r="L142" s="765"/>
    </row>
    <row r="143" spans="1:12" ht="18" customHeight="1" x14ac:dyDescent="0.4">
      <c r="A143" s="183" t="s">
        <v>144</v>
      </c>
      <c r="B143" s="117" t="s">
        <v>66</v>
      </c>
      <c r="F143" s="136">
        <v>43423.11599950619</v>
      </c>
      <c r="G143" s="136">
        <v>57427</v>
      </c>
      <c r="H143" s="416">
        <v>20879955.888236828</v>
      </c>
      <c r="I143" s="416">
        <v>8530317.4568062406</v>
      </c>
      <c r="J143" s="416">
        <v>0</v>
      </c>
      <c r="K143" s="136">
        <v>29410273.345043078</v>
      </c>
      <c r="L143" s="765"/>
    </row>
    <row r="144" spans="1:12" ht="18" customHeight="1" x14ac:dyDescent="0.4">
      <c r="A144" s="183" t="s">
        <v>146</v>
      </c>
      <c r="B144" s="117" t="s">
        <v>67</v>
      </c>
      <c r="F144" s="136">
        <v>0</v>
      </c>
      <c r="G144" s="136">
        <v>0</v>
      </c>
      <c r="H144" s="416">
        <v>0</v>
      </c>
      <c r="I144" s="416">
        <v>0</v>
      </c>
      <c r="J144" s="416">
        <v>0</v>
      </c>
      <c r="K144" s="136">
        <v>0</v>
      </c>
      <c r="L144" s="765"/>
    </row>
    <row r="145" spans="1:12" ht="18" customHeight="1" x14ac:dyDescent="0.4">
      <c r="A145" s="183" t="s">
        <v>148</v>
      </c>
      <c r="B145" s="117" t="s">
        <v>68</v>
      </c>
      <c r="F145" s="136">
        <v>245</v>
      </c>
      <c r="G145" s="136">
        <v>10025</v>
      </c>
      <c r="H145" s="416">
        <v>164015.12221966899</v>
      </c>
      <c r="I145" s="416">
        <v>66265.981996841772</v>
      </c>
      <c r="J145" s="416">
        <v>0</v>
      </c>
      <c r="K145" s="136">
        <v>230281.10421651078</v>
      </c>
      <c r="L145" s="765"/>
    </row>
    <row r="146" spans="1:12" ht="18" customHeight="1" x14ac:dyDescent="0.4">
      <c r="A146" s="183" t="s">
        <v>150</v>
      </c>
      <c r="B146" s="117" t="s">
        <v>69</v>
      </c>
      <c r="F146" s="136">
        <v>906</v>
      </c>
      <c r="G146" s="136">
        <v>552</v>
      </c>
      <c r="H146" s="416">
        <v>36801.1948204902</v>
      </c>
      <c r="I146" s="416">
        <v>14868.551633737226</v>
      </c>
      <c r="J146" s="416">
        <v>0</v>
      </c>
      <c r="K146" s="136">
        <v>51669.746454227425</v>
      </c>
      <c r="L146" s="765"/>
    </row>
    <row r="147" spans="1:12" ht="18" customHeight="1" x14ac:dyDescent="0.4">
      <c r="A147" s="183" t="s">
        <v>153</v>
      </c>
      <c r="B147" s="117" t="s">
        <v>61</v>
      </c>
      <c r="F147" s="560">
        <v>2000</v>
      </c>
      <c r="G147" s="560">
        <v>0</v>
      </c>
      <c r="H147" s="767">
        <v>72629.569140154956</v>
      </c>
      <c r="I147" s="767">
        <v>29344.060815525918</v>
      </c>
      <c r="J147" s="767">
        <v>0</v>
      </c>
      <c r="K147" s="560">
        <v>101973.62995568088</v>
      </c>
      <c r="L147" s="765"/>
    </row>
    <row r="148" spans="1:12" ht="18" customHeight="1" x14ac:dyDescent="0.4">
      <c r="A148" s="183" t="s">
        <v>155</v>
      </c>
      <c r="B148" s="117" t="s">
        <v>70</v>
      </c>
      <c r="F148" s="137" t="s">
        <v>73</v>
      </c>
      <c r="G148" s="137" t="s">
        <v>73</v>
      </c>
      <c r="H148" s="418" t="s">
        <v>73</v>
      </c>
      <c r="I148" s="418" t="s">
        <v>73</v>
      </c>
      <c r="J148" s="418" t="s">
        <v>73</v>
      </c>
      <c r="K148" s="133">
        <v>2265610.8900000006</v>
      </c>
      <c r="L148" s="765"/>
    </row>
    <row r="149" spans="1:12" ht="18" customHeight="1" x14ac:dyDescent="0.4">
      <c r="A149" s="183" t="s">
        <v>163</v>
      </c>
      <c r="B149" s="117" t="s">
        <v>71</v>
      </c>
      <c r="F149" s="560">
        <v>0</v>
      </c>
      <c r="G149" s="560">
        <v>0</v>
      </c>
      <c r="H149" s="767">
        <v>365328</v>
      </c>
      <c r="I149" s="767">
        <v>0</v>
      </c>
      <c r="J149" s="767">
        <v>8940</v>
      </c>
      <c r="K149" s="560">
        <v>356388</v>
      </c>
      <c r="L149" s="765"/>
    </row>
    <row r="150" spans="1:12" ht="18" customHeight="1" x14ac:dyDescent="0.4">
      <c r="A150" s="183" t="s">
        <v>185</v>
      </c>
      <c r="B150" s="117" t="s">
        <v>183</v>
      </c>
      <c r="F150" s="137" t="s">
        <v>73</v>
      </c>
      <c r="G150" s="137" t="s">
        <v>73</v>
      </c>
      <c r="H150" s="767">
        <v>4148036</v>
      </c>
      <c r="I150" s="767">
        <v>0</v>
      </c>
      <c r="J150" s="767">
        <v>3448375</v>
      </c>
      <c r="K150" s="560">
        <v>699661</v>
      </c>
      <c r="L150" s="765"/>
    </row>
    <row r="151" spans="1:12" ht="18" customHeight="1" x14ac:dyDescent="0.4">
      <c r="B151" s="117"/>
      <c r="F151" s="142"/>
      <c r="G151" s="142"/>
      <c r="H151" s="409"/>
      <c r="I151" s="409"/>
      <c r="J151" s="409"/>
      <c r="K151" s="142"/>
      <c r="L151" s="765"/>
    </row>
    <row r="152" spans="1:12" ht="18" customHeight="1" x14ac:dyDescent="0.4">
      <c r="A152" s="120" t="s">
        <v>165</v>
      </c>
      <c r="B152" s="117" t="s">
        <v>26</v>
      </c>
      <c r="F152" s="143">
        <v>65553.005152563186</v>
      </c>
      <c r="G152" s="143">
        <v>77145</v>
      </c>
      <c r="H152" s="420">
        <v>27005551.532078829</v>
      </c>
      <c r="I152" s="420">
        <v>8876633.9344471637</v>
      </c>
      <c r="J152" s="420">
        <v>3457315</v>
      </c>
      <c r="K152" s="143">
        <v>34690481.356526002</v>
      </c>
      <c r="L152" s="765"/>
    </row>
    <row r="153" spans="1:12" ht="18" customHeight="1" x14ac:dyDescent="0.35">
      <c r="L153" s="765"/>
    </row>
    <row r="154" spans="1:12" ht="18" customHeight="1" x14ac:dyDescent="0.4">
      <c r="A154" s="120" t="s">
        <v>168</v>
      </c>
      <c r="B154" s="117" t="s">
        <v>28</v>
      </c>
      <c r="F154" s="778">
        <v>0.16470076425149222</v>
      </c>
      <c r="L154" s="765"/>
    </row>
    <row r="155" spans="1:12" ht="18" customHeight="1" x14ac:dyDescent="0.4">
      <c r="A155" s="120" t="s">
        <v>169</v>
      </c>
      <c r="B155" s="117" t="s">
        <v>72</v>
      </c>
      <c r="F155" s="778">
        <v>2.7381048543938111</v>
      </c>
      <c r="G155" s="117"/>
      <c r="L155" s="765"/>
    </row>
    <row r="156" spans="1:12" ht="18" customHeight="1" x14ac:dyDescent="0.4">
      <c r="G156" s="117"/>
      <c r="L156" s="765"/>
    </row>
    <row r="157" spans="1:12" ht="42" customHeight="1" x14ac:dyDescent="0.35">
      <c r="L157" s="765"/>
    </row>
    <row r="158" spans="1:12" ht="18" customHeight="1" x14ac:dyDescent="0.35">
      <c r="L158" s="765"/>
    </row>
    <row r="159" spans="1:12" ht="18" customHeight="1" x14ac:dyDescent="0.35">
      <c r="L159" s="765"/>
    </row>
    <row r="160" spans="1:12" ht="18" customHeight="1" x14ac:dyDescent="0.35">
      <c r="L160" s="765"/>
    </row>
    <row r="161" spans="12:12" ht="18" customHeight="1" x14ac:dyDescent="0.35">
      <c r="L161" s="765"/>
    </row>
    <row r="162" spans="12:12" ht="18" customHeight="1" x14ac:dyDescent="0.35">
      <c r="L162" s="765"/>
    </row>
    <row r="163" spans="12:12" ht="18" customHeight="1" x14ac:dyDescent="0.35">
      <c r="L163" s="765"/>
    </row>
    <row r="164" spans="12:12" ht="18" customHeight="1" x14ac:dyDescent="0.35">
      <c r="L164" s="765"/>
    </row>
    <row r="165" spans="12:12" ht="18" customHeight="1" x14ac:dyDescent="0.35">
      <c r="L165" s="777"/>
    </row>
    <row r="166" spans="12:12" ht="18" customHeight="1" x14ac:dyDescent="0.35">
      <c r="L166" s="777"/>
    </row>
    <row r="167" spans="12:12" ht="12.75" x14ac:dyDescent="0.35"/>
    <row r="168" spans="12:12" ht="12.75" x14ac:dyDescent="0.35"/>
    <row r="169" spans="12:12" ht="12.75" x14ac:dyDescent="0.35"/>
    <row r="170" spans="12:12" ht="12.75" x14ac:dyDescent="0.35"/>
    <row r="171" spans="12:12" ht="12.75" x14ac:dyDescent="0.35"/>
    <row r="172" spans="12:12" ht="12.75" x14ac:dyDescent="0.35"/>
    <row r="173" spans="12:12" ht="12.75" x14ac:dyDescent="0.35"/>
    <row r="174" spans="12:12" ht="12.75" x14ac:dyDescent="0.35"/>
  </sheetData>
  <mergeCells count="27">
    <mergeCell ref="B135:D135"/>
    <mergeCell ref="B104:D104"/>
    <mergeCell ref="B105:D105"/>
    <mergeCell ref="B106:D106"/>
    <mergeCell ref="B133:D133"/>
    <mergeCell ref="B134:D134"/>
    <mergeCell ref="C5:G5"/>
    <mergeCell ref="C6:G6"/>
    <mergeCell ref="C7:G7"/>
    <mergeCell ref="C9:G9"/>
    <mergeCell ref="C10:G10"/>
    <mergeCell ref="B41:C41"/>
    <mergeCell ref="B47:D47"/>
    <mergeCell ref="B52:C52"/>
    <mergeCell ref="C11:G11"/>
    <mergeCell ref="B13:H13"/>
    <mergeCell ref="B30:D30"/>
    <mergeCell ref="B31:D31"/>
    <mergeCell ref="B34:D34"/>
    <mergeCell ref="B44:D44"/>
    <mergeCell ref="B45:D45"/>
    <mergeCell ref="B46:D46"/>
    <mergeCell ref="B90:C90"/>
    <mergeCell ref="B94:D94"/>
    <mergeCell ref="B95:D95"/>
    <mergeCell ref="B96:D96"/>
    <mergeCell ref="B103:C103"/>
  </mergeCells>
  <hyperlinks>
    <hyperlink ref="C11" r:id="rId1"/>
  </hyperlinks>
  <pageMargins left="0.75" right="0.75" top="1" bottom="1" header="0.5" footer="0.5"/>
  <pageSetup scale="59" fitToHeight="0" orientation="landscape" horizontalDpi="1200" verticalDpi="1200" r:id="rId2"/>
  <headerFooter alignWithMargins="0"/>
  <rowBreaks count="4" manualBreakCount="4">
    <brk id="37" max="16383" man="1"/>
    <brk id="67" max="16383" man="1"/>
    <brk id="112" max="16383" man="1"/>
    <brk id="13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156"/>
  <sheetViews>
    <sheetView showGridLines="0" topLeftCell="A49" zoomScale="80" zoomScaleNormal="80" zoomScaleSheetLayoutView="100" zoomScalePageLayoutView="8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1017" t="s">
        <v>773</v>
      </c>
      <c r="D5" s="962"/>
      <c r="E5" s="962"/>
      <c r="F5" s="962"/>
      <c r="G5" s="963"/>
    </row>
    <row r="6" spans="1:11" ht="18" customHeight="1" x14ac:dyDescent="0.4">
      <c r="B6" s="183" t="s">
        <v>3</v>
      </c>
      <c r="C6" s="1058">
        <v>38</v>
      </c>
      <c r="D6" s="1059"/>
      <c r="E6" s="1059"/>
      <c r="F6" s="1059"/>
      <c r="G6" s="1060"/>
    </row>
    <row r="7" spans="1:11" ht="18" customHeight="1" x14ac:dyDescent="0.4">
      <c r="B7" s="183" t="s">
        <v>4</v>
      </c>
      <c r="C7" s="967">
        <v>1412</v>
      </c>
      <c r="D7" s="968"/>
      <c r="E7" s="968"/>
      <c r="F7" s="968"/>
      <c r="G7" s="969"/>
    </row>
    <row r="9" spans="1:11" ht="18" customHeight="1" x14ac:dyDescent="0.4">
      <c r="B9" s="183" t="s">
        <v>1</v>
      </c>
      <c r="C9" s="961" t="s">
        <v>615</v>
      </c>
      <c r="D9" s="962"/>
      <c r="E9" s="962"/>
      <c r="F9" s="962"/>
      <c r="G9" s="963"/>
    </row>
    <row r="10" spans="1:11" ht="18" customHeight="1" x14ac:dyDescent="0.4">
      <c r="B10" s="183" t="s">
        <v>2</v>
      </c>
      <c r="C10" s="970" t="s">
        <v>527</v>
      </c>
      <c r="D10" s="971"/>
      <c r="E10" s="971"/>
      <c r="F10" s="971"/>
      <c r="G10" s="972"/>
    </row>
    <row r="11" spans="1:11" ht="18" customHeight="1" x14ac:dyDescent="0.4">
      <c r="B11" s="183" t="s">
        <v>32</v>
      </c>
      <c r="C11" s="954" t="s">
        <v>616</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4585884</v>
      </c>
      <c r="I18" s="144">
        <v>0</v>
      </c>
      <c r="J18" s="556">
        <v>3812370</v>
      </c>
      <c r="K18" s="557">
        <f>(H18+I18)-J18</f>
        <v>773514</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f>384+624+152+416+208</f>
        <v>1784</v>
      </c>
      <c r="G21" s="555">
        <f>531+1118+1386+214+1864</f>
        <v>5113</v>
      </c>
      <c r="H21" s="556">
        <f>46948+24194+44716+6378+22844+6108</f>
        <v>151188</v>
      </c>
      <c r="I21" s="144">
        <f t="shared" ref="I21:I34" si="0">H21*F$114</f>
        <v>113391</v>
      </c>
      <c r="J21" s="556"/>
      <c r="K21" s="557">
        <f t="shared" ref="K21:K34" si="1">(H21+I21)-J21</f>
        <v>264579</v>
      </c>
    </row>
    <row r="22" spans="1:11" ht="18" customHeight="1" x14ac:dyDescent="0.4">
      <c r="A22" s="183" t="s">
        <v>76</v>
      </c>
      <c r="B22" s="189" t="s">
        <v>6</v>
      </c>
      <c r="F22" s="555"/>
      <c r="G22" s="555"/>
      <c r="H22" s="556"/>
      <c r="I22" s="144">
        <f t="shared" si="0"/>
        <v>0</v>
      </c>
      <c r="J22" s="556"/>
      <c r="K22" s="557">
        <f t="shared" si="1"/>
        <v>0</v>
      </c>
    </row>
    <row r="23" spans="1:11" ht="18" customHeight="1" x14ac:dyDescent="0.4">
      <c r="A23" s="183" t="s">
        <v>77</v>
      </c>
      <c r="B23" s="189" t="s">
        <v>43</v>
      </c>
      <c r="F23" s="555"/>
      <c r="G23" s="555"/>
      <c r="H23" s="556"/>
      <c r="I23" s="144">
        <f t="shared" si="0"/>
        <v>0</v>
      </c>
      <c r="J23" s="556"/>
      <c r="K23" s="557">
        <f t="shared" si="1"/>
        <v>0</v>
      </c>
    </row>
    <row r="24" spans="1:11" ht="18" customHeight="1" x14ac:dyDescent="0.4">
      <c r="A24" s="183" t="s">
        <v>78</v>
      </c>
      <c r="B24" s="189" t="s">
        <v>44</v>
      </c>
      <c r="F24" s="555"/>
      <c r="G24" s="555"/>
      <c r="H24" s="556"/>
      <c r="I24" s="144">
        <f t="shared" si="0"/>
        <v>0</v>
      </c>
      <c r="J24" s="556"/>
      <c r="K24" s="557">
        <f t="shared" si="1"/>
        <v>0</v>
      </c>
    </row>
    <row r="25" spans="1:11" ht="18" customHeight="1" x14ac:dyDescent="0.4">
      <c r="A25" s="183" t="s">
        <v>79</v>
      </c>
      <c r="B25" s="189" t="s">
        <v>5</v>
      </c>
      <c r="F25" s="555">
        <v>2080</v>
      </c>
      <c r="G25" s="555">
        <v>468</v>
      </c>
      <c r="H25" s="556">
        <v>45937</v>
      </c>
      <c r="I25" s="144">
        <f t="shared" si="0"/>
        <v>34452.75</v>
      </c>
      <c r="J25" s="556"/>
      <c r="K25" s="557">
        <f t="shared" si="1"/>
        <v>80389.75</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c r="G27" s="555"/>
      <c r="H27" s="556"/>
      <c r="I27" s="144">
        <f t="shared" si="0"/>
        <v>0</v>
      </c>
      <c r="J27" s="556"/>
      <c r="K27" s="557">
        <f t="shared" si="1"/>
        <v>0</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8">
        <v>4160</v>
      </c>
      <c r="G29" s="558">
        <f>20*250</f>
        <v>5000</v>
      </c>
      <c r="H29" s="556">
        <f>659166.57+67217.76+364876.93</f>
        <v>1091261.26</v>
      </c>
      <c r="I29" s="144">
        <f t="shared" si="0"/>
        <v>818445.94500000007</v>
      </c>
      <c r="J29" s="556"/>
      <c r="K29" s="557">
        <f t="shared" si="1"/>
        <v>1909707.2050000001</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8024</v>
      </c>
      <c r="G36" s="560">
        <f t="shared" si="2"/>
        <v>10581</v>
      </c>
      <c r="H36" s="560">
        <f t="shared" si="2"/>
        <v>1288386.26</v>
      </c>
      <c r="I36" s="557">
        <f t="shared" si="2"/>
        <v>966289.69500000007</v>
      </c>
      <c r="J36" s="557">
        <f t="shared" si="2"/>
        <v>0</v>
      </c>
      <c r="K36" s="557">
        <f t="shared" si="2"/>
        <v>2254675.9550000001</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f>15.1*1080+36*2080</f>
        <v>91188</v>
      </c>
      <c r="G40" s="555">
        <f>79861/8</f>
        <v>9982.625</v>
      </c>
      <c r="H40" s="556">
        <v>5501659.7300000004</v>
      </c>
      <c r="I40" s="144">
        <v>0</v>
      </c>
      <c r="J40" s="556"/>
      <c r="K40" s="557">
        <f t="shared" ref="K40:K47" si="3">(H40+I40)-J40</f>
        <v>5501659.7300000004</v>
      </c>
    </row>
    <row r="41" spans="1:11" ht="18" customHeight="1" x14ac:dyDescent="0.4">
      <c r="A41" s="183" t="s">
        <v>88</v>
      </c>
      <c r="B41" s="956" t="s">
        <v>50</v>
      </c>
      <c r="C41" s="957"/>
      <c r="F41" s="555">
        <f>2281-146.91</f>
        <v>2134.09</v>
      </c>
      <c r="G41" s="555">
        <v>1245.25</v>
      </c>
      <c r="H41" s="556">
        <v>120652.67</v>
      </c>
      <c r="I41" s="144">
        <v>0</v>
      </c>
      <c r="J41" s="556"/>
      <c r="K41" s="557">
        <f t="shared" si="3"/>
        <v>120652.67</v>
      </c>
    </row>
    <row r="42" spans="1:11" ht="18" customHeight="1" x14ac:dyDescent="0.4">
      <c r="A42" s="183" t="s">
        <v>89</v>
      </c>
      <c r="B42" s="116" t="s">
        <v>11</v>
      </c>
      <c r="F42" s="555"/>
      <c r="G42" s="555"/>
      <c r="H42" s="556"/>
      <c r="I42" s="144">
        <f t="shared" ref="I42:I47" si="4">H42*F$114</f>
        <v>0</v>
      </c>
      <c r="J42" s="556"/>
      <c r="K42" s="557">
        <f t="shared" si="3"/>
        <v>0</v>
      </c>
    </row>
    <row r="43" spans="1:11" ht="18" customHeight="1" x14ac:dyDescent="0.4">
      <c r="A43" s="183" t="s">
        <v>90</v>
      </c>
      <c r="B43" s="141" t="s">
        <v>10</v>
      </c>
      <c r="C43" s="123"/>
      <c r="D43" s="123"/>
      <c r="F43" s="555"/>
      <c r="G43" s="555"/>
      <c r="H43" s="556"/>
      <c r="I43" s="144">
        <f t="shared" si="4"/>
        <v>0</v>
      </c>
      <c r="J43" s="556"/>
      <c r="K43" s="557">
        <f t="shared" si="3"/>
        <v>0</v>
      </c>
    </row>
    <row r="44" spans="1:11" ht="18" customHeight="1" x14ac:dyDescent="0.4">
      <c r="A44" s="183" t="s">
        <v>91</v>
      </c>
      <c r="B44" s="951"/>
      <c r="C44" s="952"/>
      <c r="D44" s="953"/>
      <c r="F44" s="561"/>
      <c r="G44" s="561"/>
      <c r="H44" s="561"/>
      <c r="I44" s="144">
        <f t="shared" si="4"/>
        <v>0</v>
      </c>
      <c r="J44" s="561"/>
      <c r="K44" s="562">
        <f t="shared" si="3"/>
        <v>0</v>
      </c>
    </row>
    <row r="45" spans="1:11" ht="18" customHeight="1" x14ac:dyDescent="0.4">
      <c r="A45" s="183" t="s">
        <v>139</v>
      </c>
      <c r="B45" s="951"/>
      <c r="C45" s="952"/>
      <c r="D45" s="953"/>
      <c r="F45" s="555"/>
      <c r="G45" s="555"/>
      <c r="H45" s="556"/>
      <c r="I45" s="144">
        <f t="shared" si="4"/>
        <v>0</v>
      </c>
      <c r="J45" s="556"/>
      <c r="K45" s="557">
        <f t="shared" si="3"/>
        <v>0</v>
      </c>
    </row>
    <row r="46" spans="1:11" ht="18" customHeight="1" x14ac:dyDescent="0.4">
      <c r="A46" s="183" t="s">
        <v>140</v>
      </c>
      <c r="B46" s="951"/>
      <c r="C46" s="952"/>
      <c r="D46" s="953"/>
      <c r="F46" s="555"/>
      <c r="G46" s="555"/>
      <c r="H46" s="556"/>
      <c r="I46" s="144">
        <f t="shared" si="4"/>
        <v>0</v>
      </c>
      <c r="J46" s="556"/>
      <c r="K46" s="557">
        <f t="shared" si="3"/>
        <v>0</v>
      </c>
    </row>
    <row r="47" spans="1:11" ht="18" customHeight="1" x14ac:dyDescent="0.4">
      <c r="A47" s="183" t="s">
        <v>141</v>
      </c>
      <c r="B47" s="951"/>
      <c r="C47" s="952"/>
      <c r="D47" s="953"/>
      <c r="F47" s="555"/>
      <c r="G47" s="555"/>
      <c r="H47" s="556"/>
      <c r="I47" s="144">
        <f t="shared" si="4"/>
        <v>0</v>
      </c>
      <c r="J47" s="556"/>
      <c r="K47" s="557">
        <f t="shared" si="3"/>
        <v>0</v>
      </c>
    </row>
    <row r="49" spans="1:11" ht="18" customHeight="1" x14ac:dyDescent="0.4">
      <c r="A49" s="120" t="s">
        <v>142</v>
      </c>
      <c r="B49" s="117" t="s">
        <v>143</v>
      </c>
      <c r="E49" s="117" t="s">
        <v>7</v>
      </c>
      <c r="F49" s="563">
        <f t="shared" ref="F49:K49" si="5">SUM(F40:F47)</f>
        <v>93322.09</v>
      </c>
      <c r="G49" s="563">
        <f t="shared" si="5"/>
        <v>11227.875</v>
      </c>
      <c r="H49" s="557">
        <f t="shared" si="5"/>
        <v>5622312.4000000004</v>
      </c>
      <c r="I49" s="557">
        <f t="shared" si="5"/>
        <v>0</v>
      </c>
      <c r="J49" s="557">
        <f t="shared" si="5"/>
        <v>0</v>
      </c>
      <c r="K49" s="557">
        <f t="shared" si="5"/>
        <v>5622312.4000000004</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c r="C53" s="979"/>
      <c r="D53" s="975"/>
      <c r="F53" s="555"/>
      <c r="G53" s="555"/>
      <c r="H53" s="556"/>
      <c r="I53" s="144">
        <f t="shared" ref="I53:I62" si="6">H53*F$114</f>
        <v>0</v>
      </c>
      <c r="J53" s="556"/>
      <c r="K53" s="557">
        <f t="shared" ref="K53:K62" si="7">(H53+I53)-J53</f>
        <v>0</v>
      </c>
    </row>
    <row r="54" spans="1:11" ht="18" customHeight="1" x14ac:dyDescent="0.4">
      <c r="A54" s="183" t="s">
        <v>93</v>
      </c>
      <c r="B54" s="506" t="s">
        <v>357</v>
      </c>
      <c r="C54" s="504"/>
      <c r="D54" s="505"/>
      <c r="F54" s="555"/>
      <c r="G54" s="555"/>
      <c r="H54" s="556">
        <v>27833253.782273255</v>
      </c>
      <c r="I54" s="144">
        <v>0</v>
      </c>
      <c r="J54" s="556"/>
      <c r="K54" s="557">
        <f t="shared" si="7"/>
        <v>27833253.782273255</v>
      </c>
    </row>
    <row r="55" spans="1:11" ht="18" customHeight="1" x14ac:dyDescent="0.4">
      <c r="A55" s="183" t="s">
        <v>94</v>
      </c>
      <c r="B55" s="980"/>
      <c r="C55" s="974"/>
      <c r="D55" s="975"/>
      <c r="F55" s="555"/>
      <c r="G55" s="555"/>
      <c r="H55" s="556"/>
      <c r="I55" s="144">
        <f t="shared" si="6"/>
        <v>0</v>
      </c>
      <c r="J55" s="556"/>
      <c r="K55" s="557">
        <f t="shared" si="7"/>
        <v>0</v>
      </c>
    </row>
    <row r="56" spans="1:11" ht="18" customHeight="1" x14ac:dyDescent="0.4">
      <c r="A56" s="183" t="s">
        <v>95</v>
      </c>
      <c r="B56" s="980"/>
      <c r="C56" s="974"/>
      <c r="D56" s="975"/>
      <c r="F56" s="555"/>
      <c r="G56" s="555"/>
      <c r="H56" s="556"/>
      <c r="I56" s="144">
        <f t="shared" si="6"/>
        <v>0</v>
      </c>
      <c r="J56" s="556"/>
      <c r="K56" s="557">
        <f t="shared" si="7"/>
        <v>0</v>
      </c>
    </row>
    <row r="57" spans="1:11" ht="18" customHeight="1" x14ac:dyDescent="0.4">
      <c r="A57" s="183" t="s">
        <v>96</v>
      </c>
      <c r="B57" s="980"/>
      <c r="C57" s="974"/>
      <c r="D57" s="975"/>
      <c r="F57" s="555"/>
      <c r="G57" s="555"/>
      <c r="H57" s="556"/>
      <c r="I57" s="144">
        <f t="shared" si="6"/>
        <v>0</v>
      </c>
      <c r="J57" s="556"/>
      <c r="K57" s="557">
        <f t="shared" si="7"/>
        <v>0</v>
      </c>
    </row>
    <row r="58" spans="1:11" ht="18" customHeight="1" x14ac:dyDescent="0.4">
      <c r="A58" s="183" t="s">
        <v>97</v>
      </c>
      <c r="B58" s="503"/>
      <c r="C58" s="504"/>
      <c r="D58" s="505"/>
      <c r="F58" s="555"/>
      <c r="G58" s="555"/>
      <c r="H58" s="556"/>
      <c r="I58" s="144">
        <f t="shared" si="6"/>
        <v>0</v>
      </c>
      <c r="J58" s="556"/>
      <c r="K58" s="557">
        <f t="shared" si="7"/>
        <v>0</v>
      </c>
    </row>
    <row r="59" spans="1:11" ht="18" customHeight="1" x14ac:dyDescent="0.4">
      <c r="A59" s="183" t="s">
        <v>98</v>
      </c>
      <c r="B59" s="980"/>
      <c r="C59" s="974"/>
      <c r="D59" s="975"/>
      <c r="F59" s="555"/>
      <c r="G59" s="555"/>
      <c r="H59" s="556"/>
      <c r="I59" s="144">
        <f t="shared" si="6"/>
        <v>0</v>
      </c>
      <c r="J59" s="556"/>
      <c r="K59" s="557">
        <f t="shared" si="7"/>
        <v>0</v>
      </c>
    </row>
    <row r="60" spans="1:11" ht="18" customHeight="1" x14ac:dyDescent="0.4">
      <c r="A60" s="183" t="s">
        <v>99</v>
      </c>
      <c r="B60" s="503"/>
      <c r="C60" s="504"/>
      <c r="D60" s="505"/>
      <c r="F60" s="555"/>
      <c r="G60" s="555"/>
      <c r="H60" s="556"/>
      <c r="I60" s="144">
        <f t="shared" si="6"/>
        <v>0</v>
      </c>
      <c r="J60" s="556"/>
      <c r="K60" s="557">
        <f t="shared" si="7"/>
        <v>0</v>
      </c>
    </row>
    <row r="61" spans="1:11" ht="18" customHeight="1" x14ac:dyDescent="0.4">
      <c r="A61" s="183" t="s">
        <v>100</v>
      </c>
      <c r="B61" s="503"/>
      <c r="C61" s="504"/>
      <c r="D61" s="505"/>
      <c r="F61" s="555"/>
      <c r="G61" s="555"/>
      <c r="H61" s="556"/>
      <c r="I61" s="144">
        <f t="shared" si="6"/>
        <v>0</v>
      </c>
      <c r="J61" s="556"/>
      <c r="K61" s="557">
        <f t="shared" si="7"/>
        <v>0</v>
      </c>
    </row>
    <row r="62" spans="1:11" ht="18" customHeight="1" x14ac:dyDescent="0.4">
      <c r="A62" s="183" t="s">
        <v>101</v>
      </c>
      <c r="B62" s="980"/>
      <c r="C62" s="974"/>
      <c r="D62" s="975"/>
      <c r="F62" s="555"/>
      <c r="G62" s="555"/>
      <c r="H62" s="556"/>
      <c r="I62" s="144">
        <f t="shared" si="6"/>
        <v>0</v>
      </c>
      <c r="J62" s="556"/>
      <c r="K62" s="557">
        <f t="shared" si="7"/>
        <v>0</v>
      </c>
    </row>
    <row r="63" spans="1:11" ht="18" customHeight="1" x14ac:dyDescent="0.4">
      <c r="A63" s="183"/>
      <c r="I63" s="140"/>
    </row>
    <row r="64" spans="1:11" ht="18" customHeight="1" x14ac:dyDescent="0.4">
      <c r="A64" s="183" t="s">
        <v>144</v>
      </c>
      <c r="B64" s="117" t="s">
        <v>145</v>
      </c>
      <c r="E64" s="117" t="s">
        <v>7</v>
      </c>
      <c r="F64" s="560">
        <f t="shared" ref="F64:K64" si="8">SUM(F53:F62)</f>
        <v>0</v>
      </c>
      <c r="G64" s="560">
        <f t="shared" si="8"/>
        <v>0</v>
      </c>
      <c r="H64" s="557">
        <f t="shared" si="8"/>
        <v>27833253.782273255</v>
      </c>
      <c r="I64" s="557">
        <f t="shared" si="8"/>
        <v>0</v>
      </c>
      <c r="J64" s="557">
        <f t="shared" si="8"/>
        <v>0</v>
      </c>
      <c r="K64" s="557">
        <f t="shared" si="8"/>
        <v>27833253.782273255</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f t="shared" ref="I68:I72" si="9">H68*F$114</f>
        <v>0</v>
      </c>
      <c r="J68" s="564"/>
      <c r="K68" s="557">
        <f>(H68+I68)-J68</f>
        <v>0</v>
      </c>
    </row>
    <row r="69" spans="1:11" ht="18" customHeight="1" x14ac:dyDescent="0.4">
      <c r="A69" s="183" t="s">
        <v>104</v>
      </c>
      <c r="B69" s="116" t="s">
        <v>53</v>
      </c>
      <c r="F69" s="564"/>
      <c r="G69" s="564"/>
      <c r="H69" s="564"/>
      <c r="I69" s="144">
        <f t="shared" si="9"/>
        <v>0</v>
      </c>
      <c r="J69" s="564"/>
      <c r="K69" s="557">
        <f>(H69+I69)-J69</f>
        <v>0</v>
      </c>
    </row>
    <row r="70" spans="1:11" ht="18" customHeight="1" x14ac:dyDescent="0.4">
      <c r="A70" s="183" t="s">
        <v>178</v>
      </c>
      <c r="B70" s="503"/>
      <c r="C70" s="504"/>
      <c r="D70" s="505"/>
      <c r="E70" s="117"/>
      <c r="F70" s="131"/>
      <c r="G70" s="131"/>
      <c r="H70" s="132"/>
      <c r="I70" s="144">
        <f t="shared" si="9"/>
        <v>0</v>
      </c>
      <c r="J70" s="132"/>
      <c r="K70" s="557">
        <f>(H70+I70)-J70</f>
        <v>0</v>
      </c>
    </row>
    <row r="71" spans="1:11" ht="18" customHeight="1" x14ac:dyDescent="0.4">
      <c r="A71" s="183" t="s">
        <v>179</v>
      </c>
      <c r="B71" s="503"/>
      <c r="C71" s="504"/>
      <c r="D71" s="505"/>
      <c r="E71" s="117"/>
      <c r="F71" s="131"/>
      <c r="G71" s="131"/>
      <c r="H71" s="132"/>
      <c r="I71" s="144">
        <f t="shared" si="9"/>
        <v>0</v>
      </c>
      <c r="J71" s="132"/>
      <c r="K71" s="557">
        <f>(H71+I71)-J71</f>
        <v>0</v>
      </c>
    </row>
    <row r="72" spans="1:11" ht="18" customHeight="1" x14ac:dyDescent="0.4">
      <c r="A72" s="183" t="s">
        <v>180</v>
      </c>
      <c r="B72" s="510"/>
      <c r="C72" s="508"/>
      <c r="D72" s="130"/>
      <c r="E72" s="117"/>
      <c r="F72" s="555"/>
      <c r="G72" s="555"/>
      <c r="H72" s="556"/>
      <c r="I72" s="144">
        <f t="shared" si="9"/>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10">SUM(F68:F72)</f>
        <v>0</v>
      </c>
      <c r="G74" s="566">
        <f t="shared" si="10"/>
        <v>0</v>
      </c>
      <c r="H74" s="566">
        <f t="shared" si="10"/>
        <v>0</v>
      </c>
      <c r="I74" s="145">
        <f t="shared" si="10"/>
        <v>0</v>
      </c>
      <c r="J74" s="566">
        <f t="shared" si="10"/>
        <v>0</v>
      </c>
      <c r="K74" s="567">
        <f t="shared" si="10"/>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33022</v>
      </c>
      <c r="I77" s="144">
        <v>0</v>
      </c>
      <c r="J77" s="556"/>
      <c r="K77" s="557">
        <f>(H77+I77)-J77</f>
        <v>33022</v>
      </c>
    </row>
    <row r="78" spans="1:11" ht="18" customHeight="1" x14ac:dyDescent="0.4">
      <c r="A78" s="183" t="s">
        <v>108</v>
      </c>
      <c r="B78" s="116" t="s">
        <v>55</v>
      </c>
      <c r="F78" s="555"/>
      <c r="G78" s="555"/>
      <c r="H78" s="556"/>
      <c r="I78" s="144">
        <f t="shared" ref="I78:I80" si="11">H78*F$114</f>
        <v>0</v>
      </c>
      <c r="J78" s="556"/>
      <c r="K78" s="557">
        <f>(H78+I78)-J78</f>
        <v>0</v>
      </c>
    </row>
    <row r="79" spans="1:11" ht="18" customHeight="1" x14ac:dyDescent="0.4">
      <c r="A79" s="183" t="s">
        <v>109</v>
      </c>
      <c r="B79" s="116" t="s">
        <v>13</v>
      </c>
      <c r="F79" s="555">
        <v>75</v>
      </c>
      <c r="G79" s="555">
        <v>38</v>
      </c>
      <c r="H79" s="779">
        <f>3167+1658*18</f>
        <v>33011</v>
      </c>
      <c r="I79" s="144">
        <f t="shared" si="11"/>
        <v>24758.25</v>
      </c>
      <c r="J79" s="556"/>
      <c r="K79" s="557">
        <f>(H79+I79)-J79</f>
        <v>57769.25</v>
      </c>
    </row>
    <row r="80" spans="1:11" ht="18" customHeight="1" x14ac:dyDescent="0.4">
      <c r="A80" s="183" t="s">
        <v>110</v>
      </c>
      <c r="B80" s="116" t="s">
        <v>56</v>
      </c>
      <c r="F80" s="555"/>
      <c r="G80" s="555"/>
      <c r="H80" s="556"/>
      <c r="I80" s="144">
        <f t="shared" si="11"/>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12">SUM(F77:F80)</f>
        <v>75</v>
      </c>
      <c r="G82" s="566">
        <f t="shared" si="12"/>
        <v>38</v>
      </c>
      <c r="H82" s="567">
        <f t="shared" si="12"/>
        <v>66033</v>
      </c>
      <c r="I82" s="567">
        <f t="shared" si="12"/>
        <v>24758.25</v>
      </c>
      <c r="J82" s="567">
        <f t="shared" si="12"/>
        <v>0</v>
      </c>
      <c r="K82" s="567">
        <f t="shared" si="12"/>
        <v>90791.25</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13">H86*F$114</f>
        <v>0</v>
      </c>
      <c r="J86" s="556"/>
      <c r="K86" s="557">
        <f t="shared" ref="K86:K96" si="14">(H86+I86)-J86</f>
        <v>0</v>
      </c>
    </row>
    <row r="87" spans="1:11" ht="18" customHeight="1" x14ac:dyDescent="0.4">
      <c r="A87" s="183" t="s">
        <v>114</v>
      </c>
      <c r="B87" s="116" t="s">
        <v>14</v>
      </c>
      <c r="F87" s="555"/>
      <c r="G87" s="555"/>
      <c r="H87" s="556"/>
      <c r="I87" s="144">
        <f t="shared" si="13"/>
        <v>0</v>
      </c>
      <c r="J87" s="556"/>
      <c r="K87" s="557">
        <f t="shared" si="14"/>
        <v>0</v>
      </c>
    </row>
    <row r="88" spans="1:11" ht="18" customHeight="1" x14ac:dyDescent="0.4">
      <c r="A88" s="183" t="s">
        <v>115</v>
      </c>
      <c r="B88" s="116" t="s">
        <v>116</v>
      </c>
      <c r="F88" s="555">
        <v>104</v>
      </c>
      <c r="G88" s="555">
        <v>2397</v>
      </c>
      <c r="H88" s="556">
        <v>9728</v>
      </c>
      <c r="I88" s="144">
        <f t="shared" si="13"/>
        <v>7296</v>
      </c>
      <c r="J88" s="556"/>
      <c r="K88" s="557">
        <f t="shared" si="14"/>
        <v>17024</v>
      </c>
    </row>
    <row r="89" spans="1:11" ht="18" customHeight="1" x14ac:dyDescent="0.4">
      <c r="A89" s="183" t="s">
        <v>117</v>
      </c>
      <c r="B89" s="116" t="s">
        <v>58</v>
      </c>
      <c r="F89" s="555">
        <v>312</v>
      </c>
      <c r="G89" s="555"/>
      <c r="H89" s="556">
        <v>16541</v>
      </c>
      <c r="I89" s="144">
        <f t="shared" si="13"/>
        <v>12405.75</v>
      </c>
      <c r="J89" s="556"/>
      <c r="K89" s="557">
        <f t="shared" si="14"/>
        <v>28946.75</v>
      </c>
    </row>
    <row r="90" spans="1:11" ht="18" customHeight="1" x14ac:dyDescent="0.4">
      <c r="A90" s="183" t="s">
        <v>118</v>
      </c>
      <c r="B90" s="956" t="s">
        <v>59</v>
      </c>
      <c r="C90" s="957"/>
      <c r="F90" s="555">
        <v>538</v>
      </c>
      <c r="G90" s="555">
        <v>504.4736842105263</v>
      </c>
      <c r="H90" s="556">
        <v>28657.542339318181</v>
      </c>
      <c r="I90" s="144">
        <f t="shared" si="13"/>
        <v>21493.156754488635</v>
      </c>
      <c r="J90" s="556"/>
      <c r="K90" s="557">
        <f t="shared" si="14"/>
        <v>50150.699093806819</v>
      </c>
    </row>
    <row r="91" spans="1:11" ht="18" customHeight="1" x14ac:dyDescent="0.4">
      <c r="A91" s="183" t="s">
        <v>119</v>
      </c>
      <c r="B91" s="116" t="s">
        <v>60</v>
      </c>
      <c r="F91" s="555">
        <v>150</v>
      </c>
      <c r="G91" s="555"/>
      <c r="H91" s="556">
        <v>29361</v>
      </c>
      <c r="I91" s="144">
        <f t="shared" si="13"/>
        <v>22020.75</v>
      </c>
      <c r="J91" s="556"/>
      <c r="K91" s="557">
        <f t="shared" si="14"/>
        <v>51381.75</v>
      </c>
    </row>
    <row r="92" spans="1:11" ht="18" customHeight="1" x14ac:dyDescent="0.4">
      <c r="A92" s="183" t="s">
        <v>120</v>
      </c>
      <c r="B92" s="116" t="s">
        <v>121</v>
      </c>
      <c r="F92" s="134"/>
      <c r="G92" s="134"/>
      <c r="H92" s="135"/>
      <c r="I92" s="144">
        <f t="shared" si="13"/>
        <v>0</v>
      </c>
      <c r="J92" s="135"/>
      <c r="K92" s="557">
        <f t="shared" si="14"/>
        <v>0</v>
      </c>
    </row>
    <row r="93" spans="1:11" ht="18" customHeight="1" x14ac:dyDescent="0.4">
      <c r="A93" s="183" t="s">
        <v>122</v>
      </c>
      <c r="B93" s="116" t="s">
        <v>123</v>
      </c>
      <c r="F93" s="555">
        <v>2080</v>
      </c>
      <c r="G93" s="555">
        <v>1435</v>
      </c>
      <c r="H93" s="556">
        <v>89289</v>
      </c>
      <c r="I93" s="144">
        <f t="shared" si="13"/>
        <v>66966.75</v>
      </c>
      <c r="J93" s="556"/>
      <c r="K93" s="557">
        <f t="shared" si="14"/>
        <v>156255.75</v>
      </c>
    </row>
    <row r="94" spans="1:11" ht="18" customHeight="1" x14ac:dyDescent="0.4">
      <c r="A94" s="183" t="s">
        <v>124</v>
      </c>
      <c r="B94" s="980"/>
      <c r="C94" s="974"/>
      <c r="D94" s="975"/>
      <c r="F94" s="555"/>
      <c r="G94" s="555"/>
      <c r="H94" s="556"/>
      <c r="I94" s="144">
        <f t="shared" si="13"/>
        <v>0</v>
      </c>
      <c r="J94" s="556"/>
      <c r="K94" s="557">
        <f t="shared" si="14"/>
        <v>0</v>
      </c>
    </row>
    <row r="95" spans="1:11" ht="18" customHeight="1" x14ac:dyDescent="0.4">
      <c r="A95" s="183" t="s">
        <v>125</v>
      </c>
      <c r="B95" s="980"/>
      <c r="C95" s="974"/>
      <c r="D95" s="975"/>
      <c r="F95" s="555"/>
      <c r="G95" s="555"/>
      <c r="H95" s="556"/>
      <c r="I95" s="144">
        <f t="shared" si="13"/>
        <v>0</v>
      </c>
      <c r="J95" s="556"/>
      <c r="K95" s="557">
        <f t="shared" si="14"/>
        <v>0</v>
      </c>
    </row>
    <row r="96" spans="1:11" ht="18" customHeight="1" x14ac:dyDescent="0.4">
      <c r="A96" s="183" t="s">
        <v>126</v>
      </c>
      <c r="B96" s="980"/>
      <c r="C96" s="974"/>
      <c r="D96" s="975"/>
      <c r="F96" s="555"/>
      <c r="G96" s="555"/>
      <c r="H96" s="556"/>
      <c r="I96" s="144">
        <f t="shared" si="13"/>
        <v>0</v>
      </c>
      <c r="J96" s="556"/>
      <c r="K96" s="557">
        <f t="shared" si="14"/>
        <v>0</v>
      </c>
    </row>
    <row r="97" spans="1:11" ht="18" customHeight="1" x14ac:dyDescent="0.4">
      <c r="A97" s="183"/>
      <c r="B97" s="116"/>
    </row>
    <row r="98" spans="1:11" ht="18" customHeight="1" x14ac:dyDescent="0.4">
      <c r="A98" s="120" t="s">
        <v>150</v>
      </c>
      <c r="B98" s="117" t="s">
        <v>151</v>
      </c>
      <c r="E98" s="117" t="s">
        <v>7</v>
      </c>
      <c r="F98" s="560">
        <f t="shared" ref="F98:K98" si="15">SUM(F86:F96)</f>
        <v>3184</v>
      </c>
      <c r="G98" s="560">
        <f t="shared" si="15"/>
        <v>4336.4736842105267</v>
      </c>
      <c r="H98" s="560">
        <f t="shared" si="15"/>
        <v>173576.5423393182</v>
      </c>
      <c r="I98" s="560">
        <f t="shared" si="15"/>
        <v>130182.40675448863</v>
      </c>
      <c r="J98" s="560">
        <f t="shared" si="15"/>
        <v>0</v>
      </c>
      <c r="K98" s="560">
        <f t="shared" si="15"/>
        <v>303758.94909380679</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f>208+624</f>
        <v>832</v>
      </c>
      <c r="G102" s="555"/>
      <c r="H102" s="556">
        <f>40714+50177</f>
        <v>90891</v>
      </c>
      <c r="I102" s="144">
        <f t="shared" ref="I102:I106" si="16">H102*F$114</f>
        <v>68168.25</v>
      </c>
      <c r="J102" s="556"/>
      <c r="K102" s="557">
        <f>(H102+I102)-J102</f>
        <v>159059.25</v>
      </c>
    </row>
    <row r="103" spans="1:11" ht="18" customHeight="1" x14ac:dyDescent="0.4">
      <c r="A103" s="183" t="s">
        <v>132</v>
      </c>
      <c r="B103" s="956" t="s">
        <v>62</v>
      </c>
      <c r="C103" s="956"/>
      <c r="F103" s="555"/>
      <c r="G103" s="555"/>
      <c r="H103" s="556"/>
      <c r="I103" s="144">
        <f t="shared" si="16"/>
        <v>0</v>
      </c>
      <c r="J103" s="556"/>
      <c r="K103" s="557">
        <f>(H103+I103)-J103</f>
        <v>0</v>
      </c>
    </row>
    <row r="104" spans="1:11" ht="18" customHeight="1" x14ac:dyDescent="0.4">
      <c r="A104" s="183" t="s">
        <v>128</v>
      </c>
      <c r="B104" s="980"/>
      <c r="C104" s="974"/>
      <c r="D104" s="975"/>
      <c r="F104" s="555"/>
      <c r="G104" s="555"/>
      <c r="H104" s="556"/>
      <c r="I104" s="144">
        <f t="shared" si="16"/>
        <v>0</v>
      </c>
      <c r="J104" s="556"/>
      <c r="K104" s="557">
        <f>(H104+I104)-J104</f>
        <v>0</v>
      </c>
    </row>
    <row r="105" spans="1:11" ht="18" customHeight="1" x14ac:dyDescent="0.4">
      <c r="A105" s="183" t="s">
        <v>127</v>
      </c>
      <c r="B105" s="980"/>
      <c r="C105" s="974"/>
      <c r="D105" s="975"/>
      <c r="F105" s="555"/>
      <c r="G105" s="555"/>
      <c r="H105" s="556"/>
      <c r="I105" s="144">
        <f t="shared" si="16"/>
        <v>0</v>
      </c>
      <c r="J105" s="556"/>
      <c r="K105" s="557">
        <f>(H105+I105)-J105</f>
        <v>0</v>
      </c>
    </row>
    <row r="106" spans="1:11" ht="18" customHeight="1" x14ac:dyDescent="0.4">
      <c r="A106" s="183" t="s">
        <v>129</v>
      </c>
      <c r="B106" s="980"/>
      <c r="C106" s="974"/>
      <c r="D106" s="975"/>
      <c r="F106" s="555"/>
      <c r="G106" s="555"/>
      <c r="H106" s="556"/>
      <c r="I106" s="144">
        <f t="shared" si="16"/>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7">SUM(F102:F106)</f>
        <v>832</v>
      </c>
      <c r="G108" s="560">
        <f t="shared" si="17"/>
        <v>0</v>
      </c>
      <c r="H108" s="557">
        <f t="shared" si="17"/>
        <v>90891</v>
      </c>
      <c r="I108" s="557">
        <f t="shared" si="17"/>
        <v>68168.25</v>
      </c>
      <c r="J108" s="557">
        <f t="shared" si="17"/>
        <v>0</v>
      </c>
      <c r="K108" s="557">
        <f t="shared" si="17"/>
        <v>159059.25</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3819000</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0.75</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203649000</v>
      </c>
    </row>
    <row r="118" spans="1:6" ht="18" customHeight="1" x14ac:dyDescent="0.4">
      <c r="A118" s="183" t="s">
        <v>173</v>
      </c>
      <c r="B118" s="189" t="s">
        <v>18</v>
      </c>
      <c r="F118" s="556">
        <v>19457153</v>
      </c>
    </row>
    <row r="119" spans="1:6" ht="18" customHeight="1" x14ac:dyDescent="0.4">
      <c r="A119" s="183" t="s">
        <v>174</v>
      </c>
      <c r="B119" s="117" t="s">
        <v>19</v>
      </c>
      <c r="F119" s="567">
        <f>SUM(F117:F118)</f>
        <v>223106153</v>
      </c>
    </row>
    <row r="120" spans="1:6" ht="18" customHeight="1" x14ac:dyDescent="0.4">
      <c r="A120" s="183"/>
      <c r="B120" s="117"/>
    </row>
    <row r="121" spans="1:6" ht="18" customHeight="1" x14ac:dyDescent="0.4">
      <c r="A121" s="183" t="s">
        <v>167</v>
      </c>
      <c r="B121" s="117" t="s">
        <v>36</v>
      </c>
      <c r="F121" s="556">
        <v>228130000</v>
      </c>
    </row>
    <row r="122" spans="1:6" ht="18" customHeight="1" x14ac:dyDescent="0.4">
      <c r="A122" s="183"/>
    </row>
    <row r="123" spans="1:6" ht="18" customHeight="1" x14ac:dyDescent="0.4">
      <c r="A123" s="183" t="s">
        <v>175</v>
      </c>
      <c r="B123" s="117" t="s">
        <v>20</v>
      </c>
      <c r="F123" s="556">
        <v>-5023847</v>
      </c>
    </row>
    <row r="124" spans="1:6" ht="18" customHeight="1" x14ac:dyDescent="0.4">
      <c r="A124" s="183"/>
    </row>
    <row r="125" spans="1:6" ht="18" customHeight="1" x14ac:dyDescent="0.4">
      <c r="A125" s="183" t="s">
        <v>176</v>
      </c>
      <c r="B125" s="117" t="s">
        <v>21</v>
      </c>
      <c r="F125" s="556">
        <v>478000</v>
      </c>
    </row>
    <row r="126" spans="1:6" ht="18" customHeight="1" x14ac:dyDescent="0.4">
      <c r="A126" s="183"/>
    </row>
    <row r="127" spans="1:6" ht="18" customHeight="1" x14ac:dyDescent="0.4">
      <c r="A127" s="183" t="s">
        <v>177</v>
      </c>
      <c r="B127" s="117" t="s">
        <v>22</v>
      </c>
      <c r="F127" s="556">
        <v>-4545847</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8">SUM(F131:F135)</f>
        <v>0</v>
      </c>
      <c r="G137" s="560">
        <f t="shared" si="18"/>
        <v>0</v>
      </c>
      <c r="H137" s="557">
        <f t="shared" si="18"/>
        <v>0</v>
      </c>
      <c r="I137" s="557">
        <f t="shared" si="18"/>
        <v>0</v>
      </c>
      <c r="J137" s="557">
        <f t="shared" si="18"/>
        <v>0</v>
      </c>
      <c r="K137" s="557">
        <f t="shared" si="18"/>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9">F36</f>
        <v>8024</v>
      </c>
      <c r="G141" s="136">
        <f t="shared" si="19"/>
        <v>10581</v>
      </c>
      <c r="H141" s="136">
        <f t="shared" si="19"/>
        <v>1288386.26</v>
      </c>
      <c r="I141" s="136">
        <f t="shared" si="19"/>
        <v>966289.69500000007</v>
      </c>
      <c r="J141" s="136">
        <f t="shared" si="19"/>
        <v>0</v>
      </c>
      <c r="K141" s="136">
        <f t="shared" si="19"/>
        <v>2254675.9550000001</v>
      </c>
    </row>
    <row r="142" spans="1:11" ht="18" customHeight="1" x14ac:dyDescent="0.4">
      <c r="A142" s="183" t="s">
        <v>142</v>
      </c>
      <c r="B142" s="117" t="s">
        <v>65</v>
      </c>
      <c r="F142" s="136">
        <f t="shared" ref="F142:K142" si="20">F49</f>
        <v>93322.09</v>
      </c>
      <c r="G142" s="136">
        <f t="shared" si="20"/>
        <v>11227.875</v>
      </c>
      <c r="H142" s="136">
        <f t="shared" si="20"/>
        <v>5622312.4000000004</v>
      </c>
      <c r="I142" s="136">
        <f t="shared" si="20"/>
        <v>0</v>
      </c>
      <c r="J142" s="136">
        <f t="shared" si="20"/>
        <v>0</v>
      </c>
      <c r="K142" s="136">
        <f t="shared" si="20"/>
        <v>5622312.4000000004</v>
      </c>
    </row>
    <row r="143" spans="1:11" ht="18" customHeight="1" x14ac:dyDescent="0.4">
      <c r="A143" s="183" t="s">
        <v>144</v>
      </c>
      <c r="B143" s="117" t="s">
        <v>66</v>
      </c>
      <c r="F143" s="136">
        <f t="shared" ref="F143:K143" si="21">F64</f>
        <v>0</v>
      </c>
      <c r="G143" s="136">
        <f t="shared" si="21"/>
        <v>0</v>
      </c>
      <c r="H143" s="136">
        <f t="shared" si="21"/>
        <v>27833253.782273255</v>
      </c>
      <c r="I143" s="136">
        <f t="shared" si="21"/>
        <v>0</v>
      </c>
      <c r="J143" s="136">
        <f t="shared" si="21"/>
        <v>0</v>
      </c>
      <c r="K143" s="136">
        <f t="shared" si="21"/>
        <v>27833253.782273255</v>
      </c>
    </row>
    <row r="144" spans="1:11" ht="18" customHeight="1" x14ac:dyDescent="0.4">
      <c r="A144" s="183" t="s">
        <v>146</v>
      </c>
      <c r="B144" s="117" t="s">
        <v>67</v>
      </c>
      <c r="F144" s="136">
        <f t="shared" ref="F144:K144" si="22">F74</f>
        <v>0</v>
      </c>
      <c r="G144" s="136">
        <f t="shared" si="22"/>
        <v>0</v>
      </c>
      <c r="H144" s="136">
        <f t="shared" si="22"/>
        <v>0</v>
      </c>
      <c r="I144" s="136">
        <f t="shared" si="22"/>
        <v>0</v>
      </c>
      <c r="J144" s="136">
        <f t="shared" si="22"/>
        <v>0</v>
      </c>
      <c r="K144" s="136">
        <f t="shared" si="22"/>
        <v>0</v>
      </c>
    </row>
    <row r="145" spans="1:11" ht="18" customHeight="1" x14ac:dyDescent="0.4">
      <c r="A145" s="183" t="s">
        <v>148</v>
      </c>
      <c r="B145" s="117" t="s">
        <v>68</v>
      </c>
      <c r="F145" s="136">
        <f t="shared" ref="F145:K145" si="23">F82</f>
        <v>75</v>
      </c>
      <c r="G145" s="136">
        <f t="shared" si="23"/>
        <v>38</v>
      </c>
      <c r="H145" s="136">
        <f t="shared" si="23"/>
        <v>66033</v>
      </c>
      <c r="I145" s="136">
        <f t="shared" si="23"/>
        <v>24758.25</v>
      </c>
      <c r="J145" s="136">
        <f t="shared" si="23"/>
        <v>0</v>
      </c>
      <c r="K145" s="136">
        <f t="shared" si="23"/>
        <v>90791.25</v>
      </c>
    </row>
    <row r="146" spans="1:11" ht="18" customHeight="1" x14ac:dyDescent="0.4">
      <c r="A146" s="183" t="s">
        <v>150</v>
      </c>
      <c r="B146" s="117" t="s">
        <v>69</v>
      </c>
      <c r="F146" s="136">
        <f t="shared" ref="F146:K146" si="24">F98</f>
        <v>3184</v>
      </c>
      <c r="G146" s="136">
        <f t="shared" si="24"/>
        <v>4336.4736842105267</v>
      </c>
      <c r="H146" s="136">
        <f t="shared" si="24"/>
        <v>173576.5423393182</v>
      </c>
      <c r="I146" s="136">
        <f t="shared" si="24"/>
        <v>130182.40675448863</v>
      </c>
      <c r="J146" s="136">
        <f t="shared" si="24"/>
        <v>0</v>
      </c>
      <c r="K146" s="136">
        <f t="shared" si="24"/>
        <v>303758.94909380679</v>
      </c>
    </row>
    <row r="147" spans="1:11" ht="18" customHeight="1" x14ac:dyDescent="0.4">
      <c r="A147" s="183" t="s">
        <v>153</v>
      </c>
      <c r="B147" s="117" t="s">
        <v>61</v>
      </c>
      <c r="F147" s="560">
        <f t="shared" ref="F147:K147" si="25">F108</f>
        <v>832</v>
      </c>
      <c r="G147" s="560">
        <f t="shared" si="25"/>
        <v>0</v>
      </c>
      <c r="H147" s="560">
        <f t="shared" si="25"/>
        <v>90891</v>
      </c>
      <c r="I147" s="560">
        <f t="shared" si="25"/>
        <v>68168.25</v>
      </c>
      <c r="J147" s="560">
        <f t="shared" si="25"/>
        <v>0</v>
      </c>
      <c r="K147" s="560">
        <f t="shared" si="25"/>
        <v>159059.25</v>
      </c>
    </row>
    <row r="148" spans="1:11" ht="18" customHeight="1" x14ac:dyDescent="0.4">
      <c r="A148" s="183" t="s">
        <v>155</v>
      </c>
      <c r="B148" s="117" t="s">
        <v>70</v>
      </c>
      <c r="F148" s="137" t="s">
        <v>73</v>
      </c>
      <c r="G148" s="137" t="s">
        <v>73</v>
      </c>
      <c r="H148" s="138" t="s">
        <v>73</v>
      </c>
      <c r="I148" s="138" t="s">
        <v>73</v>
      </c>
      <c r="J148" s="138" t="s">
        <v>73</v>
      </c>
      <c r="K148" s="133">
        <f>F111</f>
        <v>3819000</v>
      </c>
    </row>
    <row r="149" spans="1:11" ht="18" customHeight="1" x14ac:dyDescent="0.4">
      <c r="A149" s="183" t="s">
        <v>163</v>
      </c>
      <c r="B149" s="117" t="s">
        <v>71</v>
      </c>
      <c r="F149" s="560">
        <f t="shared" ref="F149:K149" si="26">F137</f>
        <v>0</v>
      </c>
      <c r="G149" s="560">
        <f t="shared" si="26"/>
        <v>0</v>
      </c>
      <c r="H149" s="560">
        <f t="shared" si="26"/>
        <v>0</v>
      </c>
      <c r="I149" s="560">
        <f t="shared" si="26"/>
        <v>0</v>
      </c>
      <c r="J149" s="560">
        <f t="shared" si="26"/>
        <v>0</v>
      </c>
      <c r="K149" s="560">
        <f t="shared" si="26"/>
        <v>0</v>
      </c>
    </row>
    <row r="150" spans="1:11" ht="18" customHeight="1" x14ac:dyDescent="0.4">
      <c r="A150" s="183" t="s">
        <v>185</v>
      </c>
      <c r="B150" s="117" t="s">
        <v>186</v>
      </c>
      <c r="F150" s="137" t="s">
        <v>73</v>
      </c>
      <c r="G150" s="137" t="s">
        <v>73</v>
      </c>
      <c r="H150" s="560">
        <f>H18</f>
        <v>4585884</v>
      </c>
      <c r="I150" s="560">
        <f>I18</f>
        <v>0</v>
      </c>
      <c r="J150" s="560">
        <f>J18</f>
        <v>3812370</v>
      </c>
      <c r="K150" s="560">
        <f>K18</f>
        <v>773514</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7">SUM(F141:F150)</f>
        <v>105437.09</v>
      </c>
      <c r="G152" s="143">
        <f t="shared" si="27"/>
        <v>26183.348684210527</v>
      </c>
      <c r="H152" s="143">
        <f t="shared" si="27"/>
        <v>39660336.984612577</v>
      </c>
      <c r="I152" s="143">
        <f t="shared" si="27"/>
        <v>1189398.6017544887</v>
      </c>
      <c r="J152" s="143">
        <f t="shared" si="27"/>
        <v>3812370</v>
      </c>
      <c r="K152" s="143">
        <f t="shared" si="27"/>
        <v>40856365.586367056</v>
      </c>
    </row>
    <row r="154" spans="1:11" ht="18" customHeight="1" x14ac:dyDescent="0.4">
      <c r="A154" s="120" t="s">
        <v>168</v>
      </c>
      <c r="B154" s="117" t="s">
        <v>28</v>
      </c>
      <c r="F154" s="571">
        <f>K152/F121</f>
        <v>0.17909247177647419</v>
      </c>
    </row>
    <row r="155" spans="1:11" ht="18" customHeight="1" x14ac:dyDescent="0.4">
      <c r="A155" s="120" t="s">
        <v>169</v>
      </c>
      <c r="B155" s="117" t="s">
        <v>72</v>
      </c>
      <c r="F155" s="571">
        <f>K152/F127</f>
        <v>-8.9876244375068186</v>
      </c>
      <c r="G155" s="117"/>
    </row>
    <row r="156" spans="1:11" ht="18" customHeight="1" x14ac:dyDescent="0.4">
      <c r="G156" s="117"/>
    </row>
  </sheetData>
  <mergeCells count="34">
    <mergeCell ref="B103:C103"/>
    <mergeCell ref="D2:H2"/>
    <mergeCell ref="B134:D134"/>
    <mergeCell ref="B135:D135"/>
    <mergeCell ref="B133:D133"/>
    <mergeCell ref="B104:D104"/>
    <mergeCell ref="B105:D105"/>
    <mergeCell ref="B106:D106"/>
    <mergeCell ref="B96:D96"/>
    <mergeCell ref="B95:D95"/>
    <mergeCell ref="B57:D57"/>
    <mergeCell ref="B94:D94"/>
    <mergeCell ref="B52:C52"/>
    <mergeCell ref="B90:C90"/>
    <mergeCell ref="B53:D53"/>
    <mergeCell ref="B55:D55"/>
    <mergeCell ref="B56:D56"/>
    <mergeCell ref="B59:D59"/>
    <mergeCell ref="B62:D62"/>
    <mergeCell ref="B45:D45"/>
    <mergeCell ref="B46:D46"/>
    <mergeCell ref="B47:D47"/>
    <mergeCell ref="B34:D34"/>
    <mergeCell ref="C11:G11"/>
    <mergeCell ref="B41:C41"/>
    <mergeCell ref="B44:D44"/>
    <mergeCell ref="B13:H13"/>
    <mergeCell ref="B30:D30"/>
    <mergeCell ref="B31:D31"/>
    <mergeCell ref="C5:G5"/>
    <mergeCell ref="C6:G6"/>
    <mergeCell ref="C7:G7"/>
    <mergeCell ref="C9:G9"/>
    <mergeCell ref="C10:G10"/>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L156"/>
  <sheetViews>
    <sheetView topLeftCell="A49" zoomScale="80" zoomScaleNormal="80" zoomScaleSheetLayoutView="70" workbookViewId="0">
      <selection activeCell="G19" sqref="G19"/>
    </sheetView>
  </sheetViews>
  <sheetFormatPr defaultColWidth="9.1328125" defaultRowHeight="18" customHeight="1" x14ac:dyDescent="0.35"/>
  <cols>
    <col min="1" max="1" width="8.265625" style="115" customWidth="1"/>
    <col min="2" max="2" width="55.3984375" style="189" bestFit="1" customWidth="1"/>
    <col min="3" max="3" width="9.59765625" style="189" customWidth="1"/>
    <col min="4" max="4" width="9.1328125"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1328125"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566</v>
      </c>
      <c r="D5" s="962"/>
      <c r="E5" s="962"/>
      <c r="F5" s="962"/>
      <c r="G5" s="963"/>
    </row>
    <row r="6" spans="1:11" ht="18" customHeight="1" x14ac:dyDescent="0.4">
      <c r="B6" s="183" t="s">
        <v>3</v>
      </c>
      <c r="C6" s="964">
        <v>210039</v>
      </c>
      <c r="D6" s="965"/>
      <c r="E6" s="965"/>
      <c r="F6" s="965"/>
      <c r="G6" s="966"/>
    </row>
    <row r="7" spans="1:11" ht="18" customHeight="1" x14ac:dyDescent="0.4">
      <c r="B7" s="183" t="s">
        <v>4</v>
      </c>
      <c r="C7" s="1014">
        <v>1150</v>
      </c>
      <c r="D7" s="1015"/>
      <c r="E7" s="1015"/>
      <c r="F7" s="1015"/>
      <c r="G7" s="1016"/>
    </row>
    <row r="9" spans="1:11" ht="18" customHeight="1" x14ac:dyDescent="0.4">
      <c r="B9" s="183" t="s">
        <v>1</v>
      </c>
      <c r="C9" s="961" t="s">
        <v>824</v>
      </c>
      <c r="D9" s="962"/>
      <c r="E9" s="962"/>
      <c r="F9" s="962"/>
      <c r="G9" s="963"/>
    </row>
    <row r="10" spans="1:11" ht="18" customHeight="1" x14ac:dyDescent="0.4">
      <c r="B10" s="183" t="s">
        <v>2</v>
      </c>
      <c r="C10" s="970" t="s">
        <v>774</v>
      </c>
      <c r="D10" s="971"/>
      <c r="E10" s="971"/>
      <c r="F10" s="971"/>
      <c r="G10" s="972"/>
    </row>
    <row r="11" spans="1:11" ht="18" customHeight="1" x14ac:dyDescent="0.4">
      <c r="B11" s="183" t="s">
        <v>32</v>
      </c>
      <c r="C11" s="1020" t="s">
        <v>775</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766">
        <v>2934112</v>
      </c>
      <c r="I18" s="406">
        <v>0</v>
      </c>
      <c r="J18" s="766">
        <v>2439207</v>
      </c>
      <c r="K18" s="767">
        <f>(H18+I18)-J18</f>
        <v>494905</v>
      </c>
    </row>
    <row r="19" spans="1:11" ht="45" customHeight="1" x14ac:dyDescent="0.4">
      <c r="A19" s="118" t="s">
        <v>8</v>
      </c>
      <c r="B19" s="119"/>
      <c r="C19" s="119"/>
      <c r="D19" s="119"/>
      <c r="E19" s="119"/>
      <c r="F19" s="122" t="s">
        <v>9</v>
      </c>
      <c r="G19" s="122" t="s">
        <v>37</v>
      </c>
      <c r="H19" s="402" t="s">
        <v>29</v>
      </c>
      <c r="I19" s="402" t="s">
        <v>30</v>
      </c>
      <c r="J19" s="402" t="s">
        <v>33</v>
      </c>
      <c r="K19" s="402" t="s">
        <v>34</v>
      </c>
    </row>
    <row r="20" spans="1:11" ht="18" customHeight="1" x14ac:dyDescent="0.4">
      <c r="A20" s="120" t="s">
        <v>74</v>
      </c>
      <c r="B20" s="117" t="s">
        <v>41</v>
      </c>
      <c r="H20" s="400"/>
      <c r="I20" s="400"/>
      <c r="J20" s="400"/>
      <c r="K20" s="400"/>
    </row>
    <row r="21" spans="1:11" ht="18" customHeight="1" x14ac:dyDescent="0.4">
      <c r="A21" s="183" t="s">
        <v>75</v>
      </c>
      <c r="B21" s="116" t="s">
        <v>42</v>
      </c>
      <c r="F21" s="697">
        <v>2240.8000000000002</v>
      </c>
      <c r="G21" s="697">
        <v>2263</v>
      </c>
      <c r="H21" s="766">
        <v>413808</v>
      </c>
      <c r="I21" s="406">
        <v>325673</v>
      </c>
      <c r="J21" s="766">
        <v>2980</v>
      </c>
      <c r="K21" s="767">
        <f t="shared" ref="K21:K34" si="0">(H21+I21)-J21</f>
        <v>736501</v>
      </c>
    </row>
    <row r="22" spans="1:11" ht="18" customHeight="1" x14ac:dyDescent="0.4">
      <c r="A22" s="183" t="s">
        <v>76</v>
      </c>
      <c r="B22" s="189" t="s">
        <v>6</v>
      </c>
      <c r="F22" s="697">
        <v>103.5</v>
      </c>
      <c r="G22" s="697">
        <v>499</v>
      </c>
      <c r="H22" s="766">
        <v>1889</v>
      </c>
      <c r="I22" s="406">
        <v>1487</v>
      </c>
      <c r="J22" s="766">
        <v>0</v>
      </c>
      <c r="K22" s="767">
        <f t="shared" si="0"/>
        <v>3376</v>
      </c>
    </row>
    <row r="23" spans="1:11" ht="18" customHeight="1" x14ac:dyDescent="0.4">
      <c r="A23" s="183" t="s">
        <v>77</v>
      </c>
      <c r="B23" s="189" t="s">
        <v>43</v>
      </c>
      <c r="F23" s="697">
        <v>0</v>
      </c>
      <c r="G23" s="697">
        <v>0</v>
      </c>
      <c r="H23" s="766">
        <v>0</v>
      </c>
      <c r="I23" s="406">
        <v>0</v>
      </c>
      <c r="J23" s="766">
        <v>0</v>
      </c>
      <c r="K23" s="767">
        <f t="shared" si="0"/>
        <v>0</v>
      </c>
    </row>
    <row r="24" spans="1:11" ht="18" customHeight="1" x14ac:dyDescent="0.4">
      <c r="A24" s="183" t="s">
        <v>78</v>
      </c>
      <c r="B24" s="189" t="s">
        <v>44</v>
      </c>
      <c r="F24" s="697">
        <v>80</v>
      </c>
      <c r="G24" s="697">
        <v>181</v>
      </c>
      <c r="H24" s="766">
        <v>2405</v>
      </c>
      <c r="I24" s="406">
        <v>1893</v>
      </c>
      <c r="J24" s="766">
        <v>0</v>
      </c>
      <c r="K24" s="767">
        <f t="shared" si="0"/>
        <v>4298</v>
      </c>
    </row>
    <row r="25" spans="1:11" ht="18" customHeight="1" x14ac:dyDescent="0.4">
      <c r="A25" s="183" t="s">
        <v>79</v>
      </c>
      <c r="B25" s="189" t="s">
        <v>5</v>
      </c>
      <c r="F25" s="697">
        <v>1619</v>
      </c>
      <c r="G25" s="697">
        <v>972</v>
      </c>
      <c r="H25" s="766">
        <v>8439</v>
      </c>
      <c r="I25" s="406">
        <v>6641</v>
      </c>
      <c r="J25" s="766">
        <v>780</v>
      </c>
      <c r="K25" s="767">
        <f t="shared" si="0"/>
        <v>14300</v>
      </c>
    </row>
    <row r="26" spans="1:11" ht="18" customHeight="1" x14ac:dyDescent="0.4">
      <c r="A26" s="183" t="s">
        <v>80</v>
      </c>
      <c r="B26" s="189" t="s">
        <v>45</v>
      </c>
      <c r="F26" s="697">
        <v>0</v>
      </c>
      <c r="G26" s="697">
        <v>0</v>
      </c>
      <c r="H26" s="766">
        <v>0</v>
      </c>
      <c r="I26" s="766">
        <v>0</v>
      </c>
      <c r="J26" s="766">
        <v>0</v>
      </c>
      <c r="K26" s="767">
        <f t="shared" si="0"/>
        <v>0</v>
      </c>
    </row>
    <row r="27" spans="1:11" ht="18" customHeight="1" x14ac:dyDescent="0.4">
      <c r="A27" s="183" t="s">
        <v>81</v>
      </c>
      <c r="B27" s="189" t="s">
        <v>498</v>
      </c>
      <c r="F27" s="697">
        <v>0</v>
      </c>
      <c r="G27" s="697">
        <v>0</v>
      </c>
      <c r="H27" s="766">
        <v>0</v>
      </c>
      <c r="I27" s="766">
        <v>0</v>
      </c>
      <c r="J27" s="766">
        <v>0</v>
      </c>
      <c r="K27" s="767">
        <f t="shared" si="0"/>
        <v>0</v>
      </c>
    </row>
    <row r="28" spans="1:11" ht="18" customHeight="1" x14ac:dyDescent="0.4">
      <c r="A28" s="183" t="s">
        <v>82</v>
      </c>
      <c r="B28" s="189" t="s">
        <v>47</v>
      </c>
      <c r="F28" s="697">
        <v>323</v>
      </c>
      <c r="G28" s="697">
        <v>859</v>
      </c>
      <c r="H28" s="766">
        <v>19946</v>
      </c>
      <c r="I28" s="406">
        <v>15703</v>
      </c>
      <c r="J28" s="766">
        <v>0</v>
      </c>
      <c r="K28" s="767">
        <f t="shared" si="0"/>
        <v>35649</v>
      </c>
    </row>
    <row r="29" spans="1:11" ht="18" customHeight="1" x14ac:dyDescent="0.4">
      <c r="A29" s="183" t="s">
        <v>83</v>
      </c>
      <c r="B29" s="189" t="s">
        <v>48</v>
      </c>
      <c r="F29" s="697">
        <v>656</v>
      </c>
      <c r="G29" s="697">
        <v>4616</v>
      </c>
      <c r="H29" s="766">
        <v>372880</v>
      </c>
      <c r="I29" s="406">
        <v>293377</v>
      </c>
      <c r="J29" s="766">
        <v>0</v>
      </c>
      <c r="K29" s="767">
        <f t="shared" si="0"/>
        <v>666257</v>
      </c>
    </row>
    <row r="30" spans="1:11" ht="18" customHeight="1" x14ac:dyDescent="0.4">
      <c r="A30" s="183" t="s">
        <v>84</v>
      </c>
      <c r="B30" s="951"/>
      <c r="C30" s="952"/>
      <c r="D30" s="953"/>
      <c r="F30" s="697"/>
      <c r="G30" s="697"/>
      <c r="H30" s="766"/>
      <c r="I30" s="406"/>
      <c r="J30" s="766"/>
      <c r="K30" s="767">
        <f t="shared" si="0"/>
        <v>0</v>
      </c>
    </row>
    <row r="31" spans="1:11" ht="18" customHeight="1" x14ac:dyDescent="0.4">
      <c r="A31" s="183" t="s">
        <v>133</v>
      </c>
      <c r="B31" s="951"/>
      <c r="C31" s="952"/>
      <c r="D31" s="953"/>
      <c r="F31" s="697"/>
      <c r="G31" s="697"/>
      <c r="H31" s="766"/>
      <c r="I31" s="406"/>
      <c r="J31" s="766"/>
      <c r="K31" s="767">
        <f t="shared" si="0"/>
        <v>0</v>
      </c>
    </row>
    <row r="32" spans="1:11" ht="18" customHeight="1" x14ac:dyDescent="0.4">
      <c r="A32" s="183" t="s">
        <v>134</v>
      </c>
      <c r="B32" s="905"/>
      <c r="C32" s="906"/>
      <c r="D32" s="907"/>
      <c r="F32" s="697"/>
      <c r="G32" s="803" t="s">
        <v>85</v>
      </c>
      <c r="H32" s="766"/>
      <c r="I32" s="406"/>
      <c r="J32" s="766"/>
      <c r="K32" s="767">
        <f t="shared" si="0"/>
        <v>0</v>
      </c>
    </row>
    <row r="33" spans="1:11" ht="18" customHeight="1" x14ac:dyDescent="0.4">
      <c r="A33" s="183" t="s">
        <v>135</v>
      </c>
      <c r="B33" s="905"/>
      <c r="C33" s="906"/>
      <c r="D33" s="907"/>
      <c r="F33" s="697"/>
      <c r="G33" s="803" t="s">
        <v>85</v>
      </c>
      <c r="H33" s="766"/>
      <c r="I33" s="406"/>
      <c r="J33" s="766"/>
      <c r="K33" s="767">
        <f t="shared" si="0"/>
        <v>0</v>
      </c>
    </row>
    <row r="34" spans="1:11" ht="18" customHeight="1" x14ac:dyDescent="0.4">
      <c r="A34" s="183" t="s">
        <v>136</v>
      </c>
      <c r="B34" s="951"/>
      <c r="C34" s="952"/>
      <c r="D34" s="953"/>
      <c r="F34" s="697"/>
      <c r="G34" s="803" t="s">
        <v>85</v>
      </c>
      <c r="H34" s="766"/>
      <c r="I34" s="406"/>
      <c r="J34" s="766"/>
      <c r="K34" s="767">
        <f t="shared" si="0"/>
        <v>0</v>
      </c>
    </row>
    <row r="35" spans="1:11" ht="18" customHeight="1" x14ac:dyDescent="0.35">
      <c r="F35" s="248"/>
      <c r="G35" s="248"/>
      <c r="H35" s="400"/>
      <c r="I35" s="400"/>
      <c r="J35" s="400"/>
      <c r="K35" s="920"/>
    </row>
    <row r="36" spans="1:11" ht="18" customHeight="1" x14ac:dyDescent="0.4">
      <c r="A36" s="120" t="s">
        <v>137</v>
      </c>
      <c r="B36" s="117" t="s">
        <v>138</v>
      </c>
      <c r="E36" s="117" t="s">
        <v>7</v>
      </c>
      <c r="F36" s="633">
        <f t="shared" ref="F36:K36" si="1">SUM(F21:F34)</f>
        <v>5022.3</v>
      </c>
      <c r="G36" s="633">
        <f t="shared" si="1"/>
        <v>9390</v>
      </c>
      <c r="H36" s="767">
        <f t="shared" si="1"/>
        <v>819367</v>
      </c>
      <c r="I36" s="767">
        <f t="shared" si="1"/>
        <v>644774</v>
      </c>
      <c r="J36" s="767">
        <f t="shared" si="1"/>
        <v>3760</v>
      </c>
      <c r="K36" s="767">
        <f t="shared" si="1"/>
        <v>1460381</v>
      </c>
    </row>
    <row r="37" spans="1:11" ht="18" customHeight="1" thickBot="1" x14ac:dyDescent="0.45">
      <c r="B37" s="117"/>
      <c r="F37" s="127"/>
      <c r="G37" s="127"/>
      <c r="H37" s="407"/>
      <c r="I37" s="407"/>
      <c r="J37" s="407"/>
      <c r="K37" s="921"/>
    </row>
    <row r="38" spans="1:11" ht="42.75" customHeight="1" x14ac:dyDescent="0.4">
      <c r="F38" s="122" t="s">
        <v>9</v>
      </c>
      <c r="G38" s="122" t="s">
        <v>37</v>
      </c>
      <c r="H38" s="402" t="s">
        <v>29</v>
      </c>
      <c r="I38" s="402" t="s">
        <v>30</v>
      </c>
      <c r="J38" s="402" t="s">
        <v>33</v>
      </c>
      <c r="K38" s="402" t="s">
        <v>34</v>
      </c>
    </row>
    <row r="39" spans="1:11" ht="18.75" customHeight="1" x14ac:dyDescent="0.4">
      <c r="A39" s="120" t="s">
        <v>86</v>
      </c>
      <c r="B39" s="117" t="s">
        <v>49</v>
      </c>
      <c r="H39" s="400"/>
      <c r="I39" s="400"/>
      <c r="J39" s="400"/>
      <c r="K39" s="400"/>
    </row>
    <row r="40" spans="1:11" ht="18" customHeight="1" x14ac:dyDescent="0.4">
      <c r="A40" s="183" t="s">
        <v>87</v>
      </c>
      <c r="B40" s="189" t="s">
        <v>31</v>
      </c>
      <c r="F40" s="697"/>
      <c r="G40" s="697"/>
      <c r="H40" s="766"/>
      <c r="I40" s="406">
        <v>0</v>
      </c>
      <c r="J40" s="766"/>
      <c r="K40" s="767">
        <f t="shared" ref="K40:K47" si="2">(H40+I40)-J40</f>
        <v>0</v>
      </c>
    </row>
    <row r="41" spans="1:11" ht="18" customHeight="1" x14ac:dyDescent="0.4">
      <c r="A41" s="183" t="s">
        <v>88</v>
      </c>
      <c r="B41" s="956" t="s">
        <v>50</v>
      </c>
      <c r="C41" s="957"/>
      <c r="F41" s="697"/>
      <c r="G41" s="697"/>
      <c r="H41" s="766"/>
      <c r="I41" s="406">
        <v>0</v>
      </c>
      <c r="J41" s="766"/>
      <c r="K41" s="767">
        <f t="shared" si="2"/>
        <v>0</v>
      </c>
    </row>
    <row r="42" spans="1:11" ht="18" customHeight="1" x14ac:dyDescent="0.4">
      <c r="A42" s="183" t="s">
        <v>89</v>
      </c>
      <c r="B42" s="116" t="s">
        <v>11</v>
      </c>
      <c r="F42" s="697">
        <v>10281</v>
      </c>
      <c r="G42" s="697">
        <v>228</v>
      </c>
      <c r="H42" s="766">
        <v>509877</v>
      </c>
      <c r="I42" s="406">
        <v>168259</v>
      </c>
      <c r="J42" s="766">
        <v>0</v>
      </c>
      <c r="K42" s="767">
        <f t="shared" si="2"/>
        <v>678136</v>
      </c>
    </row>
    <row r="43" spans="1:11" ht="18" customHeight="1" x14ac:dyDescent="0.4">
      <c r="A43" s="183" t="s">
        <v>90</v>
      </c>
      <c r="B43" s="141" t="s">
        <v>10</v>
      </c>
      <c r="C43" s="123"/>
      <c r="D43" s="123"/>
      <c r="F43" s="697"/>
      <c r="G43" s="697"/>
      <c r="H43" s="766"/>
      <c r="I43" s="406">
        <v>0</v>
      </c>
      <c r="J43" s="766"/>
      <c r="K43" s="767">
        <f t="shared" si="2"/>
        <v>0</v>
      </c>
    </row>
    <row r="44" spans="1:11" ht="18" customHeight="1" x14ac:dyDescent="0.4">
      <c r="A44" s="183" t="s">
        <v>91</v>
      </c>
      <c r="B44" s="973" t="s">
        <v>825</v>
      </c>
      <c r="C44" s="1061"/>
      <c r="D44" s="1062"/>
      <c r="F44" s="922">
        <v>324</v>
      </c>
      <c r="G44" s="922">
        <v>29</v>
      </c>
      <c r="H44" s="770">
        <v>16916</v>
      </c>
      <c r="I44" s="923">
        <v>5582</v>
      </c>
      <c r="J44" s="770">
        <v>0</v>
      </c>
      <c r="K44" s="924">
        <f t="shared" si="2"/>
        <v>22498</v>
      </c>
    </row>
    <row r="45" spans="1:11" ht="18" customHeight="1" x14ac:dyDescent="0.4">
      <c r="A45" s="183" t="s">
        <v>139</v>
      </c>
      <c r="B45" s="951"/>
      <c r="C45" s="952"/>
      <c r="D45" s="953"/>
      <c r="F45" s="697"/>
      <c r="G45" s="697"/>
      <c r="H45" s="766"/>
      <c r="I45" s="406">
        <v>0</v>
      </c>
      <c r="J45" s="766"/>
      <c r="K45" s="767">
        <f t="shared" si="2"/>
        <v>0</v>
      </c>
    </row>
    <row r="46" spans="1:11" ht="18" customHeight="1" x14ac:dyDescent="0.4">
      <c r="A46" s="183" t="s">
        <v>140</v>
      </c>
      <c r="B46" s="951"/>
      <c r="C46" s="952"/>
      <c r="D46" s="953"/>
      <c r="F46" s="697"/>
      <c r="G46" s="697"/>
      <c r="H46" s="766"/>
      <c r="I46" s="406">
        <v>0</v>
      </c>
      <c r="J46" s="766"/>
      <c r="K46" s="767">
        <f t="shared" si="2"/>
        <v>0</v>
      </c>
    </row>
    <row r="47" spans="1:11" ht="18" customHeight="1" x14ac:dyDescent="0.4">
      <c r="A47" s="183" t="s">
        <v>141</v>
      </c>
      <c r="B47" s="951"/>
      <c r="C47" s="952"/>
      <c r="D47" s="953"/>
      <c r="F47" s="697"/>
      <c r="G47" s="697"/>
      <c r="H47" s="766"/>
      <c r="I47" s="406">
        <v>0</v>
      </c>
      <c r="J47" s="766"/>
      <c r="K47" s="767">
        <f t="shared" si="2"/>
        <v>0</v>
      </c>
    </row>
    <row r="48" spans="1:11" ht="18" customHeight="1" x14ac:dyDescent="0.35">
      <c r="F48" s="248"/>
      <c r="G48" s="248"/>
      <c r="H48" s="400"/>
      <c r="I48" s="400"/>
      <c r="J48" s="400"/>
      <c r="K48" s="400"/>
    </row>
    <row r="49" spans="1:11" ht="18" customHeight="1" x14ac:dyDescent="0.4">
      <c r="A49" s="120" t="s">
        <v>142</v>
      </c>
      <c r="B49" s="117" t="s">
        <v>143</v>
      </c>
      <c r="E49" s="117" t="s">
        <v>7</v>
      </c>
      <c r="F49" s="633">
        <f t="shared" ref="F49:K49" si="3">SUM(F40:F47)</f>
        <v>10605</v>
      </c>
      <c r="G49" s="633">
        <f t="shared" si="3"/>
        <v>257</v>
      </c>
      <c r="H49" s="767">
        <f t="shared" si="3"/>
        <v>526793</v>
      </c>
      <c r="I49" s="767">
        <f t="shared" si="3"/>
        <v>173841</v>
      </c>
      <c r="J49" s="767">
        <f t="shared" si="3"/>
        <v>0</v>
      </c>
      <c r="K49" s="767">
        <f t="shared" si="3"/>
        <v>700634</v>
      </c>
    </row>
    <row r="50" spans="1:11" ht="18" customHeight="1" thickBot="1" x14ac:dyDescent="0.4">
      <c r="F50" s="129"/>
      <c r="G50" s="129"/>
      <c r="H50" s="408"/>
      <c r="I50" s="408"/>
      <c r="J50" s="408"/>
      <c r="K50" s="408"/>
    </row>
    <row r="51" spans="1:11" ht="42.75" customHeight="1" x14ac:dyDescent="0.4">
      <c r="F51" s="122" t="s">
        <v>9</v>
      </c>
      <c r="G51" s="122" t="s">
        <v>37</v>
      </c>
      <c r="H51" s="402" t="s">
        <v>29</v>
      </c>
      <c r="I51" s="402" t="s">
        <v>30</v>
      </c>
      <c r="J51" s="402" t="s">
        <v>33</v>
      </c>
      <c r="K51" s="402" t="s">
        <v>34</v>
      </c>
    </row>
    <row r="52" spans="1:11" ht="18" customHeight="1" x14ac:dyDescent="0.4">
      <c r="A52" s="120" t="s">
        <v>92</v>
      </c>
      <c r="B52" s="976" t="s">
        <v>38</v>
      </c>
      <c r="C52" s="977"/>
      <c r="H52" s="400"/>
      <c r="I52" s="400"/>
      <c r="J52" s="400"/>
      <c r="K52" s="400"/>
    </row>
    <row r="53" spans="1:11" ht="18" customHeight="1" x14ac:dyDescent="0.4">
      <c r="A53" s="183" t="s">
        <v>51</v>
      </c>
      <c r="B53" s="1019" t="s">
        <v>776</v>
      </c>
      <c r="C53" s="979"/>
      <c r="D53" s="975"/>
      <c r="F53" s="697">
        <v>24695</v>
      </c>
      <c r="G53" s="697">
        <v>16159</v>
      </c>
      <c r="H53" s="766">
        <v>2224977.5282699997</v>
      </c>
      <c r="I53" s="406">
        <v>994977</v>
      </c>
      <c r="J53" s="766">
        <v>1785599.6317645502</v>
      </c>
      <c r="K53" s="767">
        <f t="shared" ref="K53:K60" si="4">(H53+I53)-J53</f>
        <v>1434354.8965054494</v>
      </c>
    </row>
    <row r="54" spans="1:11" ht="18" customHeight="1" x14ac:dyDescent="0.4">
      <c r="A54" s="183" t="s">
        <v>93</v>
      </c>
      <c r="B54" s="908" t="s">
        <v>777</v>
      </c>
      <c r="C54" s="909"/>
      <c r="D54" s="910"/>
      <c r="F54" s="697">
        <v>5363</v>
      </c>
      <c r="G54" s="697">
        <v>1571</v>
      </c>
      <c r="H54" s="766">
        <v>429917.14255499991</v>
      </c>
      <c r="I54" s="406">
        <v>192253</v>
      </c>
      <c r="J54" s="766">
        <v>44006.700472834775</v>
      </c>
      <c r="K54" s="767">
        <f t="shared" si="4"/>
        <v>578163.44208216516</v>
      </c>
    </row>
    <row r="55" spans="1:11" ht="18" customHeight="1" x14ac:dyDescent="0.4">
      <c r="A55" s="183" t="s">
        <v>94</v>
      </c>
      <c r="B55" s="980" t="s">
        <v>778</v>
      </c>
      <c r="C55" s="974"/>
      <c r="D55" s="975"/>
      <c r="F55" s="697">
        <v>60900</v>
      </c>
      <c r="G55" s="697">
        <v>25398</v>
      </c>
      <c r="H55" s="766">
        <v>2642883.5411499999</v>
      </c>
      <c r="I55" s="406">
        <v>871882</v>
      </c>
      <c r="J55" s="766">
        <v>2028080.9</v>
      </c>
      <c r="K55" s="767">
        <f>(H55+I55)-J55</f>
        <v>1486684.64115</v>
      </c>
    </row>
    <row r="56" spans="1:11" ht="18" customHeight="1" x14ac:dyDescent="0.4">
      <c r="A56" s="183" t="s">
        <v>95</v>
      </c>
      <c r="B56" s="980" t="s">
        <v>779</v>
      </c>
      <c r="C56" s="974"/>
      <c r="D56" s="975"/>
      <c r="F56" s="697">
        <v>8335</v>
      </c>
      <c r="G56" s="697">
        <v>0</v>
      </c>
      <c r="H56" s="766">
        <v>1659019.9513900001</v>
      </c>
      <c r="I56" s="406">
        <v>890574</v>
      </c>
      <c r="J56" s="766">
        <v>0</v>
      </c>
      <c r="K56" s="767">
        <f t="shared" si="4"/>
        <v>2549593.9513900001</v>
      </c>
    </row>
    <row r="57" spans="1:11" ht="18" customHeight="1" x14ac:dyDescent="0.4">
      <c r="A57" s="183" t="s">
        <v>96</v>
      </c>
      <c r="B57" s="980" t="s">
        <v>780</v>
      </c>
      <c r="C57" s="974"/>
      <c r="D57" s="975"/>
      <c r="F57" s="697">
        <v>0</v>
      </c>
      <c r="G57" s="697">
        <v>0</v>
      </c>
      <c r="H57" s="766">
        <v>1775137</v>
      </c>
      <c r="I57" s="406">
        <v>1293874</v>
      </c>
      <c r="J57" s="766">
        <v>0</v>
      </c>
      <c r="K57" s="767">
        <f t="shared" si="4"/>
        <v>3069011</v>
      </c>
    </row>
    <row r="58" spans="1:11" ht="18" customHeight="1" x14ac:dyDescent="0.4">
      <c r="A58" s="183" t="s">
        <v>97</v>
      </c>
      <c r="B58" s="908" t="s">
        <v>781</v>
      </c>
      <c r="C58" s="909"/>
      <c r="D58" s="910"/>
      <c r="F58" s="697">
        <v>0</v>
      </c>
      <c r="G58" s="697">
        <v>0</v>
      </c>
      <c r="H58" s="766">
        <v>481373</v>
      </c>
      <c r="I58" s="406">
        <v>350867</v>
      </c>
      <c r="J58" s="766">
        <v>0</v>
      </c>
      <c r="K58" s="767">
        <f t="shared" si="4"/>
        <v>832240</v>
      </c>
    </row>
    <row r="59" spans="1:11" ht="18" customHeight="1" x14ac:dyDescent="0.4">
      <c r="A59" s="183" t="s">
        <v>98</v>
      </c>
      <c r="B59" s="980" t="s">
        <v>782</v>
      </c>
      <c r="C59" s="974"/>
      <c r="D59" s="975"/>
      <c r="F59" s="697">
        <v>0</v>
      </c>
      <c r="G59" s="697">
        <v>0</v>
      </c>
      <c r="H59" s="766">
        <v>538571</v>
      </c>
      <c r="I59" s="406">
        <v>240841</v>
      </c>
      <c r="J59" s="766">
        <v>0</v>
      </c>
      <c r="K59" s="767">
        <f t="shared" si="4"/>
        <v>779412</v>
      </c>
    </row>
    <row r="60" spans="1:11" ht="18" customHeight="1" x14ac:dyDescent="0.4">
      <c r="A60" s="183" t="s">
        <v>99</v>
      </c>
      <c r="B60" s="908" t="s">
        <v>783</v>
      </c>
      <c r="C60" s="909"/>
      <c r="D60" s="910"/>
      <c r="F60" s="697">
        <v>0</v>
      </c>
      <c r="G60" s="697">
        <v>0</v>
      </c>
      <c r="H60" s="766">
        <v>982588.28</v>
      </c>
      <c r="I60" s="406">
        <v>439398</v>
      </c>
      <c r="J60" s="766">
        <v>230718.88</v>
      </c>
      <c r="K60" s="767">
        <f t="shared" si="4"/>
        <v>1191267.3999999999</v>
      </c>
    </row>
    <row r="61" spans="1:11" ht="18" customHeight="1" x14ac:dyDescent="0.4">
      <c r="A61" s="183" t="s">
        <v>100</v>
      </c>
      <c r="B61" s="908"/>
      <c r="C61" s="909"/>
      <c r="D61" s="910"/>
      <c r="F61" s="697"/>
      <c r="G61" s="697"/>
      <c r="H61" s="766"/>
      <c r="I61" s="406"/>
      <c r="J61" s="766"/>
      <c r="K61" s="767"/>
    </row>
    <row r="62" spans="1:11" ht="18" customHeight="1" x14ac:dyDescent="0.4">
      <c r="A62" s="183" t="s">
        <v>101</v>
      </c>
      <c r="B62" s="980"/>
      <c r="C62" s="974"/>
      <c r="D62" s="975"/>
      <c r="F62" s="697"/>
      <c r="G62" s="697"/>
      <c r="H62" s="766"/>
      <c r="I62" s="766"/>
      <c r="J62" s="766"/>
      <c r="K62" s="767"/>
    </row>
    <row r="63" spans="1:11" ht="18" customHeight="1" x14ac:dyDescent="0.4">
      <c r="A63" s="183"/>
      <c r="F63" s="248"/>
      <c r="G63" s="248"/>
      <c r="H63" s="400"/>
      <c r="I63" s="925"/>
      <c r="J63" s="400"/>
      <c r="K63" s="288"/>
    </row>
    <row r="64" spans="1:11" ht="18" customHeight="1" x14ac:dyDescent="0.4">
      <c r="A64" s="183" t="s">
        <v>144</v>
      </c>
      <c r="B64" s="117" t="s">
        <v>145</v>
      </c>
      <c r="E64" s="117" t="s">
        <v>7</v>
      </c>
      <c r="F64" s="633">
        <f t="shared" ref="F64:J64" si="5">SUM(F53:F62)</f>
        <v>99293</v>
      </c>
      <c r="G64" s="633">
        <f t="shared" si="5"/>
        <v>43128</v>
      </c>
      <c r="H64" s="767">
        <v>10734468</v>
      </c>
      <c r="I64" s="767">
        <f t="shared" si="5"/>
        <v>5274666</v>
      </c>
      <c r="J64" s="767">
        <f t="shared" si="5"/>
        <v>4088406.1122373845</v>
      </c>
      <c r="K64" s="767">
        <f t="shared" ref="K64" si="6">(H64+I64)-J64</f>
        <v>11920727.887762615</v>
      </c>
    </row>
    <row r="65" spans="1:11" ht="18" customHeight="1" x14ac:dyDescent="0.35">
      <c r="F65" s="142"/>
      <c r="G65" s="142"/>
      <c r="H65" s="409"/>
      <c r="I65" s="409"/>
      <c r="J65" s="409"/>
      <c r="K65" s="409"/>
    </row>
    <row r="66" spans="1:11" ht="42.75" customHeight="1" x14ac:dyDescent="0.4">
      <c r="F66" s="147" t="s">
        <v>9</v>
      </c>
      <c r="G66" s="147" t="s">
        <v>37</v>
      </c>
      <c r="H66" s="259" t="s">
        <v>29</v>
      </c>
      <c r="I66" s="259" t="s">
        <v>30</v>
      </c>
      <c r="J66" s="259" t="s">
        <v>33</v>
      </c>
      <c r="K66" s="259" t="s">
        <v>34</v>
      </c>
    </row>
    <row r="67" spans="1:11" ht="18" customHeight="1" x14ac:dyDescent="0.4">
      <c r="A67" s="120" t="s">
        <v>102</v>
      </c>
      <c r="B67" s="117" t="s">
        <v>12</v>
      </c>
      <c r="F67" s="148"/>
      <c r="G67" s="148"/>
      <c r="H67" s="410"/>
      <c r="I67" s="411"/>
      <c r="J67" s="410"/>
      <c r="K67" s="410"/>
    </row>
    <row r="68" spans="1:11" ht="18" customHeight="1" x14ac:dyDescent="0.4">
      <c r="A68" s="183" t="s">
        <v>103</v>
      </c>
      <c r="B68" s="189" t="s">
        <v>52</v>
      </c>
      <c r="F68" s="697"/>
      <c r="G68" s="697"/>
      <c r="H68" s="766"/>
      <c r="I68" s="406">
        <v>0</v>
      </c>
      <c r="J68" s="766"/>
      <c r="K68" s="767">
        <f>(H68+I68)-J68</f>
        <v>0</v>
      </c>
    </row>
    <row r="69" spans="1:11" ht="18" customHeight="1" x14ac:dyDescent="0.4">
      <c r="A69" s="183" t="s">
        <v>104</v>
      </c>
      <c r="B69" s="116" t="s">
        <v>53</v>
      </c>
      <c r="F69" s="697"/>
      <c r="G69" s="697"/>
      <c r="H69" s="766"/>
      <c r="I69" s="406">
        <v>0</v>
      </c>
      <c r="J69" s="766"/>
      <c r="K69" s="767">
        <f>(H69+I69)-J69</f>
        <v>0</v>
      </c>
    </row>
    <row r="70" spans="1:11" ht="18" customHeight="1" x14ac:dyDescent="0.4">
      <c r="A70" s="183" t="s">
        <v>178</v>
      </c>
      <c r="B70" s="908"/>
      <c r="C70" s="909"/>
      <c r="D70" s="910"/>
      <c r="E70" s="117"/>
      <c r="F70" s="926"/>
      <c r="G70" s="926"/>
      <c r="H70" s="412"/>
      <c r="I70" s="406">
        <v>0</v>
      </c>
      <c r="J70" s="412"/>
      <c r="K70" s="767">
        <f>(H70+I70)-J70</f>
        <v>0</v>
      </c>
    </row>
    <row r="71" spans="1:11" ht="18" customHeight="1" x14ac:dyDescent="0.4">
      <c r="A71" s="183" t="s">
        <v>179</v>
      </c>
      <c r="B71" s="908"/>
      <c r="C71" s="909"/>
      <c r="D71" s="910"/>
      <c r="E71" s="117"/>
      <c r="F71" s="926"/>
      <c r="G71" s="926"/>
      <c r="H71" s="412"/>
      <c r="I71" s="406">
        <v>0</v>
      </c>
      <c r="J71" s="412"/>
      <c r="K71" s="767">
        <f>(H71+I71)-J71</f>
        <v>0</v>
      </c>
    </row>
    <row r="72" spans="1:11" ht="18" customHeight="1" x14ac:dyDescent="0.4">
      <c r="A72" s="183" t="s">
        <v>180</v>
      </c>
      <c r="B72" s="912"/>
      <c r="C72" s="911"/>
      <c r="D72" s="130"/>
      <c r="E72" s="117"/>
      <c r="F72" s="697"/>
      <c r="G72" s="697"/>
      <c r="H72" s="766"/>
      <c r="I72" s="406">
        <v>0</v>
      </c>
      <c r="J72" s="766"/>
      <c r="K72" s="767">
        <f>(H72+I72)-J72</f>
        <v>0</v>
      </c>
    </row>
    <row r="73" spans="1:11" ht="18" customHeight="1" x14ac:dyDescent="0.4">
      <c r="A73" s="183"/>
      <c r="B73" s="116"/>
      <c r="E73" s="117"/>
      <c r="F73" s="927"/>
      <c r="G73" s="927"/>
      <c r="H73" s="413"/>
      <c r="I73" s="411"/>
      <c r="J73" s="413"/>
      <c r="K73" s="410"/>
    </row>
    <row r="74" spans="1:11" ht="18" customHeight="1" x14ac:dyDescent="0.4">
      <c r="A74" s="120" t="s">
        <v>146</v>
      </c>
      <c r="B74" s="117" t="s">
        <v>147</v>
      </c>
      <c r="E74" s="117" t="s">
        <v>7</v>
      </c>
      <c r="F74" s="928">
        <f t="shared" ref="F74:K74" si="7">SUM(F68:F72)</f>
        <v>0</v>
      </c>
      <c r="G74" s="928">
        <f t="shared" si="7"/>
        <v>0</v>
      </c>
      <c r="H74" s="772">
        <f t="shared" si="7"/>
        <v>0</v>
      </c>
      <c r="I74" s="405">
        <f t="shared" si="7"/>
        <v>0</v>
      </c>
      <c r="J74" s="772">
        <f t="shared" si="7"/>
        <v>0</v>
      </c>
      <c r="K74" s="772">
        <f t="shared" si="7"/>
        <v>0</v>
      </c>
    </row>
    <row r="75" spans="1:11" ht="42.75" customHeight="1" x14ac:dyDescent="0.4">
      <c r="F75" s="929" t="s">
        <v>9</v>
      </c>
      <c r="G75" s="929" t="s">
        <v>37</v>
      </c>
      <c r="H75" s="402" t="s">
        <v>29</v>
      </c>
      <c r="I75" s="402" t="s">
        <v>30</v>
      </c>
      <c r="J75" s="402" t="s">
        <v>33</v>
      </c>
      <c r="K75" s="402" t="s">
        <v>34</v>
      </c>
    </row>
    <row r="76" spans="1:11" ht="18" customHeight="1" x14ac:dyDescent="0.4">
      <c r="A76" s="120" t="s">
        <v>105</v>
      </c>
      <c r="B76" s="117" t="s">
        <v>106</v>
      </c>
      <c r="F76" s="248"/>
      <c r="G76" s="248"/>
      <c r="H76" s="400"/>
      <c r="I76" s="400"/>
      <c r="J76" s="400"/>
      <c r="K76" s="400"/>
    </row>
    <row r="77" spans="1:11" ht="18" customHeight="1" x14ac:dyDescent="0.4">
      <c r="A77" s="183" t="s">
        <v>107</v>
      </c>
      <c r="B77" s="116" t="s">
        <v>54</v>
      </c>
      <c r="F77" s="697"/>
      <c r="G77" s="697"/>
      <c r="H77" s="766"/>
      <c r="I77" s="406">
        <v>0</v>
      </c>
      <c r="J77" s="766"/>
      <c r="K77" s="767">
        <f>(H77+I77)-J77</f>
        <v>0</v>
      </c>
    </row>
    <row r="78" spans="1:11" ht="18" customHeight="1" x14ac:dyDescent="0.4">
      <c r="A78" s="183" t="s">
        <v>108</v>
      </c>
      <c r="B78" s="116" t="s">
        <v>55</v>
      </c>
      <c r="F78" s="697"/>
      <c r="G78" s="697"/>
      <c r="H78" s="766"/>
      <c r="I78" s="406">
        <v>0</v>
      </c>
      <c r="J78" s="766"/>
      <c r="K78" s="767">
        <f>(H78+I78)-J78</f>
        <v>0</v>
      </c>
    </row>
    <row r="79" spans="1:11" ht="18" customHeight="1" x14ac:dyDescent="0.4">
      <c r="A79" s="183" t="s">
        <v>109</v>
      </c>
      <c r="B79" s="116" t="s">
        <v>13</v>
      </c>
      <c r="F79" s="697">
        <v>80</v>
      </c>
      <c r="G79" s="697">
        <v>476</v>
      </c>
      <c r="H79" s="766">
        <v>33722</v>
      </c>
      <c r="I79" s="406">
        <v>11128</v>
      </c>
      <c r="J79" s="766">
        <v>0</v>
      </c>
      <c r="K79" s="767">
        <f>(H79+I79)-J79</f>
        <v>44850</v>
      </c>
    </row>
    <row r="80" spans="1:11" ht="18" customHeight="1" x14ac:dyDescent="0.4">
      <c r="A80" s="183" t="s">
        <v>110</v>
      </c>
      <c r="B80" s="116" t="s">
        <v>56</v>
      </c>
      <c r="F80" s="697"/>
      <c r="G80" s="697"/>
      <c r="H80" s="766"/>
      <c r="I80" s="406">
        <v>0</v>
      </c>
      <c r="J80" s="766"/>
      <c r="K80" s="767">
        <f>(H80+I80)-J80</f>
        <v>0</v>
      </c>
    </row>
    <row r="81" spans="1:11" ht="18" customHeight="1" x14ac:dyDescent="0.4">
      <c r="A81" s="183"/>
      <c r="F81" s="248"/>
      <c r="G81" s="248"/>
      <c r="H81" s="400"/>
      <c r="I81" s="400"/>
      <c r="J81" s="400"/>
      <c r="K81" s="930"/>
    </row>
    <row r="82" spans="1:11" ht="18" customHeight="1" x14ac:dyDescent="0.4">
      <c r="A82" s="183" t="s">
        <v>148</v>
      </c>
      <c r="B82" s="117" t="s">
        <v>149</v>
      </c>
      <c r="E82" s="117" t="s">
        <v>7</v>
      </c>
      <c r="F82" s="928">
        <f t="shared" ref="F82:K82" si="8">SUM(F77:F80)</f>
        <v>80</v>
      </c>
      <c r="G82" s="928">
        <f t="shared" si="8"/>
        <v>476</v>
      </c>
      <c r="H82" s="772">
        <f t="shared" si="8"/>
        <v>33722</v>
      </c>
      <c r="I82" s="772">
        <f t="shared" si="8"/>
        <v>11128</v>
      </c>
      <c r="J82" s="772">
        <f t="shared" si="8"/>
        <v>0</v>
      </c>
      <c r="K82" s="772">
        <f t="shared" si="8"/>
        <v>44850</v>
      </c>
    </row>
    <row r="83" spans="1:11" ht="18" customHeight="1" thickBot="1" x14ac:dyDescent="0.45">
      <c r="A83" s="183"/>
      <c r="F83" s="931"/>
      <c r="G83" s="931"/>
      <c r="H83" s="408"/>
      <c r="I83" s="408"/>
      <c r="J83" s="408"/>
      <c r="K83" s="408"/>
    </row>
    <row r="84" spans="1:11" ht="42.75" customHeight="1" x14ac:dyDescent="0.4">
      <c r="F84" s="929" t="s">
        <v>9</v>
      </c>
      <c r="G84" s="929" t="s">
        <v>37</v>
      </c>
      <c r="H84" s="402" t="s">
        <v>29</v>
      </c>
      <c r="I84" s="402" t="s">
        <v>30</v>
      </c>
      <c r="J84" s="402" t="s">
        <v>33</v>
      </c>
      <c r="K84" s="402" t="s">
        <v>34</v>
      </c>
    </row>
    <row r="85" spans="1:11" ht="18" customHeight="1" x14ac:dyDescent="0.4">
      <c r="A85" s="120" t="s">
        <v>111</v>
      </c>
      <c r="B85" s="117" t="s">
        <v>57</v>
      </c>
      <c r="F85" s="248"/>
      <c r="G85" s="248"/>
      <c r="H85" s="400"/>
      <c r="I85" s="400"/>
      <c r="J85" s="400"/>
      <c r="K85" s="400"/>
    </row>
    <row r="86" spans="1:11" ht="18" customHeight="1" x14ac:dyDescent="0.4">
      <c r="A86" s="183" t="s">
        <v>112</v>
      </c>
      <c r="B86" s="116" t="s">
        <v>113</v>
      </c>
      <c r="F86" s="697"/>
      <c r="G86" s="697"/>
      <c r="H86" s="766"/>
      <c r="I86" s="406">
        <f t="shared" ref="I86:I96" si="9">H86*F$114</f>
        <v>0</v>
      </c>
      <c r="J86" s="766"/>
      <c r="K86" s="767">
        <f t="shared" ref="K86:K96" si="10">(H86+I86)-J86</f>
        <v>0</v>
      </c>
    </row>
    <row r="87" spans="1:11" ht="18" customHeight="1" x14ac:dyDescent="0.4">
      <c r="A87" s="183" t="s">
        <v>114</v>
      </c>
      <c r="B87" s="116" t="s">
        <v>14</v>
      </c>
      <c r="F87" s="697"/>
      <c r="G87" s="697"/>
      <c r="H87" s="766"/>
      <c r="I87" s="406">
        <f t="shared" si="9"/>
        <v>0</v>
      </c>
      <c r="J87" s="766"/>
      <c r="K87" s="767">
        <f t="shared" si="10"/>
        <v>0</v>
      </c>
    </row>
    <row r="88" spans="1:11" ht="18" customHeight="1" x14ac:dyDescent="0.4">
      <c r="A88" s="183" t="s">
        <v>115</v>
      </c>
      <c r="B88" s="116" t="s">
        <v>116</v>
      </c>
      <c r="F88" s="697">
        <v>196</v>
      </c>
      <c r="G88" s="697">
        <v>16</v>
      </c>
      <c r="H88" s="766">
        <v>11943</v>
      </c>
      <c r="I88" s="406">
        <v>9400</v>
      </c>
      <c r="J88" s="766">
        <v>0</v>
      </c>
      <c r="K88" s="767">
        <f t="shared" si="10"/>
        <v>21343</v>
      </c>
    </row>
    <row r="89" spans="1:11" ht="18" customHeight="1" x14ac:dyDescent="0.4">
      <c r="A89" s="183" t="s">
        <v>117</v>
      </c>
      <c r="B89" s="116" t="s">
        <v>58</v>
      </c>
      <c r="F89" s="697"/>
      <c r="G89" s="697"/>
      <c r="H89" s="766"/>
      <c r="I89" s="406">
        <f t="shared" si="9"/>
        <v>0</v>
      </c>
      <c r="J89" s="766"/>
      <c r="K89" s="767">
        <f t="shared" si="10"/>
        <v>0</v>
      </c>
    </row>
    <row r="90" spans="1:11" ht="18" customHeight="1" x14ac:dyDescent="0.4">
      <c r="A90" s="183" t="s">
        <v>118</v>
      </c>
      <c r="B90" s="956" t="s">
        <v>59</v>
      </c>
      <c r="C90" s="957"/>
      <c r="F90" s="697">
        <v>29</v>
      </c>
      <c r="G90" s="697"/>
      <c r="H90" s="766">
        <v>13816</v>
      </c>
      <c r="I90" s="406">
        <v>10874</v>
      </c>
      <c r="J90" s="766">
        <v>0</v>
      </c>
      <c r="K90" s="767">
        <f t="shared" si="10"/>
        <v>24690</v>
      </c>
    </row>
    <row r="91" spans="1:11" ht="18" customHeight="1" x14ac:dyDescent="0.4">
      <c r="A91" s="183" t="s">
        <v>119</v>
      </c>
      <c r="B91" s="116" t="s">
        <v>60</v>
      </c>
      <c r="F91" s="697">
        <v>347</v>
      </c>
      <c r="G91" s="697">
        <v>67</v>
      </c>
      <c r="H91" s="766">
        <v>19953</v>
      </c>
      <c r="I91" s="406">
        <v>15700</v>
      </c>
      <c r="J91" s="766">
        <v>0</v>
      </c>
      <c r="K91" s="767">
        <f t="shared" si="10"/>
        <v>35653</v>
      </c>
    </row>
    <row r="92" spans="1:11" ht="18" customHeight="1" x14ac:dyDescent="0.4">
      <c r="A92" s="183" t="s">
        <v>120</v>
      </c>
      <c r="B92" s="116" t="s">
        <v>121</v>
      </c>
      <c r="F92" s="932">
        <v>1232</v>
      </c>
      <c r="G92" s="932">
        <v>710</v>
      </c>
      <c r="H92" s="933">
        <v>55215</v>
      </c>
      <c r="I92" s="406">
        <v>43450</v>
      </c>
      <c r="J92" s="933">
        <v>0</v>
      </c>
      <c r="K92" s="767">
        <f t="shared" si="10"/>
        <v>98665</v>
      </c>
    </row>
    <row r="93" spans="1:11" ht="18" customHeight="1" x14ac:dyDescent="0.4">
      <c r="A93" s="183" t="s">
        <v>122</v>
      </c>
      <c r="B93" s="116" t="s">
        <v>123</v>
      </c>
      <c r="F93" s="697"/>
      <c r="G93" s="697"/>
      <c r="H93" s="766"/>
      <c r="I93" s="406">
        <f t="shared" si="9"/>
        <v>0</v>
      </c>
      <c r="J93" s="766"/>
      <c r="K93" s="767">
        <f t="shared" si="10"/>
        <v>0</v>
      </c>
    </row>
    <row r="94" spans="1:11" ht="18" customHeight="1" x14ac:dyDescent="0.4">
      <c r="A94" s="183" t="s">
        <v>124</v>
      </c>
      <c r="B94" s="980"/>
      <c r="C94" s="974"/>
      <c r="D94" s="975"/>
      <c r="F94" s="697"/>
      <c r="G94" s="697"/>
      <c r="H94" s="766"/>
      <c r="I94" s="406">
        <f t="shared" si="9"/>
        <v>0</v>
      </c>
      <c r="J94" s="766"/>
      <c r="K94" s="767">
        <f t="shared" si="10"/>
        <v>0</v>
      </c>
    </row>
    <row r="95" spans="1:11" ht="18" customHeight="1" x14ac:dyDescent="0.4">
      <c r="A95" s="183" t="s">
        <v>125</v>
      </c>
      <c r="B95" s="980"/>
      <c r="C95" s="974"/>
      <c r="D95" s="975"/>
      <c r="F95" s="697"/>
      <c r="G95" s="697"/>
      <c r="H95" s="766"/>
      <c r="I95" s="406">
        <f t="shared" si="9"/>
        <v>0</v>
      </c>
      <c r="J95" s="766"/>
      <c r="K95" s="767">
        <f t="shared" si="10"/>
        <v>0</v>
      </c>
    </row>
    <row r="96" spans="1:11" ht="18" customHeight="1" x14ac:dyDescent="0.4">
      <c r="A96" s="183" t="s">
        <v>126</v>
      </c>
      <c r="B96" s="980"/>
      <c r="C96" s="974"/>
      <c r="D96" s="975"/>
      <c r="F96" s="697"/>
      <c r="G96" s="697"/>
      <c r="H96" s="766"/>
      <c r="I96" s="406">
        <f t="shared" si="9"/>
        <v>0</v>
      </c>
      <c r="J96" s="766"/>
      <c r="K96" s="767">
        <f t="shared" si="10"/>
        <v>0</v>
      </c>
    </row>
    <row r="97" spans="1:12" ht="18" customHeight="1" x14ac:dyDescent="0.4">
      <c r="A97" s="183"/>
      <c r="B97" s="116"/>
      <c r="F97" s="248"/>
      <c r="G97" s="248"/>
      <c r="H97" s="400"/>
      <c r="I97" s="400"/>
      <c r="J97" s="400"/>
      <c r="K97" s="400"/>
    </row>
    <row r="98" spans="1:12" ht="18" customHeight="1" x14ac:dyDescent="0.4">
      <c r="A98" s="120" t="s">
        <v>150</v>
      </c>
      <c r="B98" s="117" t="s">
        <v>151</v>
      </c>
      <c r="E98" s="117" t="s">
        <v>7</v>
      </c>
      <c r="F98" s="633">
        <f t="shared" ref="F98:K98" si="11">SUM(F86:F96)</f>
        <v>1804</v>
      </c>
      <c r="G98" s="633">
        <f t="shared" si="11"/>
        <v>793</v>
      </c>
      <c r="H98" s="767">
        <f t="shared" si="11"/>
        <v>100927</v>
      </c>
      <c r="I98" s="767">
        <f t="shared" si="11"/>
        <v>79424</v>
      </c>
      <c r="J98" s="767">
        <f t="shared" si="11"/>
        <v>0</v>
      </c>
      <c r="K98" s="767">
        <f t="shared" si="11"/>
        <v>180351</v>
      </c>
    </row>
    <row r="99" spans="1:12" ht="18" customHeight="1" thickBot="1" x14ac:dyDescent="0.45">
      <c r="B99" s="117"/>
      <c r="F99" s="931"/>
      <c r="G99" s="931"/>
      <c r="H99" s="408"/>
      <c r="I99" s="408"/>
      <c r="J99" s="408"/>
      <c r="K99" s="408"/>
    </row>
    <row r="100" spans="1:12" ht="42.75" customHeight="1" x14ac:dyDescent="0.4">
      <c r="F100" s="929" t="s">
        <v>9</v>
      </c>
      <c r="G100" s="929" t="s">
        <v>37</v>
      </c>
      <c r="H100" s="402" t="s">
        <v>29</v>
      </c>
      <c r="I100" s="402" t="s">
        <v>30</v>
      </c>
      <c r="J100" s="402" t="s">
        <v>33</v>
      </c>
      <c r="K100" s="402" t="s">
        <v>34</v>
      </c>
    </row>
    <row r="101" spans="1:12" ht="18" customHeight="1" x14ac:dyDescent="0.4">
      <c r="A101" s="120" t="s">
        <v>130</v>
      </c>
      <c r="B101" s="117" t="s">
        <v>63</v>
      </c>
      <c r="F101" s="248"/>
      <c r="G101" s="248"/>
      <c r="H101" s="400"/>
      <c r="I101" s="400"/>
      <c r="J101" s="400"/>
      <c r="K101" s="400"/>
    </row>
    <row r="102" spans="1:12" ht="18" customHeight="1" x14ac:dyDescent="0.4">
      <c r="A102" s="183" t="s">
        <v>131</v>
      </c>
      <c r="B102" s="116" t="s">
        <v>152</v>
      </c>
      <c r="F102" s="697">
        <v>160</v>
      </c>
      <c r="G102" s="697"/>
      <c r="H102" s="766">
        <v>2107</v>
      </c>
      <c r="I102" s="406">
        <v>1658</v>
      </c>
      <c r="J102" s="766">
        <v>0</v>
      </c>
      <c r="K102" s="767">
        <f>(H102+I102)-J102</f>
        <v>3765</v>
      </c>
    </row>
    <row r="103" spans="1:12" ht="18" customHeight="1" x14ac:dyDescent="0.4">
      <c r="A103" s="183" t="s">
        <v>132</v>
      </c>
      <c r="B103" s="956" t="s">
        <v>62</v>
      </c>
      <c r="C103" s="956"/>
      <c r="F103" s="697">
        <v>12</v>
      </c>
      <c r="G103" s="697"/>
      <c r="H103" s="766">
        <v>17593</v>
      </c>
      <c r="I103" s="406">
        <v>13846</v>
      </c>
      <c r="J103" s="766">
        <v>0</v>
      </c>
      <c r="K103" s="767">
        <f>(H103+I103)-J103</f>
        <v>31439</v>
      </c>
    </row>
    <row r="104" spans="1:12" ht="18" customHeight="1" x14ac:dyDescent="0.4">
      <c r="A104" s="183" t="s">
        <v>128</v>
      </c>
      <c r="B104" s="980"/>
      <c r="C104" s="974"/>
      <c r="D104" s="975"/>
      <c r="F104" s="697"/>
      <c r="G104" s="697"/>
      <c r="H104" s="766"/>
      <c r="I104" s="406">
        <f>H104*F$114</f>
        <v>0</v>
      </c>
      <c r="J104" s="766"/>
      <c r="K104" s="767">
        <f>(H104+I104)-J104</f>
        <v>0</v>
      </c>
    </row>
    <row r="105" spans="1:12" ht="18" customHeight="1" x14ac:dyDescent="0.4">
      <c r="A105" s="183" t="s">
        <v>127</v>
      </c>
      <c r="B105" s="980"/>
      <c r="C105" s="974"/>
      <c r="D105" s="975"/>
      <c r="F105" s="697"/>
      <c r="G105" s="697"/>
      <c r="H105" s="766"/>
      <c r="I105" s="406">
        <f>H105*F$114</f>
        <v>0</v>
      </c>
      <c r="J105" s="766"/>
      <c r="K105" s="767">
        <f>(H105+I105)-J105</f>
        <v>0</v>
      </c>
    </row>
    <row r="106" spans="1:12" ht="18" customHeight="1" x14ac:dyDescent="0.4">
      <c r="A106" s="183" t="s">
        <v>129</v>
      </c>
      <c r="B106" s="980"/>
      <c r="C106" s="974"/>
      <c r="D106" s="975"/>
      <c r="F106" s="697"/>
      <c r="G106" s="697"/>
      <c r="H106" s="766"/>
      <c r="I106" s="406">
        <f>H106*F$114</f>
        <v>0</v>
      </c>
      <c r="J106" s="766"/>
      <c r="K106" s="767">
        <f>(H106+I106)-J106</f>
        <v>0</v>
      </c>
    </row>
    <row r="107" spans="1:12" ht="18" customHeight="1" x14ac:dyDescent="0.4">
      <c r="B107" s="117"/>
      <c r="F107" s="248"/>
      <c r="G107" s="248"/>
      <c r="H107" s="400"/>
      <c r="I107" s="400"/>
      <c r="J107" s="400"/>
      <c r="K107" s="400"/>
    </row>
    <row r="108" spans="1:12" s="123" customFormat="1" ht="18" customHeight="1" x14ac:dyDescent="0.4">
      <c r="A108" s="120" t="s">
        <v>153</v>
      </c>
      <c r="B108" s="153" t="s">
        <v>154</v>
      </c>
      <c r="C108" s="189"/>
      <c r="D108" s="189"/>
      <c r="E108" s="117" t="s">
        <v>7</v>
      </c>
      <c r="F108" s="633">
        <f t="shared" ref="F108:K108" si="12">SUM(F102:F106)</f>
        <v>172</v>
      </c>
      <c r="G108" s="633">
        <f t="shared" si="12"/>
        <v>0</v>
      </c>
      <c r="H108" s="767">
        <f t="shared" si="12"/>
        <v>19700</v>
      </c>
      <c r="I108" s="767">
        <f t="shared" si="12"/>
        <v>15504</v>
      </c>
      <c r="J108" s="767">
        <f t="shared" si="12"/>
        <v>0</v>
      </c>
      <c r="K108" s="767">
        <f t="shared" si="12"/>
        <v>35204</v>
      </c>
      <c r="L108" s="189"/>
    </row>
    <row r="109" spans="1:12" s="123" customFormat="1" ht="18" customHeight="1" thickBot="1" x14ac:dyDescent="0.45">
      <c r="A109" s="124"/>
      <c r="B109" s="125"/>
      <c r="C109" s="126"/>
      <c r="D109" s="126"/>
      <c r="E109" s="126"/>
      <c r="F109" s="129"/>
      <c r="G109" s="129"/>
      <c r="H109" s="408"/>
      <c r="I109" s="408"/>
      <c r="J109" s="408"/>
      <c r="K109" s="408"/>
    </row>
    <row r="110" spans="1:12" s="123" customFormat="1" ht="18" customHeight="1" x14ac:dyDescent="0.4">
      <c r="A110" s="120" t="s">
        <v>156</v>
      </c>
      <c r="B110" s="117" t="s">
        <v>39</v>
      </c>
      <c r="C110" s="189"/>
      <c r="D110" s="189"/>
      <c r="E110" s="189"/>
      <c r="F110" s="189"/>
      <c r="G110" s="189"/>
      <c r="H110" s="400"/>
      <c r="I110" s="400"/>
      <c r="J110" s="400"/>
      <c r="K110" s="400"/>
    </row>
    <row r="111" spans="1:12" ht="18" customHeight="1" x14ac:dyDescent="0.4">
      <c r="A111" s="120" t="s">
        <v>155</v>
      </c>
      <c r="B111" s="117" t="s">
        <v>164</v>
      </c>
      <c r="E111" s="117" t="s">
        <v>7</v>
      </c>
      <c r="F111" s="766">
        <v>4881836</v>
      </c>
      <c r="H111" s="400"/>
      <c r="I111" s="400"/>
      <c r="J111" s="400"/>
      <c r="K111" s="400"/>
    </row>
    <row r="112" spans="1:12" ht="18" customHeight="1" x14ac:dyDescent="0.4">
      <c r="B112" s="117"/>
      <c r="E112" s="117"/>
      <c r="F112" s="184"/>
      <c r="H112" s="400"/>
      <c r="I112" s="400"/>
      <c r="J112" s="400"/>
      <c r="K112" s="400"/>
    </row>
    <row r="113" spans="1:11" ht="18" customHeight="1" x14ac:dyDescent="0.4">
      <c r="A113" s="120"/>
      <c r="B113" s="117" t="s">
        <v>15</v>
      </c>
      <c r="H113" s="400"/>
      <c r="I113" s="400"/>
      <c r="J113" s="400"/>
      <c r="K113" s="400"/>
    </row>
    <row r="114" spans="1:11" ht="18" customHeight="1" x14ac:dyDescent="0.4">
      <c r="A114" s="183" t="s">
        <v>171</v>
      </c>
      <c r="B114" s="116" t="s">
        <v>35</v>
      </c>
      <c r="F114" s="570">
        <v>0.78700000000000003</v>
      </c>
      <c r="H114" s="400"/>
      <c r="I114" s="400"/>
      <c r="J114" s="400"/>
      <c r="K114" s="400"/>
    </row>
    <row r="115" spans="1:11" ht="18" customHeight="1" x14ac:dyDescent="0.4">
      <c r="A115" s="183"/>
      <c r="B115" s="117"/>
      <c r="H115" s="400"/>
      <c r="I115" s="400"/>
      <c r="J115" s="400"/>
      <c r="K115" s="400"/>
    </row>
    <row r="116" spans="1:11" ht="18" customHeight="1" x14ac:dyDescent="0.4">
      <c r="A116" s="183" t="s">
        <v>170</v>
      </c>
      <c r="B116" s="117" t="s">
        <v>16</v>
      </c>
      <c r="H116" s="400"/>
      <c r="I116" s="400"/>
      <c r="J116" s="400"/>
      <c r="K116" s="400"/>
    </row>
    <row r="117" spans="1:11" ht="18" customHeight="1" x14ac:dyDescent="0.4">
      <c r="A117" s="183" t="s">
        <v>172</v>
      </c>
      <c r="B117" s="116" t="s">
        <v>17</v>
      </c>
      <c r="F117" s="766">
        <v>134061597</v>
      </c>
      <c r="H117" s="400"/>
      <c r="I117" s="400"/>
      <c r="J117" s="400"/>
      <c r="K117" s="400"/>
    </row>
    <row r="118" spans="1:11" ht="18" customHeight="1" x14ac:dyDescent="0.4">
      <c r="A118" s="183" t="s">
        <v>173</v>
      </c>
      <c r="B118" s="189" t="s">
        <v>18</v>
      </c>
      <c r="F118" s="766">
        <v>3549990</v>
      </c>
      <c r="H118" s="400"/>
      <c r="I118" s="400"/>
      <c r="J118" s="400"/>
      <c r="K118" s="400"/>
    </row>
    <row r="119" spans="1:11" ht="18" customHeight="1" x14ac:dyDescent="0.4">
      <c r="A119" s="183" t="s">
        <v>174</v>
      </c>
      <c r="B119" s="117" t="s">
        <v>19</v>
      </c>
      <c r="F119" s="772">
        <f>SUM(F117:F118)</f>
        <v>137611587</v>
      </c>
      <c r="H119" s="400"/>
      <c r="I119" s="400"/>
      <c r="J119" s="400"/>
      <c r="K119" s="400"/>
    </row>
    <row r="120" spans="1:11" ht="18" customHeight="1" x14ac:dyDescent="0.4">
      <c r="A120" s="183"/>
      <c r="B120" s="117"/>
      <c r="H120" s="400"/>
      <c r="I120" s="400"/>
      <c r="J120" s="400"/>
      <c r="K120" s="400"/>
    </row>
    <row r="121" spans="1:11" ht="18" customHeight="1" x14ac:dyDescent="0.4">
      <c r="A121" s="183" t="s">
        <v>167</v>
      </c>
      <c r="B121" s="117" t="s">
        <v>36</v>
      </c>
      <c r="F121" s="766">
        <v>135516353</v>
      </c>
      <c r="H121" s="400"/>
      <c r="I121" s="400"/>
      <c r="J121" s="400"/>
      <c r="K121" s="400"/>
    </row>
    <row r="122" spans="1:11" ht="18" customHeight="1" x14ac:dyDescent="0.4">
      <c r="A122" s="183"/>
      <c r="F122" s="400"/>
      <c r="H122" s="400"/>
      <c r="I122" s="400"/>
      <c r="J122" s="400"/>
      <c r="K122" s="400"/>
    </row>
    <row r="123" spans="1:11" ht="18" customHeight="1" x14ac:dyDescent="0.4">
      <c r="A123" s="183" t="s">
        <v>175</v>
      </c>
      <c r="B123" s="117" t="s">
        <v>20</v>
      </c>
      <c r="F123" s="766">
        <f>+F119-F121</f>
        <v>2095234</v>
      </c>
      <c r="H123" s="400"/>
      <c r="I123" s="400"/>
      <c r="J123" s="400"/>
      <c r="K123" s="400"/>
    </row>
    <row r="124" spans="1:11" ht="18" customHeight="1" x14ac:dyDescent="0.4">
      <c r="A124" s="183"/>
      <c r="F124" s="400"/>
      <c r="H124" s="400"/>
      <c r="I124" s="400"/>
      <c r="J124" s="400"/>
      <c r="K124" s="400"/>
    </row>
    <row r="125" spans="1:11" ht="18" customHeight="1" x14ac:dyDescent="0.4">
      <c r="A125" s="183" t="s">
        <v>176</v>
      </c>
      <c r="B125" s="117" t="s">
        <v>21</v>
      </c>
      <c r="F125" s="766">
        <v>-13222914</v>
      </c>
      <c r="H125" s="400"/>
      <c r="I125" s="400"/>
      <c r="J125" s="400"/>
      <c r="K125" s="400"/>
    </row>
    <row r="126" spans="1:11" ht="18" customHeight="1" x14ac:dyDescent="0.4">
      <c r="A126" s="183"/>
      <c r="F126" s="400"/>
      <c r="H126" s="400"/>
      <c r="I126" s="400"/>
      <c r="J126" s="400"/>
      <c r="K126" s="400"/>
    </row>
    <row r="127" spans="1:11" ht="18" customHeight="1" x14ac:dyDescent="0.4">
      <c r="A127" s="183" t="s">
        <v>177</v>
      </c>
      <c r="B127" s="117" t="s">
        <v>22</v>
      </c>
      <c r="F127" s="766">
        <f>+F123+F125</f>
        <v>-11127680</v>
      </c>
      <c r="H127" s="400"/>
      <c r="I127" s="400"/>
      <c r="J127" s="400"/>
      <c r="K127" s="400"/>
    </row>
    <row r="128" spans="1:11" ht="18" customHeight="1" x14ac:dyDescent="0.4">
      <c r="A128" s="183"/>
      <c r="H128" s="400"/>
      <c r="I128" s="400"/>
      <c r="J128" s="400"/>
      <c r="K128" s="400"/>
    </row>
    <row r="129" spans="1:11" ht="42.75" customHeight="1" x14ac:dyDescent="0.4">
      <c r="F129" s="122" t="s">
        <v>9</v>
      </c>
      <c r="G129" s="122" t="s">
        <v>37</v>
      </c>
      <c r="H129" s="402" t="s">
        <v>29</v>
      </c>
      <c r="I129" s="402" t="s">
        <v>30</v>
      </c>
      <c r="J129" s="402" t="s">
        <v>33</v>
      </c>
      <c r="K129" s="402" t="s">
        <v>34</v>
      </c>
    </row>
    <row r="130" spans="1:11" ht="18" customHeight="1" x14ac:dyDescent="0.4">
      <c r="A130" s="120" t="s">
        <v>157</v>
      </c>
      <c r="B130" s="117" t="s">
        <v>23</v>
      </c>
      <c r="H130" s="400"/>
      <c r="I130" s="400"/>
      <c r="J130" s="400"/>
      <c r="K130" s="400"/>
    </row>
    <row r="131" spans="1:11" ht="18" customHeight="1" x14ac:dyDescent="0.4">
      <c r="A131" s="183" t="s">
        <v>158</v>
      </c>
      <c r="B131" s="189" t="s">
        <v>24</v>
      </c>
      <c r="F131" s="555"/>
      <c r="G131" s="555"/>
      <c r="H131" s="766"/>
      <c r="I131" s="406">
        <v>0</v>
      </c>
      <c r="J131" s="766"/>
      <c r="K131" s="767">
        <f>(H131+I131)-J131</f>
        <v>0</v>
      </c>
    </row>
    <row r="132" spans="1:11" ht="18" customHeight="1" x14ac:dyDescent="0.4">
      <c r="A132" s="183" t="s">
        <v>159</v>
      </c>
      <c r="B132" s="189" t="s">
        <v>25</v>
      </c>
      <c r="F132" s="555"/>
      <c r="G132" s="555"/>
      <c r="H132" s="766"/>
      <c r="I132" s="406">
        <v>0</v>
      </c>
      <c r="J132" s="766"/>
      <c r="K132" s="767">
        <f>(H132+I132)-J132</f>
        <v>0</v>
      </c>
    </row>
    <row r="133" spans="1:11" ht="18" customHeight="1" x14ac:dyDescent="0.4">
      <c r="A133" s="183" t="s">
        <v>160</v>
      </c>
      <c r="B133" s="951"/>
      <c r="C133" s="952"/>
      <c r="D133" s="953"/>
      <c r="F133" s="555"/>
      <c r="G133" s="555"/>
      <c r="H133" s="766"/>
      <c r="I133" s="406">
        <v>0</v>
      </c>
      <c r="J133" s="766"/>
      <c r="K133" s="767">
        <f>(H133+I133)-J133</f>
        <v>0</v>
      </c>
    </row>
    <row r="134" spans="1:11" ht="18" customHeight="1" x14ac:dyDescent="0.4">
      <c r="A134" s="183" t="s">
        <v>161</v>
      </c>
      <c r="B134" s="951"/>
      <c r="C134" s="952"/>
      <c r="D134" s="953"/>
      <c r="F134" s="555"/>
      <c r="G134" s="555"/>
      <c r="H134" s="766"/>
      <c r="I134" s="406">
        <v>0</v>
      </c>
      <c r="J134" s="766"/>
      <c r="K134" s="767">
        <f>(H134+I134)-J134</f>
        <v>0</v>
      </c>
    </row>
    <row r="135" spans="1:11" ht="18" customHeight="1" x14ac:dyDescent="0.4">
      <c r="A135" s="183" t="s">
        <v>162</v>
      </c>
      <c r="B135" s="951"/>
      <c r="C135" s="952"/>
      <c r="D135" s="953"/>
      <c r="F135" s="555"/>
      <c r="G135" s="555"/>
      <c r="H135" s="766"/>
      <c r="I135" s="406">
        <v>0</v>
      </c>
      <c r="J135" s="766"/>
      <c r="K135" s="767">
        <f>(H135+I135)-J135</f>
        <v>0</v>
      </c>
    </row>
    <row r="136" spans="1:11" ht="18" customHeight="1" x14ac:dyDescent="0.4">
      <c r="A136" s="120"/>
      <c r="H136" s="400"/>
      <c r="I136" s="400"/>
      <c r="J136" s="400"/>
      <c r="K136" s="400"/>
    </row>
    <row r="137" spans="1:11" ht="18" customHeight="1" x14ac:dyDescent="0.4">
      <c r="A137" s="120" t="s">
        <v>163</v>
      </c>
      <c r="B137" s="117" t="s">
        <v>27</v>
      </c>
      <c r="F137" s="560">
        <f t="shared" ref="F137:K137" si="13">SUM(F131:F135)</f>
        <v>0</v>
      </c>
      <c r="G137" s="560">
        <f t="shared" si="13"/>
        <v>0</v>
      </c>
      <c r="H137" s="767">
        <f t="shared" si="13"/>
        <v>0</v>
      </c>
      <c r="I137" s="767">
        <f t="shared" si="13"/>
        <v>0</v>
      </c>
      <c r="J137" s="767">
        <f t="shared" si="13"/>
        <v>0</v>
      </c>
      <c r="K137" s="767">
        <f t="shared" si="13"/>
        <v>0</v>
      </c>
    </row>
    <row r="138" spans="1:11" ht="18" customHeight="1" x14ac:dyDescent="0.35">
      <c r="A138" s="189"/>
      <c r="H138" s="400"/>
      <c r="I138" s="400"/>
      <c r="J138" s="400"/>
      <c r="K138" s="400"/>
    </row>
    <row r="139" spans="1:11" ht="42.75" customHeight="1" x14ac:dyDescent="0.4">
      <c r="F139" s="122" t="s">
        <v>9</v>
      </c>
      <c r="G139" s="122" t="s">
        <v>37</v>
      </c>
      <c r="H139" s="402" t="s">
        <v>29</v>
      </c>
      <c r="I139" s="402" t="s">
        <v>30</v>
      </c>
      <c r="J139" s="402" t="s">
        <v>33</v>
      </c>
      <c r="K139" s="402" t="s">
        <v>34</v>
      </c>
    </row>
    <row r="140" spans="1:11" ht="18" customHeight="1" x14ac:dyDescent="0.4">
      <c r="A140" s="120" t="s">
        <v>166</v>
      </c>
      <c r="B140" s="117" t="s">
        <v>26</v>
      </c>
      <c r="H140" s="400"/>
      <c r="I140" s="400"/>
      <c r="J140" s="400"/>
      <c r="K140" s="400"/>
    </row>
    <row r="141" spans="1:11" ht="18" customHeight="1" x14ac:dyDescent="0.4">
      <c r="A141" s="183" t="s">
        <v>137</v>
      </c>
      <c r="B141" s="117" t="s">
        <v>64</v>
      </c>
      <c r="F141" s="934">
        <f t="shared" ref="F141:K141" si="14">F36</f>
        <v>5022.3</v>
      </c>
      <c r="G141" s="934">
        <f t="shared" si="14"/>
        <v>9390</v>
      </c>
      <c r="H141" s="416">
        <f t="shared" si="14"/>
        <v>819367</v>
      </c>
      <c r="I141" s="416">
        <f t="shared" si="14"/>
        <v>644774</v>
      </c>
      <c r="J141" s="416">
        <f t="shared" si="14"/>
        <v>3760</v>
      </c>
      <c r="K141" s="416">
        <f t="shared" si="14"/>
        <v>1460381</v>
      </c>
    </row>
    <row r="142" spans="1:11" ht="18" customHeight="1" x14ac:dyDescent="0.4">
      <c r="A142" s="183" t="s">
        <v>142</v>
      </c>
      <c r="B142" s="117" t="s">
        <v>65</v>
      </c>
      <c r="F142" s="934">
        <f t="shared" ref="F142:K142" si="15">F49</f>
        <v>10605</v>
      </c>
      <c r="G142" s="934">
        <f t="shared" si="15"/>
        <v>257</v>
      </c>
      <c r="H142" s="416">
        <f t="shared" si="15"/>
        <v>526793</v>
      </c>
      <c r="I142" s="416">
        <f t="shared" si="15"/>
        <v>173841</v>
      </c>
      <c r="J142" s="416">
        <f t="shared" si="15"/>
        <v>0</v>
      </c>
      <c r="K142" s="416">
        <f t="shared" si="15"/>
        <v>700634</v>
      </c>
    </row>
    <row r="143" spans="1:11" ht="18" customHeight="1" x14ac:dyDescent="0.4">
      <c r="A143" s="183" t="s">
        <v>144</v>
      </c>
      <c r="B143" s="117" t="s">
        <v>66</v>
      </c>
      <c r="F143" s="934">
        <f t="shared" ref="F143:K143" si="16">F64</f>
        <v>99293</v>
      </c>
      <c r="G143" s="934">
        <f t="shared" si="16"/>
        <v>43128</v>
      </c>
      <c r="H143" s="416">
        <f t="shared" si="16"/>
        <v>10734468</v>
      </c>
      <c r="I143" s="416">
        <f t="shared" si="16"/>
        <v>5274666</v>
      </c>
      <c r="J143" s="416">
        <f t="shared" si="16"/>
        <v>4088406.1122373845</v>
      </c>
      <c r="K143" s="416">
        <f t="shared" si="16"/>
        <v>11920727.887762615</v>
      </c>
    </row>
    <row r="144" spans="1:11" ht="18" customHeight="1" x14ac:dyDescent="0.4">
      <c r="A144" s="183" t="s">
        <v>146</v>
      </c>
      <c r="B144" s="117" t="s">
        <v>67</v>
      </c>
      <c r="F144" s="934">
        <f t="shared" ref="F144:K144" si="17">F74</f>
        <v>0</v>
      </c>
      <c r="G144" s="934">
        <f t="shared" si="17"/>
        <v>0</v>
      </c>
      <c r="H144" s="416">
        <f t="shared" si="17"/>
        <v>0</v>
      </c>
      <c r="I144" s="416">
        <f t="shared" si="17"/>
        <v>0</v>
      </c>
      <c r="J144" s="416">
        <f t="shared" si="17"/>
        <v>0</v>
      </c>
      <c r="K144" s="416">
        <f t="shared" si="17"/>
        <v>0</v>
      </c>
    </row>
    <row r="145" spans="1:11" ht="18" customHeight="1" x14ac:dyDescent="0.4">
      <c r="A145" s="183" t="s">
        <v>148</v>
      </c>
      <c r="B145" s="117" t="s">
        <v>68</v>
      </c>
      <c r="F145" s="934">
        <f t="shared" ref="F145:K145" si="18">F82</f>
        <v>80</v>
      </c>
      <c r="G145" s="934">
        <f t="shared" si="18"/>
        <v>476</v>
      </c>
      <c r="H145" s="416">
        <f t="shared" si="18"/>
        <v>33722</v>
      </c>
      <c r="I145" s="416">
        <f t="shared" si="18"/>
        <v>11128</v>
      </c>
      <c r="J145" s="416">
        <f t="shared" si="18"/>
        <v>0</v>
      </c>
      <c r="K145" s="416">
        <f t="shared" si="18"/>
        <v>44850</v>
      </c>
    </row>
    <row r="146" spans="1:11" ht="18" customHeight="1" x14ac:dyDescent="0.4">
      <c r="A146" s="183" t="s">
        <v>150</v>
      </c>
      <c r="B146" s="117" t="s">
        <v>69</v>
      </c>
      <c r="F146" s="934">
        <f t="shared" ref="F146:K146" si="19">F98</f>
        <v>1804</v>
      </c>
      <c r="G146" s="934">
        <f t="shared" si="19"/>
        <v>793</v>
      </c>
      <c r="H146" s="416">
        <f t="shared" si="19"/>
        <v>100927</v>
      </c>
      <c r="I146" s="416">
        <f t="shared" si="19"/>
        <v>79424</v>
      </c>
      <c r="J146" s="416">
        <f t="shared" si="19"/>
        <v>0</v>
      </c>
      <c r="K146" s="416">
        <f t="shared" si="19"/>
        <v>180351</v>
      </c>
    </row>
    <row r="147" spans="1:11" ht="18" customHeight="1" x14ac:dyDescent="0.4">
      <c r="A147" s="183" t="s">
        <v>153</v>
      </c>
      <c r="B147" s="117" t="s">
        <v>61</v>
      </c>
      <c r="F147" s="633">
        <f t="shared" ref="F147:K147" si="20">F108</f>
        <v>172</v>
      </c>
      <c r="G147" s="633">
        <f t="shared" si="20"/>
        <v>0</v>
      </c>
      <c r="H147" s="767">
        <f t="shared" si="20"/>
        <v>19700</v>
      </c>
      <c r="I147" s="767">
        <f t="shared" si="20"/>
        <v>15504</v>
      </c>
      <c r="J147" s="767">
        <f t="shared" si="20"/>
        <v>0</v>
      </c>
      <c r="K147" s="767">
        <f t="shared" si="20"/>
        <v>35204</v>
      </c>
    </row>
    <row r="148" spans="1:11" ht="18" customHeight="1" x14ac:dyDescent="0.4">
      <c r="A148" s="183" t="s">
        <v>155</v>
      </c>
      <c r="B148" s="117" t="s">
        <v>70</v>
      </c>
      <c r="F148" s="935" t="s">
        <v>73</v>
      </c>
      <c r="G148" s="935" t="s">
        <v>73</v>
      </c>
      <c r="H148" s="418" t="s">
        <v>73</v>
      </c>
      <c r="I148" s="418" t="s">
        <v>73</v>
      </c>
      <c r="J148" s="418" t="s">
        <v>73</v>
      </c>
      <c r="K148" s="416">
        <f>F111</f>
        <v>4881836</v>
      </c>
    </row>
    <row r="149" spans="1:11" ht="18" customHeight="1" x14ac:dyDescent="0.4">
      <c r="A149" s="183" t="s">
        <v>163</v>
      </c>
      <c r="B149" s="117" t="s">
        <v>71</v>
      </c>
      <c r="F149" s="633">
        <f t="shared" ref="F149:K149" si="21">F137</f>
        <v>0</v>
      </c>
      <c r="G149" s="633">
        <f t="shared" si="21"/>
        <v>0</v>
      </c>
      <c r="H149" s="767">
        <f t="shared" si="21"/>
        <v>0</v>
      </c>
      <c r="I149" s="767">
        <f t="shared" si="21"/>
        <v>0</v>
      </c>
      <c r="J149" s="767">
        <f t="shared" si="21"/>
        <v>0</v>
      </c>
      <c r="K149" s="767">
        <f t="shared" si="21"/>
        <v>0</v>
      </c>
    </row>
    <row r="150" spans="1:11" ht="18" customHeight="1" x14ac:dyDescent="0.4">
      <c r="A150" s="183" t="s">
        <v>185</v>
      </c>
      <c r="B150" s="117" t="s">
        <v>186</v>
      </c>
      <c r="F150" s="935" t="s">
        <v>73</v>
      </c>
      <c r="G150" s="935" t="s">
        <v>73</v>
      </c>
      <c r="H150" s="767">
        <f>H18</f>
        <v>2934112</v>
      </c>
      <c r="I150" s="767">
        <f>I18</f>
        <v>0</v>
      </c>
      <c r="J150" s="767">
        <f>J18</f>
        <v>2439207</v>
      </c>
      <c r="K150" s="767">
        <f>K18</f>
        <v>494905</v>
      </c>
    </row>
    <row r="151" spans="1:11" ht="18" customHeight="1" x14ac:dyDescent="0.4">
      <c r="B151" s="117"/>
      <c r="F151" s="936"/>
      <c r="G151" s="936"/>
      <c r="H151" s="409"/>
      <c r="I151" s="409"/>
      <c r="J151" s="409"/>
      <c r="K151" s="409"/>
    </row>
    <row r="152" spans="1:11" ht="18" customHeight="1" x14ac:dyDescent="0.4">
      <c r="A152" s="120" t="s">
        <v>165</v>
      </c>
      <c r="B152" s="117" t="s">
        <v>26</v>
      </c>
      <c r="F152" s="633">
        <f t="shared" ref="F152:K152" si="22">SUM(F141:F150)</f>
        <v>116976.3</v>
      </c>
      <c r="G152" s="633">
        <f t="shared" si="22"/>
        <v>54044</v>
      </c>
      <c r="H152" s="767">
        <f t="shared" si="22"/>
        <v>15169089</v>
      </c>
      <c r="I152" s="767">
        <f t="shared" si="22"/>
        <v>6199337</v>
      </c>
      <c r="J152" s="767">
        <f t="shared" si="22"/>
        <v>6531373.1122373845</v>
      </c>
      <c r="K152" s="767">
        <f t="shared" si="22"/>
        <v>19718888.887762614</v>
      </c>
    </row>
    <row r="154" spans="1:11" ht="18" customHeight="1" x14ac:dyDescent="0.4">
      <c r="A154" s="120" t="s">
        <v>168</v>
      </c>
      <c r="B154" s="117" t="s">
        <v>28</v>
      </c>
      <c r="F154" s="571">
        <f>K152/F121</f>
        <v>0.14550929427507994</v>
      </c>
    </row>
    <row r="155" spans="1:11" ht="18" customHeight="1" x14ac:dyDescent="0.4">
      <c r="A155" s="120" t="s">
        <v>169</v>
      </c>
      <c r="B155" s="117" t="s">
        <v>72</v>
      </c>
      <c r="F155" s="571">
        <f>K152/F127</f>
        <v>-1.7720575077430887</v>
      </c>
      <c r="G155" s="117"/>
    </row>
    <row r="156" spans="1:11" ht="18" customHeight="1" x14ac:dyDescent="0.4">
      <c r="G156" s="117"/>
    </row>
  </sheetData>
  <mergeCells count="34">
    <mergeCell ref="B135:D135"/>
    <mergeCell ref="B133:D133"/>
    <mergeCell ref="B104:D104"/>
    <mergeCell ref="B105:D105"/>
    <mergeCell ref="B106:D106"/>
    <mergeCell ref="B134:D134"/>
    <mergeCell ref="C10:G10"/>
    <mergeCell ref="B52:C52"/>
    <mergeCell ref="B90:C90"/>
    <mergeCell ref="B53:D53"/>
    <mergeCell ref="B56:D56"/>
    <mergeCell ref="B57:D57"/>
    <mergeCell ref="B62:D62"/>
    <mergeCell ref="B34:D34"/>
    <mergeCell ref="C11:G11"/>
    <mergeCell ref="B41:C41"/>
    <mergeCell ref="B44:D44"/>
    <mergeCell ref="B13:H13"/>
    <mergeCell ref="B30:D30"/>
    <mergeCell ref="B31:D31"/>
    <mergeCell ref="D2:H2"/>
    <mergeCell ref="C5:G5"/>
    <mergeCell ref="C6:G6"/>
    <mergeCell ref="C7:G7"/>
    <mergeCell ref="C9:G9"/>
    <mergeCell ref="B103:C103"/>
    <mergeCell ref="B96:D96"/>
    <mergeCell ref="B95:D95"/>
    <mergeCell ref="B94:D94"/>
    <mergeCell ref="B45:D45"/>
    <mergeCell ref="B46:D46"/>
    <mergeCell ref="B47:D47"/>
    <mergeCell ref="B55:D55"/>
    <mergeCell ref="B59:D59"/>
  </mergeCells>
  <hyperlinks>
    <hyperlink ref="C11" r:id="rId1"/>
  </hyperlinks>
  <printOptions horizontalCentered="1"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K156"/>
  <sheetViews>
    <sheetView showGridLines="0" topLeftCell="A46" zoomScale="85" zoomScaleNormal="85" zoomScaleSheetLayoutView="80" workbookViewId="0">
      <selection activeCell="A2" sqref="A2"/>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528</v>
      </c>
      <c r="D5" s="962"/>
      <c r="E5" s="962"/>
      <c r="F5" s="962"/>
      <c r="G5" s="963"/>
    </row>
    <row r="6" spans="1:11" ht="18" customHeight="1" x14ac:dyDescent="0.4">
      <c r="B6" s="183" t="s">
        <v>3</v>
      </c>
      <c r="C6" s="964">
        <v>40</v>
      </c>
      <c r="D6" s="965"/>
      <c r="E6" s="965"/>
      <c r="F6" s="965"/>
      <c r="G6" s="966"/>
    </row>
    <row r="7" spans="1:11" ht="18" customHeight="1" x14ac:dyDescent="0.4">
      <c r="B7" s="183" t="s">
        <v>4</v>
      </c>
      <c r="C7" s="1014">
        <v>1690</v>
      </c>
      <c r="D7" s="1015"/>
      <c r="E7" s="1015"/>
      <c r="F7" s="1015"/>
      <c r="G7" s="1016"/>
    </row>
    <row r="9" spans="1:11" ht="18" customHeight="1" x14ac:dyDescent="0.4">
      <c r="B9" s="183" t="s">
        <v>1</v>
      </c>
      <c r="C9" s="961" t="s">
        <v>312</v>
      </c>
      <c r="D9" s="962"/>
      <c r="E9" s="962"/>
      <c r="F9" s="962"/>
      <c r="G9" s="963"/>
    </row>
    <row r="10" spans="1:11" ht="18" customHeight="1" x14ac:dyDescent="0.4">
      <c r="B10" s="183" t="s">
        <v>2</v>
      </c>
      <c r="C10" s="970" t="s">
        <v>313</v>
      </c>
      <c r="D10" s="971"/>
      <c r="E10" s="971"/>
      <c r="F10" s="971"/>
      <c r="G10" s="972"/>
    </row>
    <row r="11" spans="1:11" ht="18" customHeight="1" x14ac:dyDescent="0.4">
      <c r="B11" s="183" t="s">
        <v>32</v>
      </c>
      <c r="C11" s="954" t="s">
        <v>314</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5142797</v>
      </c>
      <c r="I18" s="144">
        <v>0</v>
      </c>
      <c r="J18" s="556">
        <v>4275347</v>
      </c>
      <c r="K18" s="557">
        <f>(H18+I18)-J18</f>
        <v>867450</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1418</v>
      </c>
      <c r="G21" s="555">
        <v>758</v>
      </c>
      <c r="H21" s="556">
        <v>48070</v>
      </c>
      <c r="I21" s="144">
        <f t="shared" ref="I21:I34" si="0">H21*F$114</f>
        <v>36518.779000000002</v>
      </c>
      <c r="J21" s="556">
        <v>43308</v>
      </c>
      <c r="K21" s="557">
        <f t="shared" ref="K21:K34" si="1">(H21+I21)-J21</f>
        <v>41280.77900000001</v>
      </c>
    </row>
    <row r="22" spans="1:11" ht="18" customHeight="1" x14ac:dyDescent="0.4">
      <c r="A22" s="183" t="s">
        <v>76</v>
      </c>
      <c r="B22" s="189" t="s">
        <v>6</v>
      </c>
      <c r="F22" s="555"/>
      <c r="G22" s="555"/>
      <c r="H22" s="556"/>
      <c r="I22" s="144">
        <f>H22*F$114</f>
        <v>0</v>
      </c>
      <c r="J22" s="556"/>
      <c r="K22" s="557">
        <f t="shared" si="1"/>
        <v>0</v>
      </c>
    </row>
    <row r="23" spans="1:11" ht="18" customHeight="1" x14ac:dyDescent="0.4">
      <c r="A23" s="183" t="s">
        <v>77</v>
      </c>
      <c r="B23" s="189" t="s">
        <v>43</v>
      </c>
      <c r="F23" s="555"/>
      <c r="G23" s="555"/>
      <c r="H23" s="556"/>
      <c r="I23" s="144">
        <f t="shared" si="0"/>
        <v>0</v>
      </c>
      <c r="J23" s="556"/>
      <c r="K23" s="557">
        <f t="shared" si="1"/>
        <v>0</v>
      </c>
    </row>
    <row r="24" spans="1:11" ht="18" customHeight="1" x14ac:dyDescent="0.4">
      <c r="A24" s="183" t="s">
        <v>78</v>
      </c>
      <c r="B24" s="189" t="s">
        <v>44</v>
      </c>
      <c r="F24" s="555">
        <v>45</v>
      </c>
      <c r="G24" s="555">
        <v>137</v>
      </c>
      <c r="H24" s="556">
        <v>2572</v>
      </c>
      <c r="I24" s="144">
        <f t="shared" si="0"/>
        <v>1953.9484000000002</v>
      </c>
      <c r="J24" s="556">
        <v>0</v>
      </c>
      <c r="K24" s="557">
        <f t="shared" si="1"/>
        <v>4525.9484000000002</v>
      </c>
    </row>
    <row r="25" spans="1:11" ht="18" customHeight="1" x14ac:dyDescent="0.4">
      <c r="A25" s="183" t="s">
        <v>79</v>
      </c>
      <c r="B25" s="189" t="s">
        <v>5</v>
      </c>
      <c r="F25" s="555"/>
      <c r="G25" s="555"/>
      <c r="H25" s="556"/>
      <c r="I25" s="144">
        <f t="shared" si="0"/>
        <v>0</v>
      </c>
      <c r="J25" s="556"/>
      <c r="K25" s="557">
        <f t="shared" si="1"/>
        <v>0</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c r="G27" s="555"/>
      <c r="H27" s="556"/>
      <c r="I27" s="144">
        <f t="shared" si="0"/>
        <v>0</v>
      </c>
      <c r="J27" s="556"/>
      <c r="K27" s="557">
        <f t="shared" si="1"/>
        <v>0</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5">
        <v>18765</v>
      </c>
      <c r="G29" s="555">
        <v>319</v>
      </c>
      <c r="H29" s="556">
        <v>1358179</v>
      </c>
      <c r="I29" s="144">
        <f t="shared" si="0"/>
        <v>1031808.5863000001</v>
      </c>
      <c r="J29" s="556">
        <v>816020</v>
      </c>
      <c r="K29" s="557">
        <f t="shared" si="1"/>
        <v>1573967.5863000001</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H33*F$114</f>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20228</v>
      </c>
      <c r="G36" s="560">
        <f t="shared" si="2"/>
        <v>1214</v>
      </c>
      <c r="H36" s="560">
        <f t="shared" si="2"/>
        <v>1408821</v>
      </c>
      <c r="I36" s="557">
        <f t="shared" si="2"/>
        <v>1070281.3137000001</v>
      </c>
      <c r="J36" s="557">
        <f t="shared" si="2"/>
        <v>859328</v>
      </c>
      <c r="K36" s="557">
        <f t="shared" si="2"/>
        <v>1619774.3137000001</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c r="G40" s="555"/>
      <c r="H40" s="556"/>
      <c r="I40" s="144">
        <v>0</v>
      </c>
      <c r="J40" s="556"/>
      <c r="K40" s="557">
        <f t="shared" ref="K40:K47" si="3">(H40+I40)-J40</f>
        <v>0</v>
      </c>
    </row>
    <row r="41" spans="1:11" ht="18" customHeight="1" x14ac:dyDescent="0.4">
      <c r="A41" s="183" t="s">
        <v>88</v>
      </c>
      <c r="B41" s="956" t="s">
        <v>50</v>
      </c>
      <c r="C41" s="957"/>
      <c r="F41" s="555">
        <v>545</v>
      </c>
      <c r="G41" s="555"/>
      <c r="H41" s="556">
        <v>25823</v>
      </c>
      <c r="I41" s="144">
        <f t="shared" ref="I41:I42" si="4">H41*F$114</f>
        <v>19617.733100000001</v>
      </c>
      <c r="J41" s="556"/>
      <c r="K41" s="557">
        <f t="shared" si="3"/>
        <v>45440.733099999998</v>
      </c>
    </row>
    <row r="42" spans="1:11" ht="18" customHeight="1" x14ac:dyDescent="0.4">
      <c r="A42" s="183" t="s">
        <v>89</v>
      </c>
      <c r="B42" s="116" t="s">
        <v>11</v>
      </c>
      <c r="F42" s="555">
        <v>17200</v>
      </c>
      <c r="G42" s="555">
        <v>0</v>
      </c>
      <c r="H42" s="556">
        <v>1014599</v>
      </c>
      <c r="I42" s="144">
        <f t="shared" si="4"/>
        <v>770790.86030000006</v>
      </c>
      <c r="J42" s="556"/>
      <c r="K42" s="557">
        <f t="shared" si="3"/>
        <v>1785389.8603000001</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5">SUM(F40:F47)</f>
        <v>17745</v>
      </c>
      <c r="G49" s="563">
        <f t="shared" si="5"/>
        <v>0</v>
      </c>
      <c r="H49" s="557">
        <f t="shared" si="5"/>
        <v>1040422</v>
      </c>
      <c r="I49" s="557">
        <f t="shared" si="5"/>
        <v>790408.59340000001</v>
      </c>
      <c r="J49" s="557">
        <f t="shared" si="5"/>
        <v>0</v>
      </c>
      <c r="K49" s="557">
        <f t="shared" si="5"/>
        <v>1830830.5934000001</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481</v>
      </c>
      <c r="C53" s="979"/>
      <c r="D53" s="975"/>
      <c r="F53" s="555"/>
      <c r="G53" s="555"/>
      <c r="H53" s="556">
        <v>1125000</v>
      </c>
      <c r="I53" s="144">
        <f t="shared" ref="I53:I56" si="6">H53*F$114</f>
        <v>854662.5</v>
      </c>
      <c r="J53" s="556"/>
      <c r="K53" s="557">
        <f t="shared" ref="K53:K62" si="7">(H53+I53)-J53</f>
        <v>1979662.5</v>
      </c>
    </row>
    <row r="54" spans="1:11" ht="18" customHeight="1" x14ac:dyDescent="0.4">
      <c r="A54" s="183" t="s">
        <v>93</v>
      </c>
      <c r="B54" s="503" t="s">
        <v>509</v>
      </c>
      <c r="C54" s="504"/>
      <c r="D54" s="505"/>
      <c r="F54" s="555"/>
      <c r="G54" s="555"/>
      <c r="H54" s="556">
        <v>31250</v>
      </c>
      <c r="I54" s="144">
        <f t="shared" si="6"/>
        <v>23740.625</v>
      </c>
      <c r="J54" s="556"/>
      <c r="K54" s="557">
        <f t="shared" si="7"/>
        <v>54990.625</v>
      </c>
    </row>
    <row r="55" spans="1:11" ht="18" customHeight="1" x14ac:dyDescent="0.4">
      <c r="A55" s="183" t="s">
        <v>94</v>
      </c>
      <c r="B55" s="980" t="s">
        <v>334</v>
      </c>
      <c r="C55" s="974"/>
      <c r="D55" s="975"/>
      <c r="F55" s="555"/>
      <c r="G55" s="555"/>
      <c r="H55" s="556">
        <v>4401754</v>
      </c>
      <c r="I55" s="144">
        <f t="shared" si="6"/>
        <v>3344012.5138000003</v>
      </c>
      <c r="J55" s="556">
        <v>3245642</v>
      </c>
      <c r="K55" s="557">
        <f t="shared" si="7"/>
        <v>4500124.5138000008</v>
      </c>
    </row>
    <row r="56" spans="1:11" ht="18" customHeight="1" x14ac:dyDescent="0.4">
      <c r="A56" s="183" t="s">
        <v>95</v>
      </c>
      <c r="B56" s="980" t="s">
        <v>328</v>
      </c>
      <c r="C56" s="974"/>
      <c r="D56" s="975"/>
      <c r="F56" s="555"/>
      <c r="G56" s="555"/>
      <c r="H56" s="556">
        <v>42644</v>
      </c>
      <c r="I56" s="144">
        <f t="shared" si="6"/>
        <v>32396.646800000002</v>
      </c>
      <c r="J56" s="556"/>
      <c r="K56" s="557">
        <f t="shared" si="7"/>
        <v>75040.646800000002</v>
      </c>
    </row>
    <row r="57" spans="1:11" ht="18" customHeight="1" x14ac:dyDescent="0.4">
      <c r="A57" s="183" t="s">
        <v>96</v>
      </c>
      <c r="B57" s="980"/>
      <c r="C57" s="974"/>
      <c r="D57" s="975"/>
      <c r="F57" s="555"/>
      <c r="G57" s="555"/>
      <c r="H57" s="556"/>
      <c r="I57" s="144">
        <v>0</v>
      </c>
      <c r="J57" s="556"/>
      <c r="K57" s="557">
        <f t="shared" si="7"/>
        <v>0</v>
      </c>
    </row>
    <row r="58" spans="1:11" ht="18" customHeight="1" x14ac:dyDescent="0.4">
      <c r="A58" s="183" t="s">
        <v>97</v>
      </c>
      <c r="B58" s="503"/>
      <c r="C58" s="504"/>
      <c r="D58" s="505"/>
      <c r="F58" s="555"/>
      <c r="G58" s="555"/>
      <c r="H58" s="556"/>
      <c r="I58" s="144">
        <v>0</v>
      </c>
      <c r="J58" s="556"/>
      <c r="K58" s="557">
        <f t="shared" si="7"/>
        <v>0</v>
      </c>
    </row>
    <row r="59" spans="1:11" ht="18" customHeight="1" x14ac:dyDescent="0.4">
      <c r="A59" s="183" t="s">
        <v>98</v>
      </c>
      <c r="B59" s="980"/>
      <c r="C59" s="974"/>
      <c r="D59" s="975"/>
      <c r="F59" s="555"/>
      <c r="G59" s="555"/>
      <c r="H59" s="556"/>
      <c r="I59" s="144">
        <v>0</v>
      </c>
      <c r="J59" s="556"/>
      <c r="K59" s="557">
        <f t="shared" si="7"/>
        <v>0</v>
      </c>
    </row>
    <row r="60" spans="1:11" ht="18" customHeight="1" x14ac:dyDescent="0.4">
      <c r="A60" s="183" t="s">
        <v>99</v>
      </c>
      <c r="B60" s="503"/>
      <c r="C60" s="504"/>
      <c r="D60" s="505"/>
      <c r="F60" s="555"/>
      <c r="G60" s="555"/>
      <c r="H60" s="556"/>
      <c r="I60" s="144">
        <v>0</v>
      </c>
      <c r="J60" s="556"/>
      <c r="K60" s="557">
        <f t="shared" si="7"/>
        <v>0</v>
      </c>
    </row>
    <row r="61" spans="1:11" ht="18" customHeight="1" x14ac:dyDescent="0.4">
      <c r="A61" s="183" t="s">
        <v>100</v>
      </c>
      <c r="B61" s="503"/>
      <c r="C61" s="504"/>
      <c r="D61" s="505"/>
      <c r="F61" s="555"/>
      <c r="G61" s="555"/>
      <c r="H61" s="556"/>
      <c r="I61" s="144">
        <v>0</v>
      </c>
      <c r="J61" s="556"/>
      <c r="K61" s="557">
        <f t="shared" si="7"/>
        <v>0</v>
      </c>
    </row>
    <row r="62" spans="1:11" ht="18" customHeight="1" x14ac:dyDescent="0.4">
      <c r="A62" s="183" t="s">
        <v>101</v>
      </c>
      <c r="B62" s="980"/>
      <c r="C62" s="974"/>
      <c r="D62" s="975"/>
      <c r="F62" s="555"/>
      <c r="G62" s="555"/>
      <c r="H62" s="556"/>
      <c r="I62" s="144">
        <v>0</v>
      </c>
      <c r="J62" s="556"/>
      <c r="K62" s="557">
        <f t="shared" si="7"/>
        <v>0</v>
      </c>
    </row>
    <row r="63" spans="1:11" ht="18" customHeight="1" x14ac:dyDescent="0.4">
      <c r="A63" s="183"/>
      <c r="I63" s="140"/>
    </row>
    <row r="64" spans="1:11" ht="18" customHeight="1" x14ac:dyDescent="0.4">
      <c r="A64" s="183" t="s">
        <v>144</v>
      </c>
      <c r="B64" s="117" t="s">
        <v>145</v>
      </c>
      <c r="E64" s="117" t="s">
        <v>7</v>
      </c>
      <c r="F64" s="560">
        <f t="shared" ref="F64:K64" si="8">SUM(F53:F62)</f>
        <v>0</v>
      </c>
      <c r="G64" s="560">
        <f t="shared" si="8"/>
        <v>0</v>
      </c>
      <c r="H64" s="557">
        <f t="shared" si="8"/>
        <v>5600648</v>
      </c>
      <c r="I64" s="557">
        <f t="shared" si="8"/>
        <v>4254812.285600001</v>
      </c>
      <c r="J64" s="557">
        <f t="shared" si="8"/>
        <v>3245642</v>
      </c>
      <c r="K64" s="557">
        <f t="shared" si="8"/>
        <v>6609818.285600001</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600">
        <v>65100</v>
      </c>
      <c r="I68" s="303">
        <f t="shared" ref="I68:I69" si="9">H68*F$114</f>
        <v>49456.47</v>
      </c>
      <c r="J68" s="600"/>
      <c r="K68" s="632">
        <f>(H68+I68)-J68</f>
        <v>114556.47</v>
      </c>
    </row>
    <row r="69" spans="1:11" ht="18" customHeight="1" x14ac:dyDescent="0.4">
      <c r="A69" s="183" t="s">
        <v>104</v>
      </c>
      <c r="B69" s="116" t="s">
        <v>53</v>
      </c>
      <c r="F69" s="564">
        <v>4111</v>
      </c>
      <c r="G69" s="564"/>
      <c r="H69" s="600">
        <v>139086</v>
      </c>
      <c r="I69" s="303">
        <f t="shared" si="9"/>
        <v>105663.6342</v>
      </c>
      <c r="J69" s="600"/>
      <c r="K69" s="632">
        <f>(H69+I69)-J69</f>
        <v>244749.6342</v>
      </c>
    </row>
    <row r="70" spans="1:11" ht="18" customHeight="1" x14ac:dyDescent="0.4">
      <c r="A70" s="183" t="s">
        <v>178</v>
      </c>
      <c r="B70" s="503"/>
      <c r="C70" s="504"/>
      <c r="D70" s="505"/>
      <c r="E70" s="117"/>
      <c r="F70" s="131"/>
      <c r="G70" s="131"/>
      <c r="H70" s="304"/>
      <c r="I70" s="303">
        <v>0</v>
      </c>
      <c r="J70" s="304"/>
      <c r="K70" s="632">
        <f>(H70+I70)-J70</f>
        <v>0</v>
      </c>
    </row>
    <row r="71" spans="1:11" ht="18" customHeight="1" x14ac:dyDescent="0.4">
      <c r="A71" s="183" t="s">
        <v>179</v>
      </c>
      <c r="B71" s="503"/>
      <c r="C71" s="504"/>
      <c r="D71" s="505"/>
      <c r="E71" s="117"/>
      <c r="F71" s="131"/>
      <c r="G71" s="131"/>
      <c r="H71" s="304"/>
      <c r="I71" s="303">
        <v>0</v>
      </c>
      <c r="J71" s="304"/>
      <c r="K71" s="632">
        <f>(H71+I71)-J71</f>
        <v>0</v>
      </c>
    </row>
    <row r="72" spans="1:11" ht="18" customHeight="1" x14ac:dyDescent="0.4">
      <c r="A72" s="183" t="s">
        <v>180</v>
      </c>
      <c r="B72" s="510"/>
      <c r="C72" s="508"/>
      <c r="D72" s="130"/>
      <c r="E72" s="117"/>
      <c r="F72" s="555"/>
      <c r="G72" s="555"/>
      <c r="H72" s="600"/>
      <c r="I72" s="303">
        <v>0</v>
      </c>
      <c r="J72" s="600"/>
      <c r="K72" s="632">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10">SUM(F68:F72)</f>
        <v>4111</v>
      </c>
      <c r="G74" s="566">
        <f t="shared" si="10"/>
        <v>0</v>
      </c>
      <c r="H74" s="635">
        <f t="shared" si="10"/>
        <v>204186</v>
      </c>
      <c r="I74" s="305">
        <f t="shared" si="10"/>
        <v>155120.1042</v>
      </c>
      <c r="J74" s="635">
        <f t="shared" si="10"/>
        <v>0</v>
      </c>
      <c r="K74" s="635">
        <f t="shared" si="10"/>
        <v>359306.1042</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148880</v>
      </c>
      <c r="I77" s="144">
        <v>0</v>
      </c>
      <c r="J77" s="556"/>
      <c r="K77" s="557">
        <f>(H77+I77)-J77</f>
        <v>148880</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c r="G79" s="555"/>
      <c r="H79" s="556">
        <v>56386</v>
      </c>
      <c r="I79" s="144">
        <v>0</v>
      </c>
      <c r="J79" s="556"/>
      <c r="K79" s="557">
        <f>(H79+I79)-J79</f>
        <v>56386</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11">SUM(F77:F80)</f>
        <v>0</v>
      </c>
      <c r="G82" s="566">
        <f t="shared" si="11"/>
        <v>0</v>
      </c>
      <c r="H82" s="567">
        <f t="shared" si="11"/>
        <v>205266</v>
      </c>
      <c r="I82" s="567">
        <f t="shared" si="11"/>
        <v>0</v>
      </c>
      <c r="J82" s="567">
        <f t="shared" si="11"/>
        <v>0</v>
      </c>
      <c r="K82" s="567">
        <f t="shared" si="11"/>
        <v>205266</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12">H86*F$114</f>
        <v>0</v>
      </c>
      <c r="J86" s="556"/>
      <c r="K86" s="557">
        <f t="shared" ref="K86:K96" si="13">(H86+I86)-J86</f>
        <v>0</v>
      </c>
    </row>
    <row r="87" spans="1:11" ht="18" customHeight="1" x14ac:dyDescent="0.4">
      <c r="A87" s="183" t="s">
        <v>114</v>
      </c>
      <c r="B87" s="116" t="s">
        <v>14</v>
      </c>
      <c r="F87" s="555"/>
      <c r="G87" s="555"/>
      <c r="H87" s="556"/>
      <c r="I87" s="144">
        <f t="shared" si="12"/>
        <v>0</v>
      </c>
      <c r="J87" s="556"/>
      <c r="K87" s="557">
        <f t="shared" si="13"/>
        <v>0</v>
      </c>
    </row>
    <row r="88" spans="1:11" ht="18" customHeight="1" x14ac:dyDescent="0.4">
      <c r="A88" s="183" t="s">
        <v>115</v>
      </c>
      <c r="B88" s="116" t="s">
        <v>116</v>
      </c>
      <c r="F88" s="555"/>
      <c r="G88" s="555"/>
      <c r="H88" s="556">
        <v>7666</v>
      </c>
      <c r="I88" s="144">
        <f t="shared" si="12"/>
        <v>5823.8602000000001</v>
      </c>
      <c r="J88" s="556">
        <v>1188</v>
      </c>
      <c r="K88" s="557">
        <f t="shared" si="13"/>
        <v>12301.860199999999</v>
      </c>
    </row>
    <row r="89" spans="1:11" ht="18" customHeight="1" x14ac:dyDescent="0.4">
      <c r="A89" s="183" t="s">
        <v>117</v>
      </c>
      <c r="B89" s="116" t="s">
        <v>58</v>
      </c>
      <c r="F89" s="555"/>
      <c r="G89" s="555"/>
      <c r="H89" s="556"/>
      <c r="I89" s="144">
        <f t="shared" si="12"/>
        <v>0</v>
      </c>
      <c r="J89" s="556"/>
      <c r="K89" s="557">
        <f t="shared" si="13"/>
        <v>0</v>
      </c>
    </row>
    <row r="90" spans="1:11" ht="18" customHeight="1" x14ac:dyDescent="0.4">
      <c r="A90" s="183" t="s">
        <v>118</v>
      </c>
      <c r="B90" s="956" t="s">
        <v>59</v>
      </c>
      <c r="C90" s="957"/>
      <c r="F90" s="555"/>
      <c r="G90" s="555"/>
      <c r="H90" s="556"/>
      <c r="I90" s="144">
        <f t="shared" si="12"/>
        <v>0</v>
      </c>
      <c r="J90" s="556"/>
      <c r="K90" s="557">
        <f t="shared" si="13"/>
        <v>0</v>
      </c>
    </row>
    <row r="91" spans="1:11" ht="18" customHeight="1" x14ac:dyDescent="0.4">
      <c r="A91" s="183" t="s">
        <v>119</v>
      </c>
      <c r="B91" s="116" t="s">
        <v>60</v>
      </c>
      <c r="F91" s="555"/>
      <c r="G91" s="555"/>
      <c r="H91" s="556"/>
      <c r="I91" s="144">
        <f t="shared" si="12"/>
        <v>0</v>
      </c>
      <c r="J91" s="556"/>
      <c r="K91" s="557">
        <f t="shared" si="13"/>
        <v>0</v>
      </c>
    </row>
    <row r="92" spans="1:11" ht="18" customHeight="1" x14ac:dyDescent="0.4">
      <c r="A92" s="183" t="s">
        <v>120</v>
      </c>
      <c r="B92" s="116" t="s">
        <v>121</v>
      </c>
      <c r="F92" s="134"/>
      <c r="G92" s="134"/>
      <c r="H92" s="135"/>
      <c r="I92" s="144">
        <f t="shared" si="12"/>
        <v>0</v>
      </c>
      <c r="J92" s="135"/>
      <c r="K92" s="557">
        <f t="shared" si="13"/>
        <v>0</v>
      </c>
    </row>
    <row r="93" spans="1:11" ht="18" customHeight="1" x14ac:dyDescent="0.4">
      <c r="A93" s="183" t="s">
        <v>122</v>
      </c>
      <c r="B93" s="116" t="s">
        <v>123</v>
      </c>
      <c r="F93" s="555"/>
      <c r="G93" s="555"/>
      <c r="H93" s="556"/>
      <c r="I93" s="144">
        <f t="shared" si="12"/>
        <v>0</v>
      </c>
      <c r="J93" s="556"/>
      <c r="K93" s="557">
        <f t="shared" si="13"/>
        <v>0</v>
      </c>
    </row>
    <row r="94" spans="1:11" ht="18" customHeight="1" x14ac:dyDescent="0.4">
      <c r="A94" s="183" t="s">
        <v>124</v>
      </c>
      <c r="B94" s="980"/>
      <c r="C94" s="974"/>
      <c r="D94" s="975"/>
      <c r="F94" s="555"/>
      <c r="G94" s="555"/>
      <c r="H94" s="556"/>
      <c r="I94" s="144">
        <f t="shared" si="12"/>
        <v>0</v>
      </c>
      <c r="J94" s="556"/>
      <c r="K94" s="557">
        <f t="shared" si="13"/>
        <v>0</v>
      </c>
    </row>
    <row r="95" spans="1:11" ht="18" customHeight="1" x14ac:dyDescent="0.4">
      <c r="A95" s="183" t="s">
        <v>125</v>
      </c>
      <c r="B95" s="980"/>
      <c r="C95" s="974"/>
      <c r="D95" s="975"/>
      <c r="F95" s="555"/>
      <c r="G95" s="555"/>
      <c r="H95" s="556"/>
      <c r="I95" s="144">
        <f t="shared" si="12"/>
        <v>0</v>
      </c>
      <c r="J95" s="556"/>
      <c r="K95" s="557">
        <f t="shared" si="13"/>
        <v>0</v>
      </c>
    </row>
    <row r="96" spans="1:11" ht="18" customHeight="1" x14ac:dyDescent="0.4">
      <c r="A96" s="183" t="s">
        <v>126</v>
      </c>
      <c r="B96" s="980"/>
      <c r="C96" s="974"/>
      <c r="D96" s="975"/>
      <c r="F96" s="555"/>
      <c r="G96" s="555"/>
      <c r="H96" s="556"/>
      <c r="I96" s="144">
        <f t="shared" si="12"/>
        <v>0</v>
      </c>
      <c r="J96" s="556"/>
      <c r="K96" s="557">
        <f t="shared" si="13"/>
        <v>0</v>
      </c>
    </row>
    <row r="97" spans="1:11" ht="18" customHeight="1" x14ac:dyDescent="0.4">
      <c r="A97" s="183"/>
      <c r="B97" s="116"/>
    </row>
    <row r="98" spans="1:11" ht="18" customHeight="1" x14ac:dyDescent="0.4">
      <c r="A98" s="120" t="s">
        <v>150</v>
      </c>
      <c r="B98" s="117" t="s">
        <v>151</v>
      </c>
      <c r="E98" s="117" t="s">
        <v>7</v>
      </c>
      <c r="F98" s="560">
        <f t="shared" ref="F98:K98" si="14">SUM(F86:F96)</f>
        <v>0</v>
      </c>
      <c r="G98" s="560">
        <f t="shared" si="14"/>
        <v>0</v>
      </c>
      <c r="H98" s="632">
        <f t="shared" si="14"/>
        <v>7666</v>
      </c>
      <c r="I98" s="632">
        <f t="shared" si="14"/>
        <v>5823.8602000000001</v>
      </c>
      <c r="J98" s="632">
        <f t="shared" si="14"/>
        <v>1188</v>
      </c>
      <c r="K98" s="632">
        <f t="shared" si="14"/>
        <v>12301.860199999999</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1048</v>
      </c>
      <c r="G102" s="555"/>
      <c r="H102" s="556">
        <v>96943</v>
      </c>
      <c r="I102" s="144">
        <f>H102*F$114</f>
        <v>73647.597099999999</v>
      </c>
      <c r="J102" s="556"/>
      <c r="K102" s="557">
        <f>(H102+I102)-J102</f>
        <v>170590.59710000001</v>
      </c>
    </row>
    <row r="103" spans="1:11" ht="18" customHeight="1" x14ac:dyDescent="0.4">
      <c r="A103" s="183" t="s">
        <v>132</v>
      </c>
      <c r="B103" s="956" t="s">
        <v>62</v>
      </c>
      <c r="C103" s="956"/>
      <c r="F103" s="555"/>
      <c r="G103" s="555"/>
      <c r="H103" s="556"/>
      <c r="I103" s="144">
        <f>H103*F$114</f>
        <v>0</v>
      </c>
      <c r="J103" s="556"/>
      <c r="K103" s="557">
        <f>(H103+I103)-J103</f>
        <v>0</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J108" si="15">SUM(F102:F106)</f>
        <v>1048</v>
      </c>
      <c r="G108" s="560">
        <f t="shared" si="15"/>
        <v>0</v>
      </c>
      <c r="H108" s="557">
        <f t="shared" si="15"/>
        <v>96943</v>
      </c>
      <c r="I108" s="557">
        <f t="shared" si="15"/>
        <v>73647.597099999999</v>
      </c>
      <c r="J108" s="557">
        <f t="shared" si="15"/>
        <v>0</v>
      </c>
      <c r="K108" s="557">
        <f>SUM(K102:K106)</f>
        <v>170590.59710000001</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1936100</v>
      </c>
      <c r="H111" s="185"/>
      <c r="I111" s="185"/>
      <c r="J111" s="185"/>
    </row>
    <row r="112" spans="1:11" ht="18" customHeight="1" x14ac:dyDescent="0.4">
      <c r="B112" s="117"/>
      <c r="E112" s="117"/>
      <c r="F112" s="184"/>
      <c r="H112" s="185"/>
    </row>
    <row r="113" spans="1:6" ht="18" customHeight="1" x14ac:dyDescent="0.4">
      <c r="A113" s="120"/>
      <c r="B113" s="117" t="s">
        <v>15</v>
      </c>
    </row>
    <row r="114" spans="1:6" ht="18" customHeight="1" x14ac:dyDescent="0.4">
      <c r="A114" s="183" t="s">
        <v>171</v>
      </c>
      <c r="B114" s="116" t="s">
        <v>35</v>
      </c>
      <c r="F114" s="570">
        <v>0.75970000000000004</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260346000</v>
      </c>
    </row>
    <row r="118" spans="1:6" ht="18" customHeight="1" x14ac:dyDescent="0.4">
      <c r="A118" s="183" t="s">
        <v>173</v>
      </c>
      <c r="B118" s="189" t="s">
        <v>18</v>
      </c>
      <c r="F118" s="556">
        <v>4461000</v>
      </c>
    </row>
    <row r="119" spans="1:6" ht="18" customHeight="1" x14ac:dyDescent="0.4">
      <c r="A119" s="183" t="s">
        <v>174</v>
      </c>
      <c r="B119" s="117" t="s">
        <v>19</v>
      </c>
      <c r="F119" s="567">
        <f>SUM(F117:F118)</f>
        <v>264807000</v>
      </c>
    </row>
    <row r="120" spans="1:6" ht="18" customHeight="1" x14ac:dyDescent="0.4">
      <c r="A120" s="183"/>
      <c r="B120" s="117"/>
    </row>
    <row r="121" spans="1:6" ht="18" customHeight="1" x14ac:dyDescent="0.4">
      <c r="A121" s="183" t="s">
        <v>167</v>
      </c>
      <c r="B121" s="117" t="s">
        <v>36</v>
      </c>
      <c r="F121" s="556">
        <v>246006000</v>
      </c>
    </row>
    <row r="122" spans="1:6" ht="18" customHeight="1" x14ac:dyDescent="0.4">
      <c r="A122" s="183"/>
    </row>
    <row r="123" spans="1:6" ht="18" customHeight="1" x14ac:dyDescent="0.4">
      <c r="A123" s="183" t="s">
        <v>175</v>
      </c>
      <c r="B123" s="117" t="s">
        <v>20</v>
      </c>
      <c r="F123" s="556">
        <f>+F119-F121</f>
        <v>18801000</v>
      </c>
    </row>
    <row r="124" spans="1:6" ht="18" customHeight="1" x14ac:dyDescent="0.4">
      <c r="A124" s="183"/>
    </row>
    <row r="125" spans="1:6" ht="18" customHeight="1" x14ac:dyDescent="0.4">
      <c r="A125" s="183" t="s">
        <v>176</v>
      </c>
      <c r="B125" s="117" t="s">
        <v>21</v>
      </c>
      <c r="F125" s="556">
        <v>5254000</v>
      </c>
    </row>
    <row r="126" spans="1:6" ht="18" customHeight="1" x14ac:dyDescent="0.4">
      <c r="A126" s="183"/>
    </row>
    <row r="127" spans="1:6" ht="18" customHeight="1" x14ac:dyDescent="0.4">
      <c r="A127" s="183" t="s">
        <v>177</v>
      </c>
      <c r="B127" s="117" t="s">
        <v>22</v>
      </c>
      <c r="F127" s="556">
        <f>+F123+F125</f>
        <v>24055000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6">SUM(F131:F135)</f>
        <v>0</v>
      </c>
      <c r="G137" s="560">
        <f t="shared" si="16"/>
        <v>0</v>
      </c>
      <c r="H137" s="557">
        <f t="shared" si="16"/>
        <v>0</v>
      </c>
      <c r="I137" s="557">
        <f t="shared" si="16"/>
        <v>0</v>
      </c>
      <c r="J137" s="557">
        <f t="shared" si="16"/>
        <v>0</v>
      </c>
      <c r="K137" s="557">
        <f t="shared" si="16"/>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7">F36</f>
        <v>20228</v>
      </c>
      <c r="G141" s="136">
        <f t="shared" si="17"/>
        <v>1214</v>
      </c>
      <c r="H141" s="136">
        <f t="shared" si="17"/>
        <v>1408821</v>
      </c>
      <c r="I141" s="136">
        <f t="shared" si="17"/>
        <v>1070281.3137000001</v>
      </c>
      <c r="J141" s="136">
        <f t="shared" si="17"/>
        <v>859328</v>
      </c>
      <c r="K141" s="136">
        <f t="shared" si="17"/>
        <v>1619774.3137000001</v>
      </c>
    </row>
    <row r="142" spans="1:11" ht="18" customHeight="1" x14ac:dyDescent="0.4">
      <c r="A142" s="183" t="s">
        <v>142</v>
      </c>
      <c r="B142" s="117" t="s">
        <v>65</v>
      </c>
      <c r="F142" s="136">
        <f t="shared" ref="F142:K142" si="18">F49</f>
        <v>17745</v>
      </c>
      <c r="G142" s="136">
        <f t="shared" si="18"/>
        <v>0</v>
      </c>
      <c r="H142" s="136">
        <f t="shared" si="18"/>
        <v>1040422</v>
      </c>
      <c r="I142" s="136">
        <f t="shared" si="18"/>
        <v>790408.59340000001</v>
      </c>
      <c r="J142" s="136">
        <f t="shared" si="18"/>
        <v>0</v>
      </c>
      <c r="K142" s="136">
        <f t="shared" si="18"/>
        <v>1830830.5934000001</v>
      </c>
    </row>
    <row r="143" spans="1:11" ht="18" customHeight="1" x14ac:dyDescent="0.4">
      <c r="A143" s="183" t="s">
        <v>144</v>
      </c>
      <c r="B143" s="117" t="s">
        <v>66</v>
      </c>
      <c r="F143" s="136">
        <f t="shared" ref="F143:K143" si="19">F64</f>
        <v>0</v>
      </c>
      <c r="G143" s="136">
        <f t="shared" si="19"/>
        <v>0</v>
      </c>
      <c r="H143" s="136">
        <f t="shared" si="19"/>
        <v>5600648</v>
      </c>
      <c r="I143" s="136">
        <f t="shared" si="19"/>
        <v>4254812.285600001</v>
      </c>
      <c r="J143" s="136">
        <f t="shared" si="19"/>
        <v>3245642</v>
      </c>
      <c r="K143" s="136">
        <f t="shared" si="19"/>
        <v>6609818.285600001</v>
      </c>
    </row>
    <row r="144" spans="1:11" ht="18" customHeight="1" x14ac:dyDescent="0.4">
      <c r="A144" s="183" t="s">
        <v>146</v>
      </c>
      <c r="B144" s="117" t="s">
        <v>67</v>
      </c>
      <c r="F144" s="136">
        <f t="shared" ref="F144:K144" si="20">F74</f>
        <v>4111</v>
      </c>
      <c r="G144" s="136">
        <f t="shared" si="20"/>
        <v>0</v>
      </c>
      <c r="H144" s="136">
        <f t="shared" si="20"/>
        <v>204186</v>
      </c>
      <c r="I144" s="136">
        <f t="shared" si="20"/>
        <v>155120.1042</v>
      </c>
      <c r="J144" s="136">
        <f t="shared" si="20"/>
        <v>0</v>
      </c>
      <c r="K144" s="136">
        <f t="shared" si="20"/>
        <v>359306.1042</v>
      </c>
    </row>
    <row r="145" spans="1:11" ht="18" customHeight="1" x14ac:dyDescent="0.4">
      <c r="A145" s="183" t="s">
        <v>148</v>
      </c>
      <c r="B145" s="117" t="s">
        <v>68</v>
      </c>
      <c r="F145" s="136">
        <f t="shared" ref="F145:K145" si="21">F82</f>
        <v>0</v>
      </c>
      <c r="G145" s="136">
        <f t="shared" si="21"/>
        <v>0</v>
      </c>
      <c r="H145" s="136">
        <f t="shared" si="21"/>
        <v>205266</v>
      </c>
      <c r="I145" s="136">
        <f t="shared" si="21"/>
        <v>0</v>
      </c>
      <c r="J145" s="136">
        <f t="shared" si="21"/>
        <v>0</v>
      </c>
      <c r="K145" s="136">
        <f t="shared" si="21"/>
        <v>205266</v>
      </c>
    </row>
    <row r="146" spans="1:11" ht="18" customHeight="1" x14ac:dyDescent="0.4">
      <c r="A146" s="183" t="s">
        <v>150</v>
      </c>
      <c r="B146" s="117" t="s">
        <v>69</v>
      </c>
      <c r="F146" s="136">
        <f t="shared" ref="F146:K146" si="22">F98</f>
        <v>0</v>
      </c>
      <c r="G146" s="136">
        <f t="shared" si="22"/>
        <v>0</v>
      </c>
      <c r="H146" s="136">
        <f t="shared" si="22"/>
        <v>7666</v>
      </c>
      <c r="I146" s="136">
        <f t="shared" si="22"/>
        <v>5823.8602000000001</v>
      </c>
      <c r="J146" s="136">
        <f t="shared" si="22"/>
        <v>1188</v>
      </c>
      <c r="K146" s="136">
        <f t="shared" si="22"/>
        <v>12301.860199999999</v>
      </c>
    </row>
    <row r="147" spans="1:11" ht="18" customHeight="1" x14ac:dyDescent="0.4">
      <c r="A147" s="183" t="s">
        <v>153</v>
      </c>
      <c r="B147" s="117" t="s">
        <v>61</v>
      </c>
      <c r="F147" s="560">
        <f t="shared" ref="F147:K147" si="23">F108</f>
        <v>1048</v>
      </c>
      <c r="G147" s="560">
        <f t="shared" si="23"/>
        <v>0</v>
      </c>
      <c r="H147" s="560">
        <f t="shared" si="23"/>
        <v>96943</v>
      </c>
      <c r="I147" s="560">
        <f t="shared" si="23"/>
        <v>73647.597099999999</v>
      </c>
      <c r="J147" s="560">
        <f t="shared" si="23"/>
        <v>0</v>
      </c>
      <c r="K147" s="560">
        <f t="shared" si="23"/>
        <v>170590.59710000001</v>
      </c>
    </row>
    <row r="148" spans="1:11" ht="18" customHeight="1" x14ac:dyDescent="0.4">
      <c r="A148" s="183" t="s">
        <v>155</v>
      </c>
      <c r="B148" s="117" t="s">
        <v>70</v>
      </c>
      <c r="F148" s="137" t="s">
        <v>73</v>
      </c>
      <c r="G148" s="137" t="s">
        <v>73</v>
      </c>
      <c r="H148" s="138" t="s">
        <v>73</v>
      </c>
      <c r="I148" s="138" t="s">
        <v>73</v>
      </c>
      <c r="J148" s="138" t="s">
        <v>73</v>
      </c>
      <c r="K148" s="133">
        <f>F111</f>
        <v>1936100</v>
      </c>
    </row>
    <row r="149" spans="1:11" ht="18" customHeight="1" x14ac:dyDescent="0.4">
      <c r="A149" s="183" t="s">
        <v>163</v>
      </c>
      <c r="B149" s="117" t="s">
        <v>71</v>
      </c>
      <c r="F149" s="560">
        <f t="shared" ref="F149:K149" si="24">F137</f>
        <v>0</v>
      </c>
      <c r="G149" s="560">
        <f t="shared" si="24"/>
        <v>0</v>
      </c>
      <c r="H149" s="560">
        <f t="shared" si="24"/>
        <v>0</v>
      </c>
      <c r="I149" s="560">
        <f t="shared" si="24"/>
        <v>0</v>
      </c>
      <c r="J149" s="560">
        <f t="shared" si="24"/>
        <v>0</v>
      </c>
      <c r="K149" s="560">
        <f t="shared" si="24"/>
        <v>0</v>
      </c>
    </row>
    <row r="150" spans="1:11" ht="18" customHeight="1" x14ac:dyDescent="0.4">
      <c r="A150" s="183" t="s">
        <v>185</v>
      </c>
      <c r="B150" s="117" t="s">
        <v>186</v>
      </c>
      <c r="F150" s="137" t="s">
        <v>73</v>
      </c>
      <c r="G150" s="137" t="s">
        <v>73</v>
      </c>
      <c r="H150" s="560">
        <f>H18</f>
        <v>5142797</v>
      </c>
      <c r="I150" s="560">
        <f>I18</f>
        <v>0</v>
      </c>
      <c r="J150" s="560">
        <f>J18</f>
        <v>4275347</v>
      </c>
      <c r="K150" s="560">
        <f>K18</f>
        <v>867450</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5">SUM(F141:F150)</f>
        <v>43132</v>
      </c>
      <c r="G152" s="143">
        <f t="shared" si="25"/>
        <v>1214</v>
      </c>
      <c r="H152" s="143">
        <f t="shared" si="25"/>
        <v>13706749</v>
      </c>
      <c r="I152" s="143">
        <f t="shared" si="25"/>
        <v>6350093.7542000003</v>
      </c>
      <c r="J152" s="143">
        <f t="shared" si="25"/>
        <v>8381505</v>
      </c>
      <c r="K152" s="143">
        <f t="shared" si="25"/>
        <v>13611437.754200004</v>
      </c>
    </row>
    <row r="154" spans="1:11" ht="18" customHeight="1" x14ac:dyDescent="0.4">
      <c r="A154" s="120" t="s">
        <v>168</v>
      </c>
      <c r="B154" s="117" t="s">
        <v>28</v>
      </c>
      <c r="F154" s="571">
        <f>K152/F121</f>
        <v>5.532969827646482E-2</v>
      </c>
    </row>
    <row r="155" spans="1:11" ht="18" customHeight="1" x14ac:dyDescent="0.4">
      <c r="A155" s="120" t="s">
        <v>169</v>
      </c>
      <c r="B155" s="117" t="s">
        <v>72</v>
      </c>
      <c r="F155" s="571">
        <f>K152/F127</f>
        <v>0.56584650817709436</v>
      </c>
      <c r="G155" s="117"/>
    </row>
    <row r="156" spans="1:11" ht="18" customHeight="1" x14ac:dyDescent="0.4">
      <c r="G156" s="117"/>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59999389629810485"/>
  </sheetPr>
  <dimension ref="A1:I16"/>
  <sheetViews>
    <sheetView showGridLines="0" showRuler="0" topLeftCell="A3" zoomScaleNormal="100" workbookViewId="0">
      <selection activeCell="B15" sqref="B15"/>
    </sheetView>
  </sheetViews>
  <sheetFormatPr defaultColWidth="9.265625" defaultRowHeight="14.25" x14ac:dyDescent="0.45"/>
  <cols>
    <col min="1" max="1" width="15.73046875" style="2" bestFit="1" customWidth="1"/>
    <col min="2" max="2" width="12" style="2" bestFit="1" customWidth="1"/>
    <col min="3" max="3" width="12.1328125" style="2" bestFit="1" customWidth="1"/>
    <col min="4" max="4" width="17.86328125" style="2" bestFit="1" customWidth="1"/>
    <col min="5" max="5" width="12.3984375" style="2" customWidth="1"/>
    <col min="6" max="6" width="16.1328125" style="2" bestFit="1" customWidth="1"/>
    <col min="7" max="7" width="13" style="2" customWidth="1"/>
    <col min="8" max="8" width="9.265625" style="2"/>
    <col min="9" max="9" width="14.59765625" style="2" bestFit="1" customWidth="1"/>
    <col min="10" max="16384" width="9.265625" style="2"/>
  </cols>
  <sheetData>
    <row r="1" spans="1:9" ht="18" customHeight="1" x14ac:dyDescent="0.45">
      <c r="A1" s="5"/>
      <c r="B1" s="938" t="s">
        <v>823</v>
      </c>
      <c r="C1" s="938"/>
      <c r="D1" s="938"/>
      <c r="E1" s="938"/>
      <c r="F1" s="938"/>
      <c r="G1" s="230"/>
    </row>
    <row r="2" spans="1:9" ht="75" customHeight="1" x14ac:dyDescent="0.45">
      <c r="A2" s="266" t="s">
        <v>201</v>
      </c>
      <c r="B2" s="266" t="s">
        <v>202</v>
      </c>
      <c r="C2" s="266" t="s">
        <v>203</v>
      </c>
      <c r="D2" s="266" t="s">
        <v>204</v>
      </c>
      <c r="E2" s="266" t="s">
        <v>205</v>
      </c>
      <c r="F2" s="266" t="s">
        <v>206</v>
      </c>
      <c r="G2" s="266" t="s">
        <v>207</v>
      </c>
    </row>
    <row r="3" spans="1:9" ht="28.5" x14ac:dyDescent="0.45">
      <c r="A3" s="268" t="s">
        <v>208</v>
      </c>
      <c r="B3" s="270">
        <f>'Attachment III-All'!G6</f>
        <v>0</v>
      </c>
      <c r="C3" s="270">
        <f>'Attachment III-All'!H118</f>
        <v>0</v>
      </c>
      <c r="D3" s="271">
        <f>'Attachment III-All'!L118</f>
        <v>56150070.525923252</v>
      </c>
      <c r="E3" s="272">
        <f>D3/D13</f>
        <v>2.9772789812886793E-2</v>
      </c>
      <c r="F3" s="273">
        <f>D3</f>
        <v>56150070.525923252</v>
      </c>
      <c r="G3" s="272">
        <f>F3/F13</f>
        <v>4.542793670194601E-2</v>
      </c>
    </row>
    <row r="4" spans="1:9" ht="28.5" x14ac:dyDescent="0.45">
      <c r="A4" s="268" t="s">
        <v>64</v>
      </c>
      <c r="B4" s="270">
        <f>'Attachment III-All'!G109</f>
        <v>1183101.9984865715</v>
      </c>
      <c r="C4" s="270">
        <f>'Attachment III-All'!H109</f>
        <v>5243237.5130636785</v>
      </c>
      <c r="D4" s="271">
        <f>'Attachment III-All'!L109</f>
        <v>130955559.4132086</v>
      </c>
      <c r="E4" s="272">
        <f>D4/D13</f>
        <v>6.9437354374086255E-2</v>
      </c>
      <c r="F4" s="273">
        <f>D4</f>
        <v>130955559.4132086</v>
      </c>
      <c r="G4" s="272">
        <f>F4/F13</f>
        <v>0.10594894731333648</v>
      </c>
    </row>
    <row r="5" spans="1:9" ht="28.5" x14ac:dyDescent="0.45">
      <c r="A5" s="268" t="s">
        <v>209</v>
      </c>
      <c r="B5" s="270">
        <f>'Attachment III-All'!G110</f>
        <v>5070205.4890561784</v>
      </c>
      <c r="C5" s="270">
        <f>'Attachment III-All'!H110</f>
        <v>218943.03999992856</v>
      </c>
      <c r="D5" s="271">
        <f>'Attachment III-All'!L110</f>
        <v>593043187.94087851</v>
      </c>
      <c r="E5" s="272">
        <f>D5/D13</f>
        <v>0.31445285854763894</v>
      </c>
      <c r="F5" s="274">
        <f>D5-'DME_NSPI-all'!E53</f>
        <v>223436234.28352112</v>
      </c>
      <c r="G5" s="272">
        <f>F5/F13</f>
        <v>0.18076997967913203</v>
      </c>
    </row>
    <row r="6" spans="1:9" ht="36" customHeight="1" x14ac:dyDescent="0.45">
      <c r="A6" s="268" t="s">
        <v>210</v>
      </c>
      <c r="B6" s="270">
        <f>'Attachment III-All'!G111</f>
        <v>4504891.7108021649</v>
      </c>
      <c r="C6" s="270">
        <f>'Attachment III-All'!H111</f>
        <v>1725501.6899999997</v>
      </c>
      <c r="D6" s="271">
        <f>'Attachment III-All'!L111</f>
        <v>694383923.19102335</v>
      </c>
      <c r="E6" s="272">
        <f>D6/D13</f>
        <v>0.3681873664801445</v>
      </c>
      <c r="F6" s="274">
        <f t="shared" ref="F6:F11" si="0">D6</f>
        <v>694383923.19102335</v>
      </c>
      <c r="G6" s="272">
        <f>F6/F13</f>
        <v>0.56178787691829135</v>
      </c>
    </row>
    <row r="7" spans="1:9" x14ac:dyDescent="0.45">
      <c r="A7" s="268" t="s">
        <v>67</v>
      </c>
      <c r="B7" s="270">
        <f>'Attachment III-All'!G112</f>
        <v>154382.08500000002</v>
      </c>
      <c r="C7" s="270">
        <f>'Attachment III-All'!H112</f>
        <v>6797</v>
      </c>
      <c r="D7" s="271">
        <f>'Attachment III-All'!L112</f>
        <v>13862884.954625685</v>
      </c>
      <c r="E7" s="272">
        <f>D7/D13</f>
        <v>7.3506009180121989E-3</v>
      </c>
      <c r="F7" s="274">
        <f t="shared" si="0"/>
        <v>13862884.954625685</v>
      </c>
      <c r="G7" s="272">
        <f>F7/F13</f>
        <v>1.1215698472441775E-2</v>
      </c>
    </row>
    <row r="8" spans="1:9" ht="28.5" x14ac:dyDescent="0.45">
      <c r="A8" s="268" t="s">
        <v>68</v>
      </c>
      <c r="B8" s="270">
        <f>'Attachment III-All'!G113</f>
        <v>39672.148874479964</v>
      </c>
      <c r="C8" s="270">
        <f>'Attachment III-All'!H113</f>
        <v>145592.99574341709</v>
      </c>
      <c r="D8" s="271">
        <f>'Attachment III-All'!L113</f>
        <v>17382088.927711651</v>
      </c>
      <c r="E8" s="272">
        <f>D8/D13</f>
        <v>9.2166096196574007E-3</v>
      </c>
      <c r="F8" s="274">
        <f t="shared" si="0"/>
        <v>17382088.927711651</v>
      </c>
      <c r="G8" s="272">
        <f>F8/F13</f>
        <v>1.4062893032184626E-2</v>
      </c>
    </row>
    <row r="9" spans="1:9" ht="36" customHeight="1" x14ac:dyDescent="0.45">
      <c r="A9" s="268" t="s">
        <v>25</v>
      </c>
      <c r="B9" s="270">
        <f>'Attachment III-All'!G114</f>
        <v>316287.40388575266</v>
      </c>
      <c r="C9" s="270">
        <f>'Attachment III-All'!H114</f>
        <v>1485222.0857016328</v>
      </c>
      <c r="D9" s="271">
        <f>'Attachment III-All'!L114</f>
        <v>35081192.581823379</v>
      </c>
      <c r="E9" s="272">
        <f>D9/D13</f>
        <v>1.8601311865526944E-2</v>
      </c>
      <c r="F9" s="274">
        <f t="shared" si="0"/>
        <v>35081192.581823379</v>
      </c>
      <c r="G9" s="272">
        <f>F9/F13</f>
        <v>2.8382265260024738E-2</v>
      </c>
    </row>
    <row r="10" spans="1:9" ht="28.5" x14ac:dyDescent="0.45">
      <c r="A10" s="268" t="s">
        <v>61</v>
      </c>
      <c r="B10" s="270">
        <f>'Attachment III-All'!G115</f>
        <v>110988.07002425773</v>
      </c>
      <c r="C10" s="270">
        <f>'Attachment III-All'!H115</f>
        <v>127267</v>
      </c>
      <c r="D10" s="271">
        <f>'Attachment III-All'!L115</f>
        <v>14157913.988106702</v>
      </c>
      <c r="E10" s="272">
        <f>D10/D13</f>
        <v>7.5070359379553024E-3</v>
      </c>
      <c r="F10" s="274">
        <f t="shared" si="0"/>
        <v>14157913.988106702</v>
      </c>
      <c r="G10" s="272">
        <f>F10/F13</f>
        <v>1.1454390252036678E-2</v>
      </c>
    </row>
    <row r="11" spans="1:9" x14ac:dyDescent="0.45">
      <c r="A11" s="268" t="s">
        <v>211</v>
      </c>
      <c r="B11" s="270">
        <f>'Attachment III-All'!G117</f>
        <v>85079.5</v>
      </c>
      <c r="C11" s="270">
        <f>'Attachment III-All'!H117</f>
        <v>38395</v>
      </c>
      <c r="D11" s="271">
        <f>'Attachment III-All'!L117</f>
        <v>5526523.3048999999</v>
      </c>
      <c r="E11" s="272">
        <f>D11/D13</f>
        <v>2.9303617112438648E-3</v>
      </c>
      <c r="F11" s="274">
        <f t="shared" si="0"/>
        <v>5526523.3048999999</v>
      </c>
      <c r="G11" s="272">
        <f>F11/F13</f>
        <v>4.4712063319834738E-3</v>
      </c>
    </row>
    <row r="12" spans="1:9" x14ac:dyDescent="0.45">
      <c r="A12" s="268" t="s">
        <v>447</v>
      </c>
      <c r="B12" s="270">
        <f>'Attachment III-All'!G116</f>
        <v>0</v>
      </c>
      <c r="C12" s="270">
        <f>'Attachment III-All'!H116</f>
        <v>0</v>
      </c>
      <c r="D12" s="271">
        <f>'Attachment III-All'!L116</f>
        <v>325409260.85000002</v>
      </c>
      <c r="E12" s="272">
        <f>D12/D13</f>
        <v>0.17254371073284774</v>
      </c>
      <c r="F12" s="274">
        <f>D12-'Rate Support-Attachment I'!E53</f>
        <v>45088720.300220191</v>
      </c>
      <c r="G12" s="272">
        <f>F12/F13</f>
        <v>3.6478806038622906E-2</v>
      </c>
    </row>
    <row r="13" spans="1:9" x14ac:dyDescent="0.45">
      <c r="A13" s="267" t="s">
        <v>195</v>
      </c>
      <c r="B13" s="275">
        <f>SUM(B3:B12)</f>
        <v>11464608.406129407</v>
      </c>
      <c r="C13" s="275">
        <f t="shared" ref="C13:G13" si="1">SUM(C3:C12)</f>
        <v>8990956.3245086558</v>
      </c>
      <c r="D13" s="276">
        <f t="shared" si="1"/>
        <v>1885952605.6782012</v>
      </c>
      <c r="E13" s="277">
        <f t="shared" si="1"/>
        <v>1</v>
      </c>
      <c r="F13" s="278">
        <f t="shared" si="1"/>
        <v>1236025111.4710639</v>
      </c>
      <c r="G13" s="277">
        <f t="shared" si="1"/>
        <v>1</v>
      </c>
    </row>
    <row r="14" spans="1:9" x14ac:dyDescent="0.45">
      <c r="E14" s="96"/>
    </row>
    <row r="15" spans="1:9" x14ac:dyDescent="0.45">
      <c r="F15" s="249"/>
    </row>
    <row r="16" spans="1:9" x14ac:dyDescent="0.45">
      <c r="F16" s="264"/>
      <c r="I16" s="6"/>
    </row>
  </sheetData>
  <mergeCells count="1">
    <mergeCell ref="B1:F1"/>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K156"/>
  <sheetViews>
    <sheetView showGridLines="0" topLeftCell="A49" zoomScale="85" zoomScaleNormal="85" zoomScaleSheetLayoutView="5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1017" t="s">
        <v>784</v>
      </c>
      <c r="D5" s="962"/>
      <c r="E5" s="962"/>
      <c r="F5" s="962"/>
      <c r="G5" s="963"/>
    </row>
    <row r="6" spans="1:11" ht="18" customHeight="1" x14ac:dyDescent="0.4">
      <c r="B6" s="183" t="s">
        <v>3</v>
      </c>
      <c r="C6" s="964">
        <v>21043</v>
      </c>
      <c r="D6" s="965"/>
      <c r="E6" s="965"/>
      <c r="F6" s="965"/>
      <c r="G6" s="966"/>
    </row>
    <row r="7" spans="1:11" ht="18" customHeight="1" x14ac:dyDescent="0.4">
      <c r="B7" s="183" t="s">
        <v>4</v>
      </c>
      <c r="C7" s="1014">
        <v>3200</v>
      </c>
      <c r="D7" s="1015"/>
      <c r="E7" s="1015"/>
      <c r="F7" s="1015"/>
      <c r="G7" s="1016"/>
    </row>
    <row r="9" spans="1:11" ht="18" customHeight="1" x14ac:dyDescent="0.4">
      <c r="B9" s="183" t="s">
        <v>1</v>
      </c>
      <c r="C9" s="1017" t="s">
        <v>785</v>
      </c>
      <c r="D9" s="962"/>
      <c r="E9" s="962"/>
      <c r="F9" s="962"/>
      <c r="G9" s="963"/>
    </row>
    <row r="10" spans="1:11" ht="18" customHeight="1" x14ac:dyDescent="0.4">
      <c r="B10" s="183" t="s">
        <v>2</v>
      </c>
      <c r="C10" s="1018" t="s">
        <v>529</v>
      </c>
      <c r="D10" s="971"/>
      <c r="E10" s="971"/>
      <c r="F10" s="971"/>
      <c r="G10" s="972"/>
    </row>
    <row r="11" spans="1:11" ht="18" customHeight="1" x14ac:dyDescent="0.4">
      <c r="B11" s="183" t="s">
        <v>32</v>
      </c>
      <c r="C11" s="954" t="s">
        <v>611</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8546319</v>
      </c>
      <c r="I18" s="144">
        <v>0</v>
      </c>
      <c r="J18" s="556">
        <v>7104787</v>
      </c>
      <c r="K18" s="557">
        <f>(H18+I18)-J18</f>
        <v>1441532</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351</v>
      </c>
      <c r="G21" s="555">
        <v>3356</v>
      </c>
      <c r="H21" s="556">
        <v>171126</v>
      </c>
      <c r="I21" s="144">
        <v>23024</v>
      </c>
      <c r="J21" s="556"/>
      <c r="K21" s="557">
        <f t="shared" ref="K21:K34" si="0">(H21+I21)-J21</f>
        <v>194150</v>
      </c>
    </row>
    <row r="22" spans="1:11" ht="18" customHeight="1" x14ac:dyDescent="0.4">
      <c r="A22" s="183" t="s">
        <v>76</v>
      </c>
      <c r="B22" s="189" t="s">
        <v>6</v>
      </c>
      <c r="F22" s="555">
        <v>141.5</v>
      </c>
      <c r="G22" s="555">
        <v>457</v>
      </c>
      <c r="H22" s="556">
        <v>5594</v>
      </c>
      <c r="I22" s="144">
        <v>3748</v>
      </c>
      <c r="J22" s="556"/>
      <c r="K22" s="557">
        <f t="shared" si="0"/>
        <v>9342</v>
      </c>
    </row>
    <row r="23" spans="1:11" ht="18" customHeight="1" x14ac:dyDescent="0.4">
      <c r="A23" s="183" t="s">
        <v>77</v>
      </c>
      <c r="B23" s="189" t="s">
        <v>43</v>
      </c>
      <c r="F23" s="555">
        <v>10</v>
      </c>
      <c r="G23" s="555">
        <v>454</v>
      </c>
      <c r="H23" s="556">
        <v>31870</v>
      </c>
      <c r="I23" s="144">
        <v>14594</v>
      </c>
      <c r="J23" s="556">
        <v>21035</v>
      </c>
      <c r="K23" s="557">
        <f t="shared" si="0"/>
        <v>25429</v>
      </c>
    </row>
    <row r="24" spans="1:11" ht="18" customHeight="1" x14ac:dyDescent="0.4">
      <c r="A24" s="183" t="s">
        <v>78</v>
      </c>
      <c r="B24" s="189" t="s">
        <v>44</v>
      </c>
      <c r="F24" s="555">
        <v>14</v>
      </c>
      <c r="G24" s="555">
        <v>232</v>
      </c>
      <c r="H24" s="556">
        <v>973</v>
      </c>
      <c r="I24" s="144">
        <v>0</v>
      </c>
      <c r="J24" s="556"/>
      <c r="K24" s="557">
        <f t="shared" si="0"/>
        <v>973</v>
      </c>
    </row>
    <row r="25" spans="1:11" ht="18" customHeight="1" x14ac:dyDescent="0.4">
      <c r="A25" s="183" t="s">
        <v>79</v>
      </c>
      <c r="B25" s="189" t="s">
        <v>5</v>
      </c>
      <c r="F25" s="555">
        <v>102</v>
      </c>
      <c r="G25" s="555">
        <v>181</v>
      </c>
      <c r="H25" s="556">
        <v>17919</v>
      </c>
      <c r="I25" s="144">
        <v>12006</v>
      </c>
      <c r="J25" s="556"/>
      <c r="K25" s="557">
        <f t="shared" si="0"/>
        <v>29925</v>
      </c>
    </row>
    <row r="26" spans="1:11" ht="18" customHeight="1" x14ac:dyDescent="0.4">
      <c r="A26" s="183" t="s">
        <v>80</v>
      </c>
      <c r="B26" s="189" t="s">
        <v>45</v>
      </c>
      <c r="F26" s="555">
        <v>20</v>
      </c>
      <c r="G26" s="555">
        <v>500</v>
      </c>
      <c r="H26" s="556">
        <v>7633</v>
      </c>
      <c r="I26" s="144">
        <v>0</v>
      </c>
      <c r="J26" s="556"/>
      <c r="K26" s="557">
        <f t="shared" si="0"/>
        <v>7633</v>
      </c>
    </row>
    <row r="27" spans="1:11" ht="18" customHeight="1" x14ac:dyDescent="0.4">
      <c r="A27" s="183" t="s">
        <v>81</v>
      </c>
      <c r="B27" s="189" t="s">
        <v>498</v>
      </c>
      <c r="F27" s="555"/>
      <c r="G27" s="555"/>
      <c r="H27" s="556"/>
      <c r="I27" s="144">
        <v>0</v>
      </c>
      <c r="J27" s="556"/>
      <c r="K27" s="557">
        <f t="shared" si="0"/>
        <v>0</v>
      </c>
    </row>
    <row r="28" spans="1:11" ht="18" customHeight="1" x14ac:dyDescent="0.4">
      <c r="A28" s="183" t="s">
        <v>82</v>
      </c>
      <c r="B28" s="189" t="s">
        <v>47</v>
      </c>
      <c r="F28" s="555"/>
      <c r="G28" s="555"/>
      <c r="H28" s="556"/>
      <c r="I28" s="144">
        <f t="shared" ref="I28:I34" si="1">H28*F$114</f>
        <v>0</v>
      </c>
      <c r="J28" s="556"/>
      <c r="K28" s="557">
        <f t="shared" si="0"/>
        <v>0</v>
      </c>
    </row>
    <row r="29" spans="1:11" ht="18" customHeight="1" x14ac:dyDescent="0.4">
      <c r="A29" s="183" t="s">
        <v>83</v>
      </c>
      <c r="B29" s="189" t="s">
        <v>48</v>
      </c>
      <c r="F29" s="555"/>
      <c r="G29" s="555"/>
      <c r="H29" s="556">
        <v>1172504</v>
      </c>
      <c r="I29" s="144">
        <v>0</v>
      </c>
      <c r="J29" s="556"/>
      <c r="K29" s="557">
        <f t="shared" si="0"/>
        <v>1172504</v>
      </c>
    </row>
    <row r="30" spans="1:11" ht="18" customHeight="1" x14ac:dyDescent="0.4">
      <c r="A30" s="183" t="s">
        <v>84</v>
      </c>
      <c r="B30" s="951"/>
      <c r="C30" s="952"/>
      <c r="D30" s="953"/>
      <c r="F30" s="555"/>
      <c r="G30" s="555"/>
      <c r="H30" s="556"/>
      <c r="I30" s="144">
        <f t="shared" si="1"/>
        <v>0</v>
      </c>
      <c r="J30" s="556"/>
      <c r="K30" s="557">
        <f t="shared" si="0"/>
        <v>0</v>
      </c>
    </row>
    <row r="31" spans="1:11" ht="18" customHeight="1" x14ac:dyDescent="0.4">
      <c r="A31" s="183" t="s">
        <v>133</v>
      </c>
      <c r="B31" s="951"/>
      <c r="C31" s="952"/>
      <c r="D31" s="953"/>
      <c r="F31" s="555"/>
      <c r="G31" s="555"/>
      <c r="H31" s="556"/>
      <c r="I31" s="144">
        <f t="shared" si="1"/>
        <v>0</v>
      </c>
      <c r="J31" s="556"/>
      <c r="K31" s="557">
        <f t="shared" si="0"/>
        <v>0</v>
      </c>
    </row>
    <row r="32" spans="1:11" ht="18" customHeight="1" x14ac:dyDescent="0.4">
      <c r="A32" s="183" t="s">
        <v>134</v>
      </c>
      <c r="B32" s="500"/>
      <c r="C32" s="501"/>
      <c r="D32" s="502"/>
      <c r="F32" s="555"/>
      <c r="G32" s="558" t="s">
        <v>85</v>
      </c>
      <c r="H32" s="556"/>
      <c r="I32" s="144">
        <f t="shared" si="1"/>
        <v>0</v>
      </c>
      <c r="J32" s="556"/>
      <c r="K32" s="557">
        <f t="shared" si="0"/>
        <v>0</v>
      </c>
    </row>
    <row r="33" spans="1:11" ht="18" customHeight="1" x14ac:dyDescent="0.4">
      <c r="A33" s="183" t="s">
        <v>135</v>
      </c>
      <c r="B33" s="500"/>
      <c r="C33" s="501"/>
      <c r="D33" s="502"/>
      <c r="F33" s="555"/>
      <c r="G33" s="558" t="s">
        <v>85</v>
      </c>
      <c r="H33" s="556"/>
      <c r="I33" s="144">
        <f t="shared" si="1"/>
        <v>0</v>
      </c>
      <c r="J33" s="556"/>
      <c r="K33" s="557">
        <f t="shared" si="0"/>
        <v>0</v>
      </c>
    </row>
    <row r="34" spans="1:11" ht="18" customHeight="1" x14ac:dyDescent="0.4">
      <c r="A34" s="183" t="s">
        <v>136</v>
      </c>
      <c r="B34" s="951"/>
      <c r="C34" s="952"/>
      <c r="D34" s="953"/>
      <c r="F34" s="555"/>
      <c r="G34" s="558" t="s">
        <v>85</v>
      </c>
      <c r="H34" s="556"/>
      <c r="I34" s="144">
        <f t="shared" si="1"/>
        <v>0</v>
      </c>
      <c r="J34" s="556"/>
      <c r="K34" s="557">
        <f t="shared" si="0"/>
        <v>0</v>
      </c>
    </row>
    <row r="35" spans="1:11" ht="18" customHeight="1" x14ac:dyDescent="0.35">
      <c r="K35" s="559"/>
    </row>
    <row r="36" spans="1:11" ht="18" customHeight="1" x14ac:dyDescent="0.4">
      <c r="A36" s="120" t="s">
        <v>137</v>
      </c>
      <c r="B36" s="117" t="s">
        <v>138</v>
      </c>
      <c r="E36" s="117" t="s">
        <v>7</v>
      </c>
      <c r="F36" s="560">
        <f t="shared" ref="F36:K36" si="2">SUM(F21:F34)</f>
        <v>638.5</v>
      </c>
      <c r="G36" s="560">
        <f t="shared" si="2"/>
        <v>5180</v>
      </c>
      <c r="H36" s="560">
        <f t="shared" si="2"/>
        <v>1407619</v>
      </c>
      <c r="I36" s="557">
        <f t="shared" si="2"/>
        <v>53372</v>
      </c>
      <c r="J36" s="557">
        <f t="shared" si="2"/>
        <v>21035</v>
      </c>
      <c r="K36" s="557">
        <f t="shared" si="2"/>
        <v>1439956</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245</v>
      </c>
      <c r="G40" s="555"/>
      <c r="H40" s="556">
        <v>15504</v>
      </c>
      <c r="I40" s="144">
        <v>10388</v>
      </c>
      <c r="J40" s="556"/>
      <c r="K40" s="557">
        <f t="shared" ref="K40:K47" si="3">(H40+I40)-J40</f>
        <v>25892</v>
      </c>
    </row>
    <row r="41" spans="1:11" ht="18" customHeight="1" x14ac:dyDescent="0.4">
      <c r="A41" s="183" t="s">
        <v>88</v>
      </c>
      <c r="B41" s="956" t="s">
        <v>50</v>
      </c>
      <c r="C41" s="957"/>
      <c r="F41" s="555">
        <v>4622</v>
      </c>
      <c r="G41" s="555">
        <v>98</v>
      </c>
      <c r="H41" s="556">
        <v>263995</v>
      </c>
      <c r="I41" s="144">
        <v>88438</v>
      </c>
      <c r="J41" s="556"/>
      <c r="K41" s="557">
        <f t="shared" si="3"/>
        <v>352433</v>
      </c>
    </row>
    <row r="42" spans="1:11" ht="18" customHeight="1" x14ac:dyDescent="0.4">
      <c r="A42" s="183" t="s">
        <v>89</v>
      </c>
      <c r="B42" s="116" t="s">
        <v>11</v>
      </c>
      <c r="F42" s="555">
        <v>7139</v>
      </c>
      <c r="G42" s="555">
        <v>90</v>
      </c>
      <c r="H42" s="556">
        <v>444433</v>
      </c>
      <c r="I42" s="144">
        <v>148886</v>
      </c>
      <c r="J42" s="556"/>
      <c r="K42" s="557">
        <f t="shared" si="3"/>
        <v>593319</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12006</v>
      </c>
      <c r="G49" s="563">
        <f t="shared" si="4"/>
        <v>188</v>
      </c>
      <c r="H49" s="557">
        <f t="shared" si="4"/>
        <v>723932</v>
      </c>
      <c r="I49" s="557">
        <f t="shared" si="4"/>
        <v>247712</v>
      </c>
      <c r="J49" s="557">
        <f t="shared" si="4"/>
        <v>0</v>
      </c>
      <c r="K49" s="557">
        <f t="shared" si="4"/>
        <v>971644</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978" t="s">
        <v>786</v>
      </c>
      <c r="C53" s="979"/>
      <c r="D53" s="975"/>
      <c r="F53" s="555">
        <v>5070</v>
      </c>
      <c r="G53" s="555">
        <v>702</v>
      </c>
      <c r="H53" s="556">
        <v>1935531</v>
      </c>
      <c r="I53" s="144">
        <v>0</v>
      </c>
      <c r="J53" s="556">
        <v>177025</v>
      </c>
      <c r="K53" s="557">
        <f t="shared" ref="K53:K62" si="5">(H53+I53)-J53</f>
        <v>1758506</v>
      </c>
    </row>
    <row r="54" spans="1:11" ht="18" customHeight="1" x14ac:dyDescent="0.4">
      <c r="A54" s="183" t="s">
        <v>93</v>
      </c>
      <c r="B54" s="503"/>
      <c r="C54" s="504"/>
      <c r="D54" s="505"/>
      <c r="F54" s="555"/>
      <c r="G54" s="555"/>
      <c r="H54" s="556"/>
      <c r="I54" s="144">
        <v>0</v>
      </c>
      <c r="J54" s="556"/>
      <c r="K54" s="557">
        <f t="shared" si="5"/>
        <v>0</v>
      </c>
    </row>
    <row r="55" spans="1:11" ht="18" customHeight="1" x14ac:dyDescent="0.4">
      <c r="A55" s="183" t="s">
        <v>94</v>
      </c>
      <c r="B55" s="973" t="s">
        <v>787</v>
      </c>
      <c r="C55" s="974"/>
      <c r="D55" s="975"/>
      <c r="F55" s="555"/>
      <c r="G55" s="555"/>
      <c r="H55" s="556">
        <v>5653335</v>
      </c>
      <c r="I55" s="144">
        <v>0</v>
      </c>
      <c r="J55" s="556">
        <v>179968</v>
      </c>
      <c r="K55" s="557">
        <f t="shared" si="5"/>
        <v>5473367</v>
      </c>
    </row>
    <row r="56" spans="1:11" ht="18" customHeight="1" x14ac:dyDescent="0.4">
      <c r="A56" s="183" t="s">
        <v>95</v>
      </c>
      <c r="B56" s="980"/>
      <c r="C56" s="974"/>
      <c r="D56" s="975"/>
      <c r="F56" s="555"/>
      <c r="G56" s="555"/>
      <c r="H56" s="556"/>
      <c r="I56" s="144">
        <v>0</v>
      </c>
      <c r="J56" s="556"/>
      <c r="K56" s="557">
        <f t="shared" si="5"/>
        <v>0</v>
      </c>
    </row>
    <row r="57" spans="1:11" ht="18" customHeight="1" x14ac:dyDescent="0.4">
      <c r="A57" s="183" t="s">
        <v>96</v>
      </c>
      <c r="B57" s="980"/>
      <c r="C57" s="974"/>
      <c r="D57" s="975"/>
      <c r="F57" s="555"/>
      <c r="G57" s="555"/>
      <c r="H57" s="556"/>
      <c r="I57" s="144">
        <v>0</v>
      </c>
      <c r="J57" s="556"/>
      <c r="K57" s="557">
        <f t="shared" si="5"/>
        <v>0</v>
      </c>
    </row>
    <row r="58" spans="1:11" ht="18" customHeight="1" x14ac:dyDescent="0.4">
      <c r="A58" s="183" t="s">
        <v>97</v>
      </c>
      <c r="B58" s="503"/>
      <c r="C58" s="504"/>
      <c r="D58" s="505"/>
      <c r="F58" s="555"/>
      <c r="G58" s="555"/>
      <c r="H58" s="556"/>
      <c r="I58" s="144">
        <v>0</v>
      </c>
      <c r="J58" s="556"/>
      <c r="K58" s="557">
        <f t="shared" si="5"/>
        <v>0</v>
      </c>
    </row>
    <row r="59" spans="1:11" ht="18" customHeight="1" x14ac:dyDescent="0.4">
      <c r="A59" s="183" t="s">
        <v>98</v>
      </c>
      <c r="B59" s="973" t="s">
        <v>788</v>
      </c>
      <c r="C59" s="974"/>
      <c r="D59" s="975"/>
      <c r="F59" s="555"/>
      <c r="G59" s="555"/>
      <c r="H59" s="556">
        <v>5127477</v>
      </c>
      <c r="I59" s="144">
        <v>0</v>
      </c>
      <c r="J59" s="556"/>
      <c r="K59" s="557">
        <f t="shared" si="5"/>
        <v>5127477</v>
      </c>
    </row>
    <row r="60" spans="1:11" ht="18" customHeight="1" x14ac:dyDescent="0.4">
      <c r="A60" s="183" t="s">
        <v>99</v>
      </c>
      <c r="B60" s="503"/>
      <c r="C60" s="504"/>
      <c r="D60" s="505"/>
      <c r="F60" s="555"/>
      <c r="G60" s="555"/>
      <c r="H60" s="556"/>
      <c r="I60" s="144">
        <v>0</v>
      </c>
      <c r="J60" s="556"/>
      <c r="K60" s="557">
        <f t="shared" si="5"/>
        <v>0</v>
      </c>
    </row>
    <row r="61" spans="1:11" ht="18" customHeight="1" x14ac:dyDescent="0.4">
      <c r="A61" s="183" t="s">
        <v>100</v>
      </c>
      <c r="B61" s="503"/>
      <c r="C61" s="504"/>
      <c r="D61" s="505"/>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5070</v>
      </c>
      <c r="G64" s="560">
        <f t="shared" si="6"/>
        <v>702</v>
      </c>
      <c r="H64" s="557">
        <f t="shared" si="6"/>
        <v>12716343</v>
      </c>
      <c r="I64" s="557">
        <f t="shared" si="6"/>
        <v>0</v>
      </c>
      <c r="J64" s="557">
        <f t="shared" si="6"/>
        <v>356993</v>
      </c>
      <c r="K64" s="557">
        <f t="shared" si="6"/>
        <v>12359350</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v>6760</v>
      </c>
      <c r="G68" s="564"/>
      <c r="H68" s="564">
        <v>258192</v>
      </c>
      <c r="I68" s="144">
        <v>172989</v>
      </c>
      <c r="J68" s="564"/>
      <c r="K68" s="557">
        <f>(H68+I68)-J68</f>
        <v>431181</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6760</v>
      </c>
      <c r="G74" s="566">
        <f t="shared" si="7"/>
        <v>0</v>
      </c>
      <c r="H74" s="566">
        <f t="shared" si="7"/>
        <v>258192</v>
      </c>
      <c r="I74" s="145">
        <f t="shared" si="7"/>
        <v>172989</v>
      </c>
      <c r="J74" s="566">
        <f t="shared" si="7"/>
        <v>0</v>
      </c>
      <c r="K74" s="567">
        <f t="shared" si="7"/>
        <v>431181</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v>58</v>
      </c>
      <c r="H77" s="556">
        <v>72596</v>
      </c>
      <c r="I77" s="144">
        <v>0</v>
      </c>
      <c r="J77" s="556"/>
      <c r="K77" s="557">
        <f>(H77+I77)-J77</f>
        <v>72596</v>
      </c>
    </row>
    <row r="78" spans="1:11" ht="18" customHeight="1" x14ac:dyDescent="0.4">
      <c r="A78" s="183" t="s">
        <v>108</v>
      </c>
      <c r="B78" s="116" t="s">
        <v>55</v>
      </c>
      <c r="F78" s="555"/>
      <c r="G78" s="555">
        <v>113</v>
      </c>
      <c r="H78" s="556">
        <v>13934</v>
      </c>
      <c r="I78" s="144">
        <v>3405</v>
      </c>
      <c r="J78" s="556"/>
      <c r="K78" s="557">
        <f>(H78+I78)-J78</f>
        <v>17339</v>
      </c>
    </row>
    <row r="79" spans="1:11" ht="18" customHeight="1" x14ac:dyDescent="0.4">
      <c r="A79" s="183" t="s">
        <v>109</v>
      </c>
      <c r="B79" s="116" t="s">
        <v>13</v>
      </c>
      <c r="F79" s="555">
        <v>114.5</v>
      </c>
      <c r="G79" s="555"/>
      <c r="H79" s="556"/>
      <c r="I79" s="144">
        <v>0</v>
      </c>
      <c r="J79" s="556"/>
      <c r="K79" s="557">
        <f>(H79+I79)-J79</f>
        <v>0</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114.5</v>
      </c>
      <c r="G82" s="566">
        <f t="shared" si="8"/>
        <v>171</v>
      </c>
      <c r="H82" s="567">
        <f t="shared" si="8"/>
        <v>86530</v>
      </c>
      <c r="I82" s="567">
        <f t="shared" si="8"/>
        <v>3405</v>
      </c>
      <c r="J82" s="567">
        <f t="shared" si="8"/>
        <v>0</v>
      </c>
      <c r="K82" s="567">
        <f t="shared" si="8"/>
        <v>89935</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9">H86*F$114</f>
        <v>0</v>
      </c>
      <c r="J86" s="556"/>
      <c r="K86" s="557">
        <f t="shared" ref="K86:K96" si="10">(H86+I86)-J86</f>
        <v>0</v>
      </c>
    </row>
    <row r="87" spans="1:11" ht="18" customHeight="1" x14ac:dyDescent="0.4">
      <c r="A87" s="183" t="s">
        <v>114</v>
      </c>
      <c r="B87" s="116" t="s">
        <v>14</v>
      </c>
      <c r="F87" s="555"/>
      <c r="G87" s="555"/>
      <c r="H87" s="556">
        <v>5565</v>
      </c>
      <c r="I87" s="144">
        <v>0</v>
      </c>
      <c r="J87" s="556"/>
      <c r="K87" s="557">
        <f t="shared" si="10"/>
        <v>5565</v>
      </c>
    </row>
    <row r="88" spans="1:11" ht="18" customHeight="1" x14ac:dyDescent="0.4">
      <c r="A88" s="183" t="s">
        <v>115</v>
      </c>
      <c r="B88" s="116" t="s">
        <v>116</v>
      </c>
      <c r="F88" s="555">
        <v>9</v>
      </c>
      <c r="G88" s="555"/>
      <c r="H88" s="556">
        <v>681</v>
      </c>
      <c r="I88" s="144">
        <v>0</v>
      </c>
      <c r="J88" s="556"/>
      <c r="K88" s="557">
        <f t="shared" si="10"/>
        <v>681</v>
      </c>
    </row>
    <row r="89" spans="1:11" ht="18" customHeight="1" x14ac:dyDescent="0.4">
      <c r="A89" s="183" t="s">
        <v>117</v>
      </c>
      <c r="B89" s="116" t="s">
        <v>58</v>
      </c>
      <c r="F89" s="555"/>
      <c r="G89" s="555"/>
      <c r="H89" s="556"/>
      <c r="I89" s="144">
        <v>0</v>
      </c>
      <c r="J89" s="556"/>
      <c r="K89" s="557">
        <f t="shared" si="10"/>
        <v>0</v>
      </c>
    </row>
    <row r="90" spans="1:11" ht="18" customHeight="1" x14ac:dyDescent="0.4">
      <c r="A90" s="183" t="s">
        <v>118</v>
      </c>
      <c r="B90" s="956" t="s">
        <v>59</v>
      </c>
      <c r="C90" s="957"/>
      <c r="F90" s="555"/>
      <c r="G90" s="555"/>
      <c r="H90" s="556"/>
      <c r="I90" s="144">
        <v>0</v>
      </c>
      <c r="J90" s="556"/>
      <c r="K90" s="557">
        <f t="shared" si="10"/>
        <v>0</v>
      </c>
    </row>
    <row r="91" spans="1:11" ht="18" customHeight="1" x14ac:dyDescent="0.4">
      <c r="A91" s="183" t="s">
        <v>119</v>
      </c>
      <c r="B91" s="116" t="s">
        <v>60</v>
      </c>
      <c r="F91" s="555">
        <v>15</v>
      </c>
      <c r="G91" s="555"/>
      <c r="H91" s="556">
        <v>1075</v>
      </c>
      <c r="I91" s="144">
        <v>0</v>
      </c>
      <c r="J91" s="556"/>
      <c r="K91" s="557">
        <f t="shared" si="10"/>
        <v>1075</v>
      </c>
    </row>
    <row r="92" spans="1:11" ht="18" customHeight="1" x14ac:dyDescent="0.4">
      <c r="A92" s="183" t="s">
        <v>120</v>
      </c>
      <c r="B92" s="116" t="s">
        <v>121</v>
      </c>
      <c r="F92" s="134"/>
      <c r="G92" s="134"/>
      <c r="H92" s="135"/>
      <c r="I92" s="144">
        <f t="shared" si="9"/>
        <v>0</v>
      </c>
      <c r="J92" s="135"/>
      <c r="K92" s="557">
        <f t="shared" si="10"/>
        <v>0</v>
      </c>
    </row>
    <row r="93" spans="1:11" ht="18" customHeight="1" x14ac:dyDescent="0.4">
      <c r="A93" s="183" t="s">
        <v>122</v>
      </c>
      <c r="B93" s="116" t="s">
        <v>123</v>
      </c>
      <c r="F93" s="555">
        <v>23</v>
      </c>
      <c r="G93" s="555">
        <v>55</v>
      </c>
      <c r="H93" s="556">
        <v>1107</v>
      </c>
      <c r="I93" s="144">
        <v>742</v>
      </c>
      <c r="J93" s="556"/>
      <c r="K93" s="557">
        <f t="shared" si="10"/>
        <v>1849</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47</v>
      </c>
      <c r="G98" s="560">
        <f t="shared" si="11"/>
        <v>55</v>
      </c>
      <c r="H98" s="560">
        <f t="shared" si="11"/>
        <v>8428</v>
      </c>
      <c r="I98" s="560">
        <f t="shared" si="11"/>
        <v>742</v>
      </c>
      <c r="J98" s="560">
        <f t="shared" si="11"/>
        <v>0</v>
      </c>
      <c r="K98" s="560">
        <f t="shared" si="11"/>
        <v>9170</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4784</v>
      </c>
      <c r="G102" s="555"/>
      <c r="H102" s="556">
        <v>247356</v>
      </c>
      <c r="I102" s="144">
        <v>165728</v>
      </c>
      <c r="J102" s="556"/>
      <c r="K102" s="557">
        <f>(H102+I102)-J102</f>
        <v>413084</v>
      </c>
    </row>
    <row r="103" spans="1:11" ht="18" customHeight="1" x14ac:dyDescent="0.4">
      <c r="A103" s="183" t="s">
        <v>132</v>
      </c>
      <c r="B103" s="956" t="s">
        <v>62</v>
      </c>
      <c r="C103" s="956"/>
      <c r="F103" s="555">
        <v>5</v>
      </c>
      <c r="G103" s="555"/>
      <c r="H103" s="556">
        <v>347</v>
      </c>
      <c r="I103" s="144">
        <v>116</v>
      </c>
      <c r="J103" s="556"/>
      <c r="K103" s="557">
        <f>(H103+I103)-J103</f>
        <v>463</v>
      </c>
    </row>
    <row r="104" spans="1:11" ht="18" customHeight="1" x14ac:dyDescent="0.4">
      <c r="A104" s="183" t="s">
        <v>128</v>
      </c>
      <c r="B104" s="973" t="s">
        <v>318</v>
      </c>
      <c r="C104" s="974"/>
      <c r="D104" s="975"/>
      <c r="F104" s="555"/>
      <c r="G104" s="555"/>
      <c r="H104" s="556">
        <v>742</v>
      </c>
      <c r="I104" s="144">
        <v>0</v>
      </c>
      <c r="J104" s="556"/>
      <c r="K104" s="557">
        <f>(H104+I104)-J104</f>
        <v>742</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4789</v>
      </c>
      <c r="G108" s="560">
        <f t="shared" si="12"/>
        <v>0</v>
      </c>
      <c r="H108" s="557">
        <f t="shared" si="12"/>
        <v>248445</v>
      </c>
      <c r="I108" s="557">
        <f t="shared" si="12"/>
        <v>165844</v>
      </c>
      <c r="J108" s="557">
        <f t="shared" si="12"/>
        <v>0</v>
      </c>
      <c r="K108" s="557">
        <f t="shared" si="12"/>
        <v>414289</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6285000</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0.67</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389018000</v>
      </c>
    </row>
    <row r="118" spans="1:6" ht="18" customHeight="1" x14ac:dyDescent="0.4">
      <c r="A118" s="183" t="s">
        <v>173</v>
      </c>
      <c r="B118" s="189" t="s">
        <v>18</v>
      </c>
      <c r="F118" s="556">
        <v>4641000</v>
      </c>
    </row>
    <row r="119" spans="1:6" ht="18" customHeight="1" x14ac:dyDescent="0.4">
      <c r="A119" s="183" t="s">
        <v>174</v>
      </c>
      <c r="B119" s="117" t="s">
        <v>19</v>
      </c>
      <c r="F119" s="567">
        <v>393659000</v>
      </c>
    </row>
    <row r="120" spans="1:6" ht="18" customHeight="1" x14ac:dyDescent="0.4">
      <c r="A120" s="183"/>
      <c r="B120" s="117"/>
    </row>
    <row r="121" spans="1:6" ht="18" customHeight="1" x14ac:dyDescent="0.4">
      <c r="A121" s="183" t="s">
        <v>167</v>
      </c>
      <c r="B121" s="117" t="s">
        <v>36</v>
      </c>
      <c r="F121" s="556">
        <v>384744000</v>
      </c>
    </row>
    <row r="122" spans="1:6" ht="18" customHeight="1" x14ac:dyDescent="0.4">
      <c r="A122" s="183"/>
    </row>
    <row r="123" spans="1:6" ht="18" customHeight="1" x14ac:dyDescent="0.4">
      <c r="A123" s="183" t="s">
        <v>175</v>
      </c>
      <c r="B123" s="117" t="s">
        <v>20</v>
      </c>
      <c r="F123" s="556">
        <v>8915000</v>
      </c>
    </row>
    <row r="124" spans="1:6" ht="18" customHeight="1" x14ac:dyDescent="0.4">
      <c r="A124" s="183"/>
    </row>
    <row r="125" spans="1:6" ht="18" customHeight="1" x14ac:dyDescent="0.4">
      <c r="A125" s="183" t="s">
        <v>176</v>
      </c>
      <c r="B125" s="117" t="s">
        <v>21</v>
      </c>
      <c r="F125" s="556">
        <v>4478000</v>
      </c>
    </row>
    <row r="126" spans="1:6" ht="18" customHeight="1" x14ac:dyDescent="0.4">
      <c r="A126" s="183"/>
    </row>
    <row r="127" spans="1:6" ht="18" customHeight="1" x14ac:dyDescent="0.4">
      <c r="A127" s="183" t="s">
        <v>177</v>
      </c>
      <c r="B127" s="117" t="s">
        <v>22</v>
      </c>
      <c r="F127" s="556">
        <v>13393000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v>21125</v>
      </c>
      <c r="I132" s="144">
        <v>0</v>
      </c>
      <c r="J132" s="556"/>
      <c r="K132" s="557">
        <f>(H132+I132)-J132</f>
        <v>21125</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21125</v>
      </c>
      <c r="I137" s="557">
        <f t="shared" si="13"/>
        <v>0</v>
      </c>
      <c r="J137" s="557">
        <f t="shared" si="13"/>
        <v>0</v>
      </c>
      <c r="K137" s="557">
        <f t="shared" si="13"/>
        <v>21125</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638.5</v>
      </c>
      <c r="G141" s="136">
        <f t="shared" si="14"/>
        <v>5180</v>
      </c>
      <c r="H141" s="136">
        <f t="shared" si="14"/>
        <v>1407619</v>
      </c>
      <c r="I141" s="136">
        <f t="shared" si="14"/>
        <v>53372</v>
      </c>
      <c r="J141" s="136">
        <f t="shared" si="14"/>
        <v>21035</v>
      </c>
      <c r="K141" s="136">
        <f t="shared" si="14"/>
        <v>1439956</v>
      </c>
    </row>
    <row r="142" spans="1:11" ht="18" customHeight="1" x14ac:dyDescent="0.4">
      <c r="A142" s="183" t="s">
        <v>142</v>
      </c>
      <c r="B142" s="117" t="s">
        <v>65</v>
      </c>
      <c r="F142" s="136">
        <f t="shared" ref="F142:K142" si="15">F49</f>
        <v>12006</v>
      </c>
      <c r="G142" s="136">
        <f t="shared" si="15"/>
        <v>188</v>
      </c>
      <c r="H142" s="136">
        <f t="shared" si="15"/>
        <v>723932</v>
      </c>
      <c r="I142" s="136">
        <f t="shared" si="15"/>
        <v>247712</v>
      </c>
      <c r="J142" s="136">
        <f t="shared" si="15"/>
        <v>0</v>
      </c>
      <c r="K142" s="136">
        <f t="shared" si="15"/>
        <v>971644</v>
      </c>
    </row>
    <row r="143" spans="1:11" ht="18" customHeight="1" x14ac:dyDescent="0.4">
      <c r="A143" s="183" t="s">
        <v>144</v>
      </c>
      <c r="B143" s="117" t="s">
        <v>66</v>
      </c>
      <c r="F143" s="136">
        <f t="shared" ref="F143:K143" si="16">F64</f>
        <v>5070</v>
      </c>
      <c r="G143" s="136">
        <f t="shared" si="16"/>
        <v>702</v>
      </c>
      <c r="H143" s="136">
        <f t="shared" si="16"/>
        <v>12716343</v>
      </c>
      <c r="I143" s="136">
        <f t="shared" si="16"/>
        <v>0</v>
      </c>
      <c r="J143" s="136">
        <f t="shared" si="16"/>
        <v>356993</v>
      </c>
      <c r="K143" s="136">
        <f t="shared" si="16"/>
        <v>12359350</v>
      </c>
    </row>
    <row r="144" spans="1:11" ht="18" customHeight="1" x14ac:dyDescent="0.4">
      <c r="A144" s="183" t="s">
        <v>146</v>
      </c>
      <c r="B144" s="117" t="s">
        <v>67</v>
      </c>
      <c r="F144" s="136">
        <f t="shared" ref="F144:K144" si="17">F74</f>
        <v>6760</v>
      </c>
      <c r="G144" s="136">
        <f t="shared" si="17"/>
        <v>0</v>
      </c>
      <c r="H144" s="136">
        <f t="shared" si="17"/>
        <v>258192</v>
      </c>
      <c r="I144" s="136">
        <f t="shared" si="17"/>
        <v>172989</v>
      </c>
      <c r="J144" s="136">
        <f t="shared" si="17"/>
        <v>0</v>
      </c>
      <c r="K144" s="136">
        <f t="shared" si="17"/>
        <v>431181</v>
      </c>
    </row>
    <row r="145" spans="1:11" ht="18" customHeight="1" x14ac:dyDescent="0.4">
      <c r="A145" s="183" t="s">
        <v>148</v>
      </c>
      <c r="B145" s="117" t="s">
        <v>68</v>
      </c>
      <c r="F145" s="136">
        <f t="shared" ref="F145:K145" si="18">F82</f>
        <v>114.5</v>
      </c>
      <c r="G145" s="136">
        <f t="shared" si="18"/>
        <v>171</v>
      </c>
      <c r="H145" s="136">
        <f t="shared" si="18"/>
        <v>86530</v>
      </c>
      <c r="I145" s="136">
        <f t="shared" si="18"/>
        <v>3405</v>
      </c>
      <c r="J145" s="136">
        <f t="shared" si="18"/>
        <v>0</v>
      </c>
      <c r="K145" s="136">
        <f t="shared" si="18"/>
        <v>89935</v>
      </c>
    </row>
    <row r="146" spans="1:11" ht="18" customHeight="1" x14ac:dyDescent="0.4">
      <c r="A146" s="183" t="s">
        <v>150</v>
      </c>
      <c r="B146" s="117" t="s">
        <v>69</v>
      </c>
      <c r="F146" s="136">
        <f t="shared" ref="F146:K146" si="19">F98</f>
        <v>47</v>
      </c>
      <c r="G146" s="136">
        <f t="shared" si="19"/>
        <v>55</v>
      </c>
      <c r="H146" s="136">
        <f t="shared" si="19"/>
        <v>8428</v>
      </c>
      <c r="I146" s="136">
        <f t="shared" si="19"/>
        <v>742</v>
      </c>
      <c r="J146" s="136">
        <f t="shared" si="19"/>
        <v>0</v>
      </c>
      <c r="K146" s="136">
        <f t="shared" si="19"/>
        <v>9170</v>
      </c>
    </row>
    <row r="147" spans="1:11" ht="18" customHeight="1" x14ac:dyDescent="0.4">
      <c r="A147" s="183" t="s">
        <v>153</v>
      </c>
      <c r="B147" s="117" t="s">
        <v>61</v>
      </c>
      <c r="F147" s="560">
        <f t="shared" ref="F147:K147" si="20">F108</f>
        <v>4789</v>
      </c>
      <c r="G147" s="560">
        <f t="shared" si="20"/>
        <v>0</v>
      </c>
      <c r="H147" s="560">
        <f t="shared" si="20"/>
        <v>248445</v>
      </c>
      <c r="I147" s="560">
        <f t="shared" si="20"/>
        <v>165844</v>
      </c>
      <c r="J147" s="560">
        <f t="shared" si="20"/>
        <v>0</v>
      </c>
      <c r="K147" s="560">
        <f t="shared" si="20"/>
        <v>414289</v>
      </c>
    </row>
    <row r="148" spans="1:11" ht="18" customHeight="1" x14ac:dyDescent="0.4">
      <c r="A148" s="183" t="s">
        <v>155</v>
      </c>
      <c r="B148" s="117" t="s">
        <v>70</v>
      </c>
      <c r="F148" s="137" t="s">
        <v>73</v>
      </c>
      <c r="G148" s="137" t="s">
        <v>73</v>
      </c>
      <c r="H148" s="138" t="s">
        <v>73</v>
      </c>
      <c r="I148" s="138" t="s">
        <v>73</v>
      </c>
      <c r="J148" s="138" t="s">
        <v>73</v>
      </c>
      <c r="K148" s="133">
        <f>F111</f>
        <v>6285000</v>
      </c>
    </row>
    <row r="149" spans="1:11" ht="18" customHeight="1" x14ac:dyDescent="0.4">
      <c r="A149" s="183" t="s">
        <v>163</v>
      </c>
      <c r="B149" s="117" t="s">
        <v>71</v>
      </c>
      <c r="F149" s="560">
        <f t="shared" ref="F149:K149" si="21">F137</f>
        <v>0</v>
      </c>
      <c r="G149" s="560">
        <f t="shared" si="21"/>
        <v>0</v>
      </c>
      <c r="H149" s="560">
        <f t="shared" si="21"/>
        <v>21125</v>
      </c>
      <c r="I149" s="560">
        <f t="shared" si="21"/>
        <v>0</v>
      </c>
      <c r="J149" s="560">
        <f t="shared" si="21"/>
        <v>0</v>
      </c>
      <c r="K149" s="560">
        <f t="shared" si="21"/>
        <v>21125</v>
      </c>
    </row>
    <row r="150" spans="1:11" ht="18" customHeight="1" x14ac:dyDescent="0.4">
      <c r="A150" s="183" t="s">
        <v>185</v>
      </c>
      <c r="B150" s="117" t="s">
        <v>186</v>
      </c>
      <c r="F150" s="137" t="s">
        <v>73</v>
      </c>
      <c r="G150" s="137" t="s">
        <v>73</v>
      </c>
      <c r="H150" s="560">
        <f>H18</f>
        <v>8546319</v>
      </c>
      <c r="I150" s="560">
        <f>I18</f>
        <v>0</v>
      </c>
      <c r="J150" s="560">
        <f>J18</f>
        <v>7104787</v>
      </c>
      <c r="K150" s="560">
        <f>K18</f>
        <v>1441532</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J152" si="22">SUM(F141:F150)</f>
        <v>29425</v>
      </c>
      <c r="G152" s="143">
        <f t="shared" si="22"/>
        <v>6296</v>
      </c>
      <c r="H152" s="143">
        <f t="shared" si="22"/>
        <v>24016933</v>
      </c>
      <c r="I152" s="143">
        <f t="shared" si="22"/>
        <v>644064</v>
      </c>
      <c r="J152" s="143">
        <f t="shared" si="22"/>
        <v>7482815</v>
      </c>
      <c r="K152" s="143">
        <f>SUM(K141:K150)</f>
        <v>23463182</v>
      </c>
    </row>
    <row r="154" spans="1:11" ht="18" customHeight="1" x14ac:dyDescent="0.4">
      <c r="A154" s="120" t="s">
        <v>168</v>
      </c>
      <c r="B154" s="117" t="s">
        <v>28</v>
      </c>
      <c r="F154" s="571">
        <f>K152/F121</f>
        <v>6.0983880190464308E-2</v>
      </c>
      <c r="K154" s="185"/>
    </row>
    <row r="155" spans="1:11" ht="18" customHeight="1" x14ac:dyDescent="0.4">
      <c r="A155" s="120" t="s">
        <v>169</v>
      </c>
      <c r="B155" s="117" t="s">
        <v>72</v>
      </c>
      <c r="F155" s="571">
        <f>K152/F127</f>
        <v>1.7518989024117075</v>
      </c>
      <c r="G155" s="117"/>
    </row>
    <row r="156" spans="1:11" ht="18" customHeight="1" x14ac:dyDescent="0.4">
      <c r="G156" s="117"/>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dimension ref="A1:K156"/>
  <sheetViews>
    <sheetView showGridLines="0" topLeftCell="A43" zoomScale="85" zoomScaleNormal="85" zoomScaleSheetLayoutView="70" workbookViewId="0">
      <selection activeCell="A2" sqref="A2"/>
    </sheetView>
  </sheetViews>
  <sheetFormatPr defaultColWidth="9" defaultRowHeight="18" customHeight="1" x14ac:dyDescent="0.35"/>
  <cols>
    <col min="1" max="1" width="8.265625" style="780" customWidth="1"/>
    <col min="2" max="2" width="55.3984375" style="116" bestFit="1" customWidth="1"/>
    <col min="3" max="3" width="9.59765625" style="116" customWidth="1"/>
    <col min="4" max="4" width="9" style="116"/>
    <col min="5" max="5" width="12.3984375" style="116" customWidth="1"/>
    <col min="6" max="6" width="18.59765625" style="116" customWidth="1"/>
    <col min="7" max="7" width="23.59765625" style="116" customWidth="1"/>
    <col min="8" max="8" width="17.1328125" style="116" customWidth="1"/>
    <col min="9" max="9" width="21.1328125" style="116" customWidth="1"/>
    <col min="10" max="10" width="19.86328125" style="116" customWidth="1"/>
    <col min="11" max="11" width="17.59765625" style="116" customWidth="1"/>
    <col min="12" max="16384" width="9" style="189"/>
  </cols>
  <sheetData>
    <row r="1" spans="1:11" ht="13.15" x14ac:dyDescent="0.4">
      <c r="C1" s="781"/>
      <c r="D1" s="118"/>
      <c r="E1" s="781"/>
      <c r="F1" s="781"/>
      <c r="G1" s="781"/>
      <c r="H1" s="781"/>
      <c r="I1" s="781"/>
      <c r="J1" s="781"/>
      <c r="K1" s="781"/>
    </row>
    <row r="2" spans="1:11" ht="15" x14ac:dyDescent="0.4">
      <c r="D2" s="949" t="s">
        <v>700</v>
      </c>
      <c r="E2" s="950"/>
      <c r="F2" s="950"/>
      <c r="G2" s="950"/>
      <c r="H2" s="950"/>
    </row>
    <row r="3" spans="1:11" ht="13.15" x14ac:dyDescent="0.4">
      <c r="B3" s="117" t="s">
        <v>0</v>
      </c>
    </row>
    <row r="5" spans="1:11" ht="13.15" x14ac:dyDescent="0.4">
      <c r="B5" s="183" t="s">
        <v>40</v>
      </c>
      <c r="C5" s="1017" t="s">
        <v>482</v>
      </c>
      <c r="D5" s="1119"/>
      <c r="E5" s="1119"/>
      <c r="F5" s="1119"/>
      <c r="G5" s="1120"/>
    </row>
    <row r="6" spans="1:11" ht="13.15" x14ac:dyDescent="0.4">
      <c r="B6" s="183" t="s">
        <v>3</v>
      </c>
      <c r="C6" s="1064">
        <v>44</v>
      </c>
      <c r="D6" s="1121"/>
      <c r="E6" s="1121"/>
      <c r="F6" s="1121"/>
      <c r="G6" s="1122"/>
    </row>
    <row r="7" spans="1:11" ht="13.15" x14ac:dyDescent="0.4">
      <c r="B7" s="183" t="s">
        <v>4</v>
      </c>
      <c r="C7" s="1123"/>
      <c r="D7" s="1124"/>
      <c r="E7" s="1124"/>
      <c r="F7" s="1124"/>
      <c r="G7" s="1125"/>
    </row>
    <row r="9" spans="1:11" ht="13.15" x14ac:dyDescent="0.4">
      <c r="B9" s="183" t="s">
        <v>1</v>
      </c>
      <c r="C9" s="1017"/>
      <c r="D9" s="1119"/>
      <c r="E9" s="1119"/>
      <c r="F9" s="1119"/>
      <c r="G9" s="1120"/>
    </row>
    <row r="10" spans="1:11" ht="13.15" x14ac:dyDescent="0.4">
      <c r="B10" s="183" t="s">
        <v>2</v>
      </c>
      <c r="C10" s="1018"/>
      <c r="D10" s="1126"/>
      <c r="E10" s="1126"/>
      <c r="F10" s="1126"/>
      <c r="G10" s="1127"/>
    </row>
    <row r="11" spans="1:11" ht="13.15" x14ac:dyDescent="0.4">
      <c r="B11" s="183" t="s">
        <v>32</v>
      </c>
      <c r="C11" s="1017"/>
      <c r="D11" s="1118"/>
      <c r="E11" s="1118"/>
      <c r="F11" s="1118"/>
      <c r="G11" s="1118"/>
    </row>
    <row r="12" spans="1:11" ht="13.15" x14ac:dyDescent="0.4">
      <c r="B12" s="183"/>
      <c r="C12" s="183"/>
      <c r="D12" s="183"/>
      <c r="E12" s="183"/>
      <c r="F12" s="183"/>
      <c r="G12" s="183"/>
    </row>
    <row r="13" spans="1:11" ht="12.75" x14ac:dyDescent="0.35">
      <c r="B13" s="958"/>
      <c r="C13" s="959"/>
      <c r="D13" s="959"/>
      <c r="E13" s="959"/>
      <c r="F13" s="959"/>
      <c r="G13" s="959"/>
      <c r="H13" s="960"/>
      <c r="I13" s="781"/>
    </row>
    <row r="14" spans="1:11" ht="12.75" x14ac:dyDescent="0.35">
      <c r="B14" s="121"/>
    </row>
    <row r="15" spans="1:11" ht="12.75" x14ac:dyDescent="0.35">
      <c r="B15" s="121"/>
    </row>
    <row r="16" spans="1:11" ht="26.25" x14ac:dyDescent="0.4">
      <c r="A16" s="118" t="s">
        <v>181</v>
      </c>
      <c r="B16" s="781"/>
      <c r="C16" s="781"/>
      <c r="D16" s="781"/>
      <c r="E16" s="781"/>
      <c r="F16" s="122" t="s">
        <v>9</v>
      </c>
      <c r="G16" s="122" t="s">
        <v>37</v>
      </c>
      <c r="H16" s="122" t="s">
        <v>29</v>
      </c>
      <c r="I16" s="122" t="s">
        <v>30</v>
      </c>
      <c r="J16" s="122" t="s">
        <v>33</v>
      </c>
      <c r="K16" s="122" t="s">
        <v>34</v>
      </c>
    </row>
    <row r="17" spans="1:11" ht="13.15" x14ac:dyDescent="0.4">
      <c r="A17" s="120" t="s">
        <v>184</v>
      </c>
      <c r="B17" s="117" t="s">
        <v>182</v>
      </c>
    </row>
    <row r="18" spans="1:11" ht="13.15" x14ac:dyDescent="0.4">
      <c r="A18" s="183" t="s">
        <v>185</v>
      </c>
      <c r="B18" s="116" t="s">
        <v>183</v>
      </c>
      <c r="F18" s="558" t="s">
        <v>73</v>
      </c>
      <c r="G18" s="558" t="s">
        <v>73</v>
      </c>
      <c r="H18" s="782">
        <v>9131974.8328646794</v>
      </c>
      <c r="I18" s="306">
        <v>0</v>
      </c>
      <c r="J18" s="782">
        <v>7591658.6935328348</v>
      </c>
      <c r="K18" s="783">
        <v>1540316.1393318446</v>
      </c>
    </row>
    <row r="19" spans="1:11" ht="26.25" x14ac:dyDescent="0.4">
      <c r="A19" s="118" t="s">
        <v>8</v>
      </c>
      <c r="B19" s="781"/>
      <c r="C19" s="781"/>
      <c r="D19" s="781"/>
      <c r="E19" s="781"/>
      <c r="F19" s="122" t="s">
        <v>9</v>
      </c>
      <c r="G19" s="122" t="s">
        <v>37</v>
      </c>
      <c r="H19" s="122" t="s">
        <v>29</v>
      </c>
      <c r="I19" s="122" t="s">
        <v>30</v>
      </c>
      <c r="J19" s="122" t="s">
        <v>33</v>
      </c>
      <c r="K19" s="122" t="s">
        <v>34</v>
      </c>
    </row>
    <row r="20" spans="1:11" ht="13.15" x14ac:dyDescent="0.4">
      <c r="A20" s="120" t="s">
        <v>74</v>
      </c>
      <c r="B20" s="117" t="s">
        <v>41</v>
      </c>
    </row>
    <row r="21" spans="1:11" ht="13.15" x14ac:dyDescent="0.4">
      <c r="A21" s="183" t="s">
        <v>75</v>
      </c>
      <c r="B21" s="116" t="s">
        <v>42</v>
      </c>
      <c r="F21" s="558">
        <v>2076</v>
      </c>
      <c r="G21" s="558">
        <v>89776</v>
      </c>
      <c r="H21" s="558">
        <v>279448.90212440619</v>
      </c>
      <c r="I21" s="784">
        <v>179423.57779169307</v>
      </c>
      <c r="J21" s="558">
        <v>2500</v>
      </c>
      <c r="K21" s="785">
        <v>456372.47991609923</v>
      </c>
    </row>
    <row r="22" spans="1:11" ht="13.15" x14ac:dyDescent="0.4">
      <c r="A22" s="183" t="s">
        <v>76</v>
      </c>
      <c r="B22" s="116" t="s">
        <v>6</v>
      </c>
      <c r="F22" s="558">
        <v>187.5</v>
      </c>
      <c r="G22" s="558">
        <v>151</v>
      </c>
      <c r="H22" s="558">
        <v>8635.8044831730749</v>
      </c>
      <c r="I22" s="784">
        <v>5544.7236532375355</v>
      </c>
      <c r="J22" s="558"/>
      <c r="K22" s="785">
        <v>14180.52813641061</v>
      </c>
    </row>
    <row r="23" spans="1:11" ht="13.15" x14ac:dyDescent="0.4">
      <c r="A23" s="183" t="s">
        <v>77</v>
      </c>
      <c r="B23" s="116" t="s">
        <v>43</v>
      </c>
      <c r="F23" s="558">
        <v>249</v>
      </c>
      <c r="G23" s="558">
        <v>2142</v>
      </c>
      <c r="H23" s="558">
        <v>59772.853854080509</v>
      </c>
      <c r="I23" s="784">
        <v>38377.890239642693</v>
      </c>
      <c r="J23" s="558"/>
      <c r="K23" s="785">
        <v>98150.744093723202</v>
      </c>
    </row>
    <row r="24" spans="1:11" ht="13.15" x14ac:dyDescent="0.4">
      <c r="A24" s="183" t="s">
        <v>78</v>
      </c>
      <c r="B24" s="116" t="s">
        <v>44</v>
      </c>
      <c r="F24" s="558"/>
      <c r="G24" s="558"/>
      <c r="H24" s="558"/>
      <c r="I24" s="784">
        <v>0</v>
      </c>
      <c r="J24" s="558"/>
      <c r="K24" s="785">
        <v>0</v>
      </c>
    </row>
    <row r="25" spans="1:11" ht="13.15" x14ac:dyDescent="0.4">
      <c r="A25" s="183" t="s">
        <v>79</v>
      </c>
      <c r="B25" s="116" t="s">
        <v>5</v>
      </c>
      <c r="F25" s="558">
        <v>138</v>
      </c>
      <c r="G25" s="558">
        <v>890</v>
      </c>
      <c r="H25" s="558">
        <v>15660.118271762512</v>
      </c>
      <c r="I25" s="784">
        <v>10054.770040605919</v>
      </c>
      <c r="J25" s="558">
        <v>645</v>
      </c>
      <c r="K25" s="785">
        <v>25069.888312368432</v>
      </c>
    </row>
    <row r="26" spans="1:11" ht="13.15" x14ac:dyDescent="0.4">
      <c r="A26" s="183" t="s">
        <v>80</v>
      </c>
      <c r="B26" s="116" t="s">
        <v>45</v>
      </c>
      <c r="F26" s="558"/>
      <c r="G26" s="558"/>
      <c r="H26" s="558"/>
      <c r="I26" s="784">
        <v>0</v>
      </c>
      <c r="J26" s="558"/>
      <c r="K26" s="785">
        <v>0</v>
      </c>
    </row>
    <row r="27" spans="1:11" ht="13.15" x14ac:dyDescent="0.4">
      <c r="A27" s="183" t="s">
        <v>81</v>
      </c>
      <c r="B27" s="116" t="s">
        <v>498</v>
      </c>
      <c r="F27" s="558"/>
      <c r="G27" s="558"/>
      <c r="H27" s="558"/>
      <c r="I27" s="784">
        <v>0</v>
      </c>
      <c r="J27" s="558"/>
      <c r="K27" s="785">
        <v>0</v>
      </c>
    </row>
    <row r="28" spans="1:11" ht="13.15" x14ac:dyDescent="0.4">
      <c r="A28" s="183" t="s">
        <v>82</v>
      </c>
      <c r="B28" s="116" t="s">
        <v>47</v>
      </c>
      <c r="F28" s="558"/>
      <c r="G28" s="558"/>
      <c r="H28" s="558"/>
      <c r="I28" s="784">
        <v>0</v>
      </c>
      <c r="J28" s="558"/>
      <c r="K28" s="785">
        <v>0</v>
      </c>
    </row>
    <row r="29" spans="1:11" ht="13.15" x14ac:dyDescent="0.4">
      <c r="A29" s="183" t="s">
        <v>83</v>
      </c>
      <c r="B29" s="116" t="s">
        <v>48</v>
      </c>
      <c r="F29" s="624">
        <v>2080</v>
      </c>
      <c r="G29" s="624">
        <v>176</v>
      </c>
      <c r="H29" s="624">
        <v>190185.60000000001</v>
      </c>
      <c r="I29" s="786">
        <v>122110.98536099619</v>
      </c>
      <c r="J29" s="624"/>
      <c r="K29" s="787">
        <v>312296.58536099619</v>
      </c>
    </row>
    <row r="30" spans="1:11" ht="13.15" x14ac:dyDescent="0.4">
      <c r="A30" s="183" t="s">
        <v>84</v>
      </c>
      <c r="B30" s="951" t="s">
        <v>571</v>
      </c>
      <c r="C30" s="952"/>
      <c r="D30" s="953"/>
      <c r="F30" s="624">
        <v>5148.08</v>
      </c>
      <c r="G30" s="624">
        <v>3150</v>
      </c>
      <c r="H30" s="624">
        <v>101628.04000000001</v>
      </c>
      <c r="I30" s="786">
        <v>65251.523273616593</v>
      </c>
      <c r="J30" s="624"/>
      <c r="K30" s="787">
        <v>166879.5632736166</v>
      </c>
    </row>
    <row r="31" spans="1:11" ht="13.15" x14ac:dyDescent="0.4">
      <c r="A31" s="183" t="s">
        <v>133</v>
      </c>
      <c r="B31" s="951"/>
      <c r="C31" s="952"/>
      <c r="D31" s="953"/>
      <c r="F31" s="558"/>
      <c r="G31" s="558"/>
      <c r="H31" s="558"/>
      <c r="I31" s="784"/>
      <c r="J31" s="558"/>
      <c r="K31" s="785"/>
    </row>
    <row r="32" spans="1:11" ht="13.15" x14ac:dyDescent="0.4">
      <c r="A32" s="183" t="s">
        <v>134</v>
      </c>
      <c r="B32" s="500"/>
      <c r="C32" s="501"/>
      <c r="D32" s="502"/>
      <c r="F32" s="558"/>
      <c r="G32" s="558" t="s">
        <v>85</v>
      </c>
      <c r="H32" s="558"/>
      <c r="I32" s="784"/>
      <c r="J32" s="558"/>
      <c r="K32" s="785"/>
    </row>
    <row r="33" spans="1:11" ht="13.15" x14ac:dyDescent="0.4">
      <c r="A33" s="183" t="s">
        <v>135</v>
      </c>
      <c r="B33" s="500"/>
      <c r="C33" s="501"/>
      <c r="D33" s="502"/>
      <c r="F33" s="558"/>
      <c r="G33" s="558" t="s">
        <v>85</v>
      </c>
      <c r="H33" s="558"/>
      <c r="I33" s="784"/>
      <c r="J33" s="558"/>
      <c r="K33" s="785"/>
    </row>
    <row r="34" spans="1:11" ht="13.15" x14ac:dyDescent="0.4">
      <c r="A34" s="183" t="s">
        <v>136</v>
      </c>
      <c r="B34" s="951"/>
      <c r="C34" s="952"/>
      <c r="D34" s="953"/>
      <c r="F34" s="558"/>
      <c r="G34" s="558" t="s">
        <v>85</v>
      </c>
      <c r="H34" s="779"/>
      <c r="I34" s="788"/>
      <c r="J34" s="779"/>
      <c r="K34" s="783"/>
    </row>
    <row r="35" spans="1:11" ht="12.75" x14ac:dyDescent="0.35">
      <c r="K35" s="789"/>
    </row>
    <row r="36" spans="1:11" ht="13.15" x14ac:dyDescent="0.4">
      <c r="A36" s="120" t="s">
        <v>137</v>
      </c>
      <c r="B36" s="117" t="s">
        <v>138</v>
      </c>
      <c r="E36" s="117" t="s">
        <v>7</v>
      </c>
      <c r="F36" s="785">
        <v>9878.58</v>
      </c>
      <c r="G36" s="785">
        <v>96285</v>
      </c>
      <c r="H36" s="785">
        <v>655331.31873342232</v>
      </c>
      <c r="I36" s="783">
        <v>420763.470359792</v>
      </c>
      <c r="J36" s="783">
        <v>3145</v>
      </c>
      <c r="K36" s="783">
        <v>1072949.7890932143</v>
      </c>
    </row>
    <row r="37" spans="1:11" ht="13.5" thickBot="1" x14ac:dyDescent="0.45">
      <c r="B37" s="117"/>
      <c r="F37" s="790"/>
      <c r="G37" s="790"/>
      <c r="H37" s="791"/>
      <c r="I37" s="791"/>
      <c r="J37" s="791"/>
      <c r="K37" s="792"/>
    </row>
    <row r="38" spans="1:11" ht="26.25" x14ac:dyDescent="0.4">
      <c r="F38" s="122" t="s">
        <v>9</v>
      </c>
      <c r="G38" s="122" t="s">
        <v>37</v>
      </c>
      <c r="H38" s="122" t="s">
        <v>29</v>
      </c>
      <c r="I38" s="122" t="s">
        <v>30</v>
      </c>
      <c r="J38" s="122" t="s">
        <v>33</v>
      </c>
      <c r="K38" s="122" t="s">
        <v>34</v>
      </c>
    </row>
    <row r="39" spans="1:11" ht="13.15" x14ac:dyDescent="0.4">
      <c r="A39" s="120" t="s">
        <v>86</v>
      </c>
      <c r="B39" s="117" t="s">
        <v>49</v>
      </c>
    </row>
    <row r="40" spans="1:11" ht="13.15" x14ac:dyDescent="0.4">
      <c r="A40" s="183" t="s">
        <v>87</v>
      </c>
      <c r="B40" s="116" t="s">
        <v>31</v>
      </c>
      <c r="F40" s="558">
        <v>133949.6</v>
      </c>
      <c r="G40" s="558"/>
      <c r="H40" s="793">
        <v>5383832.3203313351</v>
      </c>
      <c r="I40" s="306">
        <v>0</v>
      </c>
      <c r="J40" s="779"/>
      <c r="K40" s="783">
        <v>5383832.3203313351</v>
      </c>
    </row>
    <row r="41" spans="1:11" ht="13.15" x14ac:dyDescent="0.4">
      <c r="A41" s="183" t="s">
        <v>88</v>
      </c>
      <c r="B41" s="956" t="s">
        <v>50</v>
      </c>
      <c r="C41" s="956"/>
      <c r="F41" s="624">
        <v>38036.100000000006</v>
      </c>
      <c r="G41" s="624"/>
      <c r="H41" s="782">
        <v>606945.52</v>
      </c>
      <c r="I41" s="306">
        <v>0</v>
      </c>
      <c r="J41" s="779"/>
      <c r="K41" s="783">
        <v>606945.52</v>
      </c>
    </row>
    <row r="42" spans="1:11" ht="13.15" x14ac:dyDescent="0.4">
      <c r="A42" s="183" t="s">
        <v>89</v>
      </c>
      <c r="B42" s="116" t="s">
        <v>11</v>
      </c>
      <c r="F42" s="558"/>
      <c r="G42" s="558"/>
      <c r="H42" s="779"/>
      <c r="I42" s="306">
        <v>0</v>
      </c>
      <c r="J42" s="779"/>
      <c r="K42" s="794">
        <v>0</v>
      </c>
    </row>
    <row r="43" spans="1:11" ht="13.15" x14ac:dyDescent="0.4">
      <c r="A43" s="183" t="s">
        <v>90</v>
      </c>
      <c r="B43" s="141" t="s">
        <v>10</v>
      </c>
      <c r="C43" s="141"/>
      <c r="D43" s="141"/>
      <c r="F43" s="558"/>
      <c r="G43" s="558"/>
      <c r="H43" s="779"/>
      <c r="I43" s="306">
        <v>0</v>
      </c>
      <c r="J43" s="779"/>
      <c r="K43" s="794">
        <v>0</v>
      </c>
    </row>
    <row r="44" spans="1:11" ht="13.15" x14ac:dyDescent="0.4">
      <c r="A44" s="183" t="s">
        <v>91</v>
      </c>
      <c r="B44" s="951"/>
      <c r="C44" s="952"/>
      <c r="D44" s="953"/>
      <c r="F44" s="624"/>
      <c r="G44" s="624"/>
      <c r="H44" s="624"/>
      <c r="I44" s="795">
        <v>0</v>
      </c>
      <c r="J44" s="624"/>
      <c r="K44" s="796">
        <v>0</v>
      </c>
    </row>
    <row r="45" spans="1:11" ht="13.15" x14ac:dyDescent="0.4">
      <c r="A45" s="183" t="s">
        <v>139</v>
      </c>
      <c r="B45" s="951"/>
      <c r="C45" s="952"/>
      <c r="D45" s="953"/>
      <c r="F45" s="558"/>
      <c r="G45" s="558"/>
      <c r="H45" s="779"/>
      <c r="I45" s="306">
        <v>0</v>
      </c>
      <c r="J45" s="779"/>
      <c r="K45" s="794">
        <v>0</v>
      </c>
    </row>
    <row r="46" spans="1:11" ht="13.15" x14ac:dyDescent="0.4">
      <c r="A46" s="183" t="s">
        <v>140</v>
      </c>
      <c r="B46" s="951"/>
      <c r="C46" s="952"/>
      <c r="D46" s="953"/>
      <c r="F46" s="558"/>
      <c r="G46" s="558"/>
      <c r="H46" s="779"/>
      <c r="I46" s="306">
        <v>0</v>
      </c>
      <c r="J46" s="779"/>
      <c r="K46" s="794">
        <v>0</v>
      </c>
    </row>
    <row r="47" spans="1:11" ht="13.15" x14ac:dyDescent="0.4">
      <c r="A47" s="183" t="s">
        <v>141</v>
      </c>
      <c r="B47" s="951"/>
      <c r="C47" s="952"/>
      <c r="D47" s="953"/>
      <c r="F47" s="558"/>
      <c r="G47" s="558"/>
      <c r="H47" s="779"/>
      <c r="I47" s="306">
        <v>0</v>
      </c>
      <c r="J47" s="779"/>
      <c r="K47" s="794">
        <v>0</v>
      </c>
    </row>
    <row r="49" spans="1:11" ht="13.15" x14ac:dyDescent="0.4">
      <c r="A49" s="120" t="s">
        <v>142</v>
      </c>
      <c r="B49" s="117" t="s">
        <v>143</v>
      </c>
      <c r="E49" s="117" t="s">
        <v>7</v>
      </c>
      <c r="F49" s="716">
        <v>171985.7</v>
      </c>
      <c r="G49" s="797">
        <v>0</v>
      </c>
      <c r="H49" s="783">
        <v>5990777.8403313346</v>
      </c>
      <c r="I49" s="794">
        <v>0</v>
      </c>
      <c r="J49" s="794">
        <v>0</v>
      </c>
      <c r="K49" s="783">
        <v>5990777.8403313346</v>
      </c>
    </row>
    <row r="50" spans="1:11" ht="13.15" thickBot="1" x14ac:dyDescent="0.4">
      <c r="G50" s="798"/>
      <c r="H50" s="798"/>
      <c r="I50" s="798"/>
      <c r="J50" s="798"/>
      <c r="K50" s="798"/>
    </row>
    <row r="51" spans="1:11" ht="26.25" x14ac:dyDescent="0.4">
      <c r="F51" s="122" t="s">
        <v>9</v>
      </c>
      <c r="G51" s="122" t="s">
        <v>37</v>
      </c>
      <c r="H51" s="122" t="s">
        <v>29</v>
      </c>
      <c r="I51" s="122" t="s">
        <v>30</v>
      </c>
      <c r="J51" s="122" t="s">
        <v>33</v>
      </c>
      <c r="K51" s="122" t="s">
        <v>34</v>
      </c>
    </row>
    <row r="52" spans="1:11" ht="13.15" x14ac:dyDescent="0.4">
      <c r="A52" s="120" t="s">
        <v>92</v>
      </c>
      <c r="B52" s="976" t="s">
        <v>38</v>
      </c>
      <c r="C52" s="1128"/>
    </row>
    <row r="53" spans="1:11" ht="13.15" x14ac:dyDescent="0.4">
      <c r="A53" s="183" t="s">
        <v>51</v>
      </c>
      <c r="B53" s="1129" t="s">
        <v>572</v>
      </c>
      <c r="C53" s="1130"/>
      <c r="D53" s="1131"/>
      <c r="F53" s="799">
        <v>12480</v>
      </c>
      <c r="G53" s="799">
        <v>2363</v>
      </c>
      <c r="H53" s="782">
        <v>1354656</v>
      </c>
      <c r="I53" s="308">
        <v>869773.41599566769</v>
      </c>
      <c r="J53" s="793">
        <v>1692105</v>
      </c>
      <c r="K53" s="783">
        <v>532324.41599566769</v>
      </c>
    </row>
    <row r="54" spans="1:11" ht="13.15" x14ac:dyDescent="0.4">
      <c r="A54" s="183" t="s">
        <v>93</v>
      </c>
      <c r="B54" s="800" t="s">
        <v>573</v>
      </c>
      <c r="C54" s="801"/>
      <c r="D54" s="802"/>
      <c r="F54" s="799">
        <v>8860.58</v>
      </c>
      <c r="G54" s="799">
        <v>500</v>
      </c>
      <c r="H54" s="793">
        <v>549727</v>
      </c>
      <c r="I54" s="308">
        <v>352958.92880188802</v>
      </c>
      <c r="J54" s="793">
        <v>536785</v>
      </c>
      <c r="K54" s="783">
        <v>365900.92880188802</v>
      </c>
    </row>
    <row r="55" spans="1:11" ht="13.15" x14ac:dyDescent="0.4">
      <c r="A55" s="183" t="s">
        <v>94</v>
      </c>
      <c r="B55" s="506" t="s">
        <v>483</v>
      </c>
      <c r="C55" s="519"/>
      <c r="D55" s="520"/>
      <c r="F55" s="799">
        <v>2445.9500000000003</v>
      </c>
      <c r="G55" s="799">
        <v>547</v>
      </c>
      <c r="H55" s="793">
        <v>462701</v>
      </c>
      <c r="I55" s="308">
        <v>297082.82350250648</v>
      </c>
      <c r="J55" s="779"/>
      <c r="K55" s="783">
        <v>759783.82350250648</v>
      </c>
    </row>
    <row r="56" spans="1:11" ht="13.15" x14ac:dyDescent="0.4">
      <c r="A56" s="183" t="s">
        <v>95</v>
      </c>
      <c r="B56" s="506" t="s">
        <v>530</v>
      </c>
      <c r="C56" s="519"/>
      <c r="D56" s="520"/>
      <c r="F56" s="799">
        <v>2080</v>
      </c>
      <c r="G56" s="803">
        <v>480</v>
      </c>
      <c r="H56" s="793">
        <v>98504.362000000008</v>
      </c>
      <c r="I56" s="308">
        <v>63245.927694716476</v>
      </c>
      <c r="J56" s="779"/>
      <c r="K56" s="783">
        <v>161750.28969471648</v>
      </c>
    </row>
    <row r="57" spans="1:11" ht="13.15" x14ac:dyDescent="0.4">
      <c r="A57" s="183" t="s">
        <v>96</v>
      </c>
      <c r="B57" s="800" t="s">
        <v>531</v>
      </c>
      <c r="C57" s="801"/>
      <c r="D57" s="802"/>
      <c r="F57" s="799">
        <v>1225611.79</v>
      </c>
      <c r="G57" s="799">
        <v>276614.44</v>
      </c>
      <c r="H57" s="782">
        <v>108570454</v>
      </c>
      <c r="I57" s="146">
        <v>0</v>
      </c>
      <c r="J57" s="782">
        <v>69153610</v>
      </c>
      <c r="K57" s="783">
        <v>39416844</v>
      </c>
    </row>
    <row r="58" spans="1:11" ht="13.15" x14ac:dyDescent="0.4">
      <c r="A58" s="183" t="s">
        <v>97</v>
      </c>
      <c r="B58" s="1132" t="s">
        <v>574</v>
      </c>
      <c r="C58" s="1133"/>
      <c r="D58" s="1131"/>
      <c r="F58" s="799"/>
      <c r="G58" s="803">
        <v>1139</v>
      </c>
      <c r="H58" s="793">
        <v>48595.4</v>
      </c>
      <c r="I58" s="146">
        <v>0</v>
      </c>
      <c r="J58" s="779"/>
      <c r="K58" s="783">
        <v>48595.4</v>
      </c>
    </row>
    <row r="59" spans="1:11" ht="13.15" x14ac:dyDescent="0.4">
      <c r="A59" s="183" t="s">
        <v>98</v>
      </c>
      <c r="B59" s="973" t="s">
        <v>575</v>
      </c>
      <c r="C59" s="1061"/>
      <c r="D59" s="1062"/>
      <c r="F59" s="799">
        <v>450</v>
      </c>
      <c r="G59" s="799">
        <v>900</v>
      </c>
      <c r="H59" s="782">
        <v>15398.712838477561</v>
      </c>
      <c r="I59" s="146">
        <v>0</v>
      </c>
      <c r="J59" s="779"/>
      <c r="K59" s="783">
        <v>15398.712838477561</v>
      </c>
    </row>
    <row r="60" spans="1:11" ht="13.15" x14ac:dyDescent="0.4">
      <c r="A60" s="183" t="s">
        <v>99</v>
      </c>
      <c r="B60" s="800" t="s">
        <v>576</v>
      </c>
      <c r="C60" s="519"/>
      <c r="D60" s="520"/>
      <c r="F60" s="799"/>
      <c r="G60" s="558"/>
      <c r="H60" s="779"/>
      <c r="I60" s="795">
        <v>0</v>
      </c>
      <c r="J60" s="779"/>
      <c r="K60" s="794">
        <v>0</v>
      </c>
    </row>
    <row r="61" spans="1:11" ht="13.15" x14ac:dyDescent="0.4">
      <c r="A61" s="183" t="s">
        <v>100</v>
      </c>
      <c r="B61" s="506"/>
      <c r="C61" s="519"/>
      <c r="D61" s="520"/>
      <c r="F61" s="558"/>
      <c r="G61" s="558"/>
      <c r="H61" s="779"/>
      <c r="I61" s="306">
        <v>0</v>
      </c>
      <c r="J61" s="779"/>
      <c r="K61" s="794">
        <v>0</v>
      </c>
    </row>
    <row r="62" spans="1:11" ht="13.15" x14ac:dyDescent="0.4">
      <c r="A62" s="183" t="s">
        <v>101</v>
      </c>
      <c r="B62" s="973"/>
      <c r="C62" s="1061"/>
      <c r="D62" s="1062"/>
      <c r="F62" s="558"/>
      <c r="G62" s="558"/>
      <c r="H62" s="779"/>
      <c r="I62" s="306">
        <v>0</v>
      </c>
      <c r="J62" s="779"/>
      <c r="K62" s="794">
        <v>0</v>
      </c>
    </row>
    <row r="63" spans="1:11" ht="13.15" x14ac:dyDescent="0.4">
      <c r="A63" s="183"/>
      <c r="I63" s="804"/>
    </row>
    <row r="64" spans="1:11" ht="13.15" x14ac:dyDescent="0.4">
      <c r="A64" s="183" t="s">
        <v>144</v>
      </c>
      <c r="B64" s="117" t="s">
        <v>145</v>
      </c>
      <c r="E64" s="117" t="s">
        <v>7</v>
      </c>
      <c r="F64" s="799">
        <v>1251928.32</v>
      </c>
      <c r="G64" s="785">
        <v>282543.44</v>
      </c>
      <c r="H64" s="783">
        <v>111100036.47483848</v>
      </c>
      <c r="I64" s="783">
        <v>1583061.0959947789</v>
      </c>
      <c r="J64" s="783">
        <v>71382500</v>
      </c>
      <c r="K64" s="783">
        <v>41300597.570833258</v>
      </c>
    </row>
    <row r="65" spans="1:11" ht="12.75" x14ac:dyDescent="0.35">
      <c r="F65" s="805"/>
      <c r="G65" s="805"/>
      <c r="H65" s="805"/>
      <c r="I65" s="805"/>
      <c r="J65" s="805"/>
      <c r="K65" s="805"/>
    </row>
    <row r="66" spans="1:11" ht="26.25" x14ac:dyDescent="0.4">
      <c r="F66" s="147" t="s">
        <v>9</v>
      </c>
      <c r="G66" s="147" t="s">
        <v>37</v>
      </c>
      <c r="H66" s="147" t="s">
        <v>29</v>
      </c>
      <c r="I66" s="147" t="s">
        <v>30</v>
      </c>
      <c r="J66" s="147" t="s">
        <v>33</v>
      </c>
      <c r="K66" s="147" t="s">
        <v>34</v>
      </c>
    </row>
    <row r="67" spans="1:11" ht="13.15" x14ac:dyDescent="0.4">
      <c r="A67" s="120" t="s">
        <v>102</v>
      </c>
      <c r="B67" s="117" t="s">
        <v>12</v>
      </c>
      <c r="F67" s="806"/>
      <c r="G67" s="806"/>
      <c r="H67" s="806"/>
      <c r="I67" s="807"/>
      <c r="J67" s="806"/>
      <c r="K67" s="808"/>
    </row>
    <row r="68" spans="1:11" ht="13.15" x14ac:dyDescent="0.4">
      <c r="A68" s="183" t="s">
        <v>103</v>
      </c>
      <c r="B68" s="116" t="s">
        <v>52</v>
      </c>
      <c r="F68" s="809"/>
      <c r="G68" s="809"/>
      <c r="H68" s="782">
        <v>681748</v>
      </c>
      <c r="I68" s="306">
        <v>0</v>
      </c>
      <c r="J68" s="809"/>
      <c r="K68" s="783">
        <v>681748</v>
      </c>
    </row>
    <row r="69" spans="1:11" ht="13.15" x14ac:dyDescent="0.4">
      <c r="A69" s="183" t="s">
        <v>104</v>
      </c>
      <c r="B69" s="116" t="s">
        <v>53</v>
      </c>
      <c r="F69" s="809"/>
      <c r="G69" s="809"/>
      <c r="H69" s="809"/>
      <c r="I69" s="306">
        <v>0</v>
      </c>
      <c r="J69" s="809"/>
      <c r="K69" s="794">
        <v>0</v>
      </c>
    </row>
    <row r="70" spans="1:11" ht="13.15" x14ac:dyDescent="0.4">
      <c r="A70" s="183" t="s">
        <v>178</v>
      </c>
      <c r="B70" s="506"/>
      <c r="C70" s="519"/>
      <c r="D70" s="520"/>
      <c r="E70" s="117"/>
      <c r="F70" s="810"/>
      <c r="G70" s="810"/>
      <c r="H70" s="811"/>
      <c r="I70" s="306">
        <v>0</v>
      </c>
      <c r="J70" s="811"/>
      <c r="K70" s="794">
        <v>0</v>
      </c>
    </row>
    <row r="71" spans="1:11" ht="13.15" x14ac:dyDescent="0.4">
      <c r="A71" s="183" t="s">
        <v>179</v>
      </c>
      <c r="B71" s="506"/>
      <c r="C71" s="519"/>
      <c r="D71" s="520"/>
      <c r="E71" s="117"/>
      <c r="F71" s="810"/>
      <c r="G71" s="810"/>
      <c r="H71" s="811"/>
      <c r="I71" s="306">
        <v>0</v>
      </c>
      <c r="J71" s="811"/>
      <c r="K71" s="794">
        <v>0</v>
      </c>
    </row>
    <row r="72" spans="1:11" ht="13.15" x14ac:dyDescent="0.4">
      <c r="A72" s="183" t="s">
        <v>180</v>
      </c>
      <c r="B72" s="507"/>
      <c r="C72" s="812"/>
      <c r="D72" s="813"/>
      <c r="E72" s="117"/>
      <c r="F72" s="558"/>
      <c r="G72" s="558"/>
      <c r="H72" s="779"/>
      <c r="I72" s="306">
        <v>0</v>
      </c>
      <c r="J72" s="779"/>
      <c r="K72" s="794">
        <v>0</v>
      </c>
    </row>
    <row r="73" spans="1:11" ht="13.15" x14ac:dyDescent="0.4">
      <c r="A73" s="183"/>
      <c r="E73" s="117"/>
      <c r="F73" s="814"/>
      <c r="G73" s="814"/>
      <c r="H73" s="815"/>
      <c r="I73" s="807"/>
      <c r="J73" s="815"/>
      <c r="K73" s="808"/>
    </row>
    <row r="74" spans="1:11" ht="13.15" x14ac:dyDescent="0.4">
      <c r="A74" s="120" t="s">
        <v>146</v>
      </c>
      <c r="B74" s="117" t="s">
        <v>147</v>
      </c>
      <c r="E74" s="117" t="s">
        <v>7</v>
      </c>
      <c r="F74" s="816">
        <v>0</v>
      </c>
      <c r="G74" s="816">
        <v>0</v>
      </c>
      <c r="H74" s="782">
        <v>681748</v>
      </c>
      <c r="I74" s="817">
        <v>0</v>
      </c>
      <c r="J74" s="816">
        <v>0</v>
      </c>
      <c r="K74" s="818">
        <v>681748</v>
      </c>
    </row>
    <row r="75" spans="1:11" ht="26.25" x14ac:dyDescent="0.4">
      <c r="F75" s="122" t="s">
        <v>9</v>
      </c>
      <c r="G75" s="122" t="s">
        <v>37</v>
      </c>
      <c r="H75" s="122" t="s">
        <v>29</v>
      </c>
      <c r="I75" s="122" t="s">
        <v>30</v>
      </c>
      <c r="J75" s="122" t="s">
        <v>33</v>
      </c>
      <c r="K75" s="122" t="s">
        <v>34</v>
      </c>
    </row>
    <row r="76" spans="1:11" ht="13.15" x14ac:dyDescent="0.4">
      <c r="A76" s="120" t="s">
        <v>105</v>
      </c>
      <c r="B76" s="117" t="s">
        <v>106</v>
      </c>
    </row>
    <row r="77" spans="1:11" ht="13.15" x14ac:dyDescent="0.4">
      <c r="A77" s="183" t="s">
        <v>107</v>
      </c>
      <c r="B77" s="116" t="s">
        <v>54</v>
      </c>
      <c r="F77" s="558"/>
      <c r="G77" s="624"/>
      <c r="H77" s="793">
        <v>77400</v>
      </c>
      <c r="I77" s="306">
        <v>0</v>
      </c>
      <c r="J77" s="779"/>
      <c r="K77" s="783">
        <v>77400</v>
      </c>
    </row>
    <row r="78" spans="1:11" ht="13.15" x14ac:dyDescent="0.4">
      <c r="A78" s="183" t="s">
        <v>108</v>
      </c>
      <c r="B78" s="116" t="s">
        <v>55</v>
      </c>
      <c r="F78" s="558"/>
      <c r="G78" s="558"/>
      <c r="H78" s="779"/>
      <c r="I78" s="306">
        <v>0</v>
      </c>
      <c r="J78" s="779"/>
      <c r="K78" s="794">
        <v>0</v>
      </c>
    </row>
    <row r="79" spans="1:11" ht="13.15" x14ac:dyDescent="0.4">
      <c r="A79" s="183" t="s">
        <v>109</v>
      </c>
      <c r="B79" s="116" t="s">
        <v>13</v>
      </c>
      <c r="F79" s="558">
        <v>80</v>
      </c>
      <c r="G79" s="558">
        <v>477</v>
      </c>
      <c r="H79" s="793">
        <v>4535.2</v>
      </c>
      <c r="I79" s="306">
        <v>0</v>
      </c>
      <c r="J79" s="819"/>
      <c r="K79" s="783">
        <v>4535.2</v>
      </c>
    </row>
    <row r="80" spans="1:11" ht="13.15" x14ac:dyDescent="0.4">
      <c r="A80" s="183" t="s">
        <v>110</v>
      </c>
      <c r="B80" s="116" t="s">
        <v>56</v>
      </c>
      <c r="F80" s="558"/>
      <c r="G80" s="558"/>
      <c r="H80" s="779"/>
      <c r="I80" s="306">
        <v>0</v>
      </c>
      <c r="J80" s="779"/>
      <c r="K80" s="794">
        <v>0</v>
      </c>
    </row>
    <row r="81" spans="1:11" ht="13.15" x14ac:dyDescent="0.4">
      <c r="A81" s="183"/>
      <c r="K81" s="820"/>
    </row>
    <row r="82" spans="1:11" ht="13.15" x14ac:dyDescent="0.4">
      <c r="A82" s="183" t="s">
        <v>148</v>
      </c>
      <c r="B82" s="117" t="s">
        <v>149</v>
      </c>
      <c r="E82" s="117" t="s">
        <v>7</v>
      </c>
      <c r="F82" s="816">
        <v>80</v>
      </c>
      <c r="G82" s="816">
        <v>477</v>
      </c>
      <c r="H82" s="818">
        <v>81935.199999999997</v>
      </c>
      <c r="I82" s="821">
        <v>0</v>
      </c>
      <c r="J82" s="821">
        <v>0</v>
      </c>
      <c r="K82" s="818">
        <v>81935.199999999997</v>
      </c>
    </row>
    <row r="83" spans="1:11" ht="13.5" thickBot="1" x14ac:dyDescent="0.45">
      <c r="A83" s="183"/>
      <c r="F83" s="798"/>
      <c r="G83" s="798"/>
      <c r="H83" s="798"/>
      <c r="I83" s="798"/>
      <c r="J83" s="798"/>
      <c r="K83" s="798"/>
    </row>
    <row r="84" spans="1:11" ht="26.25" x14ac:dyDescent="0.4">
      <c r="F84" s="122" t="s">
        <v>9</v>
      </c>
      <c r="G84" s="122" t="s">
        <v>37</v>
      </c>
      <c r="H84" s="122" t="s">
        <v>29</v>
      </c>
      <c r="I84" s="122" t="s">
        <v>30</v>
      </c>
      <c r="J84" s="122" t="s">
        <v>33</v>
      </c>
      <c r="K84" s="122" t="s">
        <v>34</v>
      </c>
    </row>
    <row r="85" spans="1:11" ht="13.15" x14ac:dyDescent="0.4">
      <c r="A85" s="120" t="s">
        <v>111</v>
      </c>
      <c r="B85" s="117" t="s">
        <v>57</v>
      </c>
    </row>
    <row r="86" spans="1:11" ht="13.15" x14ac:dyDescent="0.4">
      <c r="A86" s="183" t="s">
        <v>112</v>
      </c>
      <c r="B86" s="116" t="s">
        <v>113</v>
      </c>
      <c r="F86" s="558"/>
      <c r="G86" s="558"/>
      <c r="H86" s="779"/>
      <c r="I86" s="306">
        <v>0</v>
      </c>
      <c r="J86" s="779"/>
      <c r="K86" s="794">
        <v>0</v>
      </c>
    </row>
    <row r="87" spans="1:11" ht="13.15" x14ac:dyDescent="0.4">
      <c r="A87" s="183" t="s">
        <v>114</v>
      </c>
      <c r="B87" s="116" t="s">
        <v>14</v>
      </c>
      <c r="F87" s="558"/>
      <c r="G87" s="558"/>
      <c r="H87" s="779"/>
      <c r="I87" s="306">
        <v>0</v>
      </c>
      <c r="J87" s="779"/>
      <c r="K87" s="794">
        <v>0</v>
      </c>
    </row>
    <row r="88" spans="1:11" ht="13.15" x14ac:dyDescent="0.4">
      <c r="A88" s="183" t="s">
        <v>115</v>
      </c>
      <c r="B88" s="116" t="s">
        <v>116</v>
      </c>
      <c r="F88" s="558"/>
      <c r="G88" s="558"/>
      <c r="H88" s="782">
        <v>27500</v>
      </c>
      <c r="I88" s="788">
        <v>17656.710589168659</v>
      </c>
      <c r="J88" s="779"/>
      <c r="K88" s="783">
        <v>45156.710589168659</v>
      </c>
    </row>
    <row r="89" spans="1:11" ht="13.15" x14ac:dyDescent="0.4">
      <c r="A89" s="183" t="s">
        <v>117</v>
      </c>
      <c r="B89" s="116" t="s">
        <v>58</v>
      </c>
      <c r="F89" s="558"/>
      <c r="G89" s="558"/>
      <c r="H89" s="779"/>
      <c r="I89" s="306">
        <v>0</v>
      </c>
      <c r="J89" s="779"/>
      <c r="K89" s="794">
        <v>0</v>
      </c>
    </row>
    <row r="90" spans="1:11" ht="13.15" x14ac:dyDescent="0.4">
      <c r="A90" s="183" t="s">
        <v>118</v>
      </c>
      <c r="B90" s="956" t="s">
        <v>59</v>
      </c>
      <c r="C90" s="956"/>
      <c r="F90" s="558"/>
      <c r="G90" s="558"/>
      <c r="H90" s="779"/>
      <c r="I90" s="306">
        <v>0</v>
      </c>
      <c r="J90" s="779"/>
      <c r="K90" s="794">
        <v>0</v>
      </c>
    </row>
    <row r="91" spans="1:11" ht="13.15" x14ac:dyDescent="0.4">
      <c r="A91" s="183" t="s">
        <v>119</v>
      </c>
      <c r="B91" s="116" t="s">
        <v>60</v>
      </c>
      <c r="F91" s="558"/>
      <c r="G91" s="558"/>
      <c r="H91" s="779"/>
      <c r="I91" s="306">
        <v>0</v>
      </c>
      <c r="J91" s="779"/>
      <c r="K91" s="794">
        <v>0</v>
      </c>
    </row>
    <row r="92" spans="1:11" ht="13.15" x14ac:dyDescent="0.4">
      <c r="A92" s="183" t="s">
        <v>120</v>
      </c>
      <c r="B92" s="116" t="s">
        <v>121</v>
      </c>
      <c r="F92" s="822"/>
      <c r="G92" s="822"/>
      <c r="H92" s="823"/>
      <c r="I92" s="306">
        <v>0</v>
      </c>
      <c r="J92" s="823"/>
      <c r="K92" s="794">
        <v>0</v>
      </c>
    </row>
    <row r="93" spans="1:11" ht="13.15" x14ac:dyDescent="0.4">
      <c r="A93" s="183" t="s">
        <v>122</v>
      </c>
      <c r="B93" s="116" t="s">
        <v>123</v>
      </c>
      <c r="F93" s="558"/>
      <c r="G93" s="558"/>
      <c r="H93" s="779"/>
      <c r="I93" s="306">
        <v>0</v>
      </c>
      <c r="J93" s="779"/>
      <c r="K93" s="794">
        <v>0</v>
      </c>
    </row>
    <row r="94" spans="1:11" ht="13.15" x14ac:dyDescent="0.4">
      <c r="A94" s="183" t="s">
        <v>124</v>
      </c>
      <c r="B94" s="973"/>
      <c r="C94" s="1061"/>
      <c r="D94" s="1062"/>
      <c r="F94" s="558"/>
      <c r="G94" s="558"/>
      <c r="H94" s="779"/>
      <c r="I94" s="306">
        <v>0</v>
      </c>
      <c r="J94" s="779"/>
      <c r="K94" s="794">
        <v>0</v>
      </c>
    </row>
    <row r="95" spans="1:11" ht="13.15" x14ac:dyDescent="0.4">
      <c r="A95" s="183" t="s">
        <v>125</v>
      </c>
      <c r="B95" s="973"/>
      <c r="C95" s="1061"/>
      <c r="D95" s="1062"/>
      <c r="F95" s="558"/>
      <c r="G95" s="558"/>
      <c r="H95" s="779"/>
      <c r="I95" s="306">
        <v>0</v>
      </c>
      <c r="J95" s="779"/>
      <c r="K95" s="794">
        <v>0</v>
      </c>
    </row>
    <row r="96" spans="1:11" ht="13.15" x14ac:dyDescent="0.4">
      <c r="A96" s="183" t="s">
        <v>126</v>
      </c>
      <c r="B96" s="973"/>
      <c r="C96" s="1061"/>
      <c r="D96" s="1062"/>
      <c r="F96" s="558"/>
      <c r="G96" s="558"/>
      <c r="H96" s="779"/>
      <c r="I96" s="306">
        <v>0</v>
      </c>
      <c r="J96" s="779"/>
      <c r="K96" s="794">
        <v>0</v>
      </c>
    </row>
    <row r="97" spans="1:11" ht="13.15" x14ac:dyDescent="0.4">
      <c r="A97" s="183"/>
    </row>
    <row r="98" spans="1:11" ht="13.15" x14ac:dyDescent="0.4">
      <c r="A98" s="120" t="s">
        <v>150</v>
      </c>
      <c r="B98" s="117" t="s">
        <v>151</v>
      </c>
      <c r="E98" s="117" t="s">
        <v>7</v>
      </c>
      <c r="F98" s="785">
        <v>0</v>
      </c>
      <c r="G98" s="785">
        <v>0</v>
      </c>
      <c r="H98" s="785">
        <v>27500</v>
      </c>
      <c r="I98" s="785">
        <v>17656.710589168659</v>
      </c>
      <c r="J98" s="785">
        <v>0</v>
      </c>
      <c r="K98" s="785">
        <v>45156.710589168659</v>
      </c>
    </row>
    <row r="99" spans="1:11" ht="13.5" thickBot="1" x14ac:dyDescent="0.45">
      <c r="B99" s="117"/>
      <c r="F99" s="798"/>
      <c r="G99" s="798"/>
      <c r="H99" s="798"/>
      <c r="I99" s="798"/>
      <c r="J99" s="798"/>
      <c r="K99" s="798"/>
    </row>
    <row r="100" spans="1:11" ht="26.25" x14ac:dyDescent="0.4">
      <c r="F100" s="122" t="s">
        <v>9</v>
      </c>
      <c r="G100" s="122" t="s">
        <v>37</v>
      </c>
      <c r="H100" s="122" t="s">
        <v>29</v>
      </c>
      <c r="I100" s="122" t="s">
        <v>30</v>
      </c>
      <c r="J100" s="122" t="s">
        <v>33</v>
      </c>
      <c r="K100" s="122" t="s">
        <v>34</v>
      </c>
    </row>
    <row r="101" spans="1:11" ht="13.15" x14ac:dyDescent="0.4">
      <c r="A101" s="120" t="s">
        <v>130</v>
      </c>
      <c r="B101" s="117" t="s">
        <v>63</v>
      </c>
    </row>
    <row r="102" spans="1:11" ht="13.15" x14ac:dyDescent="0.4">
      <c r="A102" s="183" t="s">
        <v>131</v>
      </c>
      <c r="B102" s="116" t="s">
        <v>152</v>
      </c>
      <c r="F102" s="558">
        <v>4520</v>
      </c>
      <c r="G102" s="558"/>
      <c r="H102" s="793">
        <v>174024.00428571424</v>
      </c>
      <c r="I102" s="788">
        <v>111734.23560876738</v>
      </c>
      <c r="J102" s="779"/>
      <c r="K102" s="783">
        <v>285758.23989448161</v>
      </c>
    </row>
    <row r="103" spans="1:11" ht="13.15" x14ac:dyDescent="0.4">
      <c r="A103" s="183" t="s">
        <v>132</v>
      </c>
      <c r="B103" s="956" t="s">
        <v>62</v>
      </c>
      <c r="C103" s="956"/>
      <c r="F103" s="558"/>
      <c r="G103" s="558"/>
      <c r="H103" s="793">
        <v>38616</v>
      </c>
      <c r="I103" s="788">
        <v>24793.874040412255</v>
      </c>
      <c r="J103" s="779"/>
      <c r="K103" s="783">
        <v>63409.874040412251</v>
      </c>
    </row>
    <row r="104" spans="1:11" ht="13.15" x14ac:dyDescent="0.4">
      <c r="A104" s="183" t="s">
        <v>128</v>
      </c>
      <c r="B104" s="973"/>
      <c r="C104" s="1061"/>
      <c r="D104" s="1062"/>
      <c r="F104" s="558"/>
      <c r="G104" s="558"/>
      <c r="H104" s="779"/>
      <c r="I104" s="306">
        <v>0</v>
      </c>
      <c r="J104" s="779"/>
      <c r="K104" s="794">
        <v>0</v>
      </c>
    </row>
    <row r="105" spans="1:11" ht="13.15" x14ac:dyDescent="0.4">
      <c r="A105" s="183" t="s">
        <v>127</v>
      </c>
      <c r="B105" s="973"/>
      <c r="C105" s="1061"/>
      <c r="D105" s="1062"/>
      <c r="F105" s="558"/>
      <c r="G105" s="558"/>
      <c r="H105" s="779"/>
      <c r="I105" s="306">
        <v>0</v>
      </c>
      <c r="J105" s="779"/>
      <c r="K105" s="794">
        <v>0</v>
      </c>
    </row>
    <row r="106" spans="1:11" ht="13.15" x14ac:dyDescent="0.4">
      <c r="A106" s="183" t="s">
        <v>129</v>
      </c>
      <c r="B106" s="973"/>
      <c r="C106" s="1061"/>
      <c r="D106" s="1062"/>
      <c r="F106" s="558"/>
      <c r="G106" s="558"/>
      <c r="H106" s="779"/>
      <c r="I106" s="306">
        <v>0</v>
      </c>
      <c r="J106" s="779"/>
      <c r="K106" s="794">
        <v>0</v>
      </c>
    </row>
    <row r="107" spans="1:11" ht="13.15" x14ac:dyDescent="0.4">
      <c r="B107" s="117"/>
    </row>
    <row r="108" spans="1:11" ht="13.15" x14ac:dyDescent="0.4">
      <c r="A108" s="120" t="s">
        <v>153</v>
      </c>
      <c r="B108" s="153" t="s">
        <v>154</v>
      </c>
      <c r="E108" s="117" t="s">
        <v>7</v>
      </c>
      <c r="F108" s="785">
        <v>4520</v>
      </c>
      <c r="G108" s="785">
        <v>0</v>
      </c>
      <c r="H108" s="783">
        <v>212640.00428571424</v>
      </c>
      <c r="I108" s="783">
        <v>136528.10964917965</v>
      </c>
      <c r="J108" s="794">
        <v>0</v>
      </c>
      <c r="K108" s="783">
        <v>349168.11393489386</v>
      </c>
    </row>
    <row r="109" spans="1:11" ht="13.5" thickBot="1" x14ac:dyDescent="0.45">
      <c r="A109" s="824"/>
      <c r="B109" s="125"/>
      <c r="C109" s="825"/>
      <c r="D109" s="825"/>
      <c r="E109" s="825"/>
      <c r="F109" s="798"/>
      <c r="G109" s="798"/>
      <c r="H109" s="798"/>
      <c r="I109" s="798"/>
      <c r="J109" s="798"/>
      <c r="K109" s="798"/>
    </row>
    <row r="110" spans="1:11" ht="13.15" x14ac:dyDescent="0.4">
      <c r="A110" s="120" t="s">
        <v>156</v>
      </c>
      <c r="B110" s="117" t="s">
        <v>39</v>
      </c>
    </row>
    <row r="111" spans="1:11" ht="13.15" x14ac:dyDescent="0.4">
      <c r="A111" s="120" t="s">
        <v>155</v>
      </c>
      <c r="B111" s="117" t="s">
        <v>164</v>
      </c>
      <c r="E111" s="117" t="s">
        <v>7</v>
      </c>
      <c r="F111" s="793">
        <v>1264000</v>
      </c>
    </row>
    <row r="112" spans="1:11" ht="13.15" x14ac:dyDescent="0.4">
      <c r="B112" s="117"/>
      <c r="E112" s="117"/>
      <c r="F112" s="103"/>
    </row>
    <row r="113" spans="1:6" ht="13.15" x14ac:dyDescent="0.4">
      <c r="A113" s="120"/>
      <c r="B113" s="117" t="s">
        <v>15</v>
      </c>
    </row>
    <row r="114" spans="1:6" ht="13.15" x14ac:dyDescent="0.4">
      <c r="A114" s="183" t="s">
        <v>171</v>
      </c>
      <c r="B114" s="116" t="s">
        <v>35</v>
      </c>
      <c r="F114" s="826">
        <v>0.64206220324249674</v>
      </c>
    </row>
    <row r="115" spans="1:6" ht="13.15" x14ac:dyDescent="0.4">
      <c r="A115" s="183"/>
      <c r="B115" s="117"/>
    </row>
    <row r="116" spans="1:6" ht="13.15" x14ac:dyDescent="0.4">
      <c r="A116" s="183" t="s">
        <v>170</v>
      </c>
      <c r="B116" s="117" t="s">
        <v>16</v>
      </c>
    </row>
    <row r="117" spans="1:6" ht="13.15" x14ac:dyDescent="0.4">
      <c r="A117" s="183" t="s">
        <v>172</v>
      </c>
      <c r="B117" s="116" t="s">
        <v>17</v>
      </c>
      <c r="F117" s="793">
        <v>499139699.99999994</v>
      </c>
    </row>
    <row r="118" spans="1:6" ht="13.15" x14ac:dyDescent="0.4">
      <c r="A118" s="183" t="s">
        <v>173</v>
      </c>
      <c r="B118" s="116" t="s">
        <v>18</v>
      </c>
      <c r="F118" s="793">
        <v>19325300</v>
      </c>
    </row>
    <row r="119" spans="1:6" ht="13.15" x14ac:dyDescent="0.4">
      <c r="A119" s="183" t="s">
        <v>174</v>
      </c>
      <c r="B119" s="117" t="s">
        <v>19</v>
      </c>
      <c r="F119" s="818">
        <v>518464999.99999994</v>
      </c>
    </row>
    <row r="120" spans="1:6" ht="13.15" x14ac:dyDescent="0.4">
      <c r="A120" s="183"/>
      <c r="B120" s="117"/>
    </row>
    <row r="121" spans="1:6" ht="13.15" x14ac:dyDescent="0.4">
      <c r="A121" s="183" t="s">
        <v>167</v>
      </c>
      <c r="B121" s="117" t="s">
        <v>36</v>
      </c>
      <c r="F121" s="793">
        <v>524072000</v>
      </c>
    </row>
    <row r="122" spans="1:6" ht="13.15" x14ac:dyDescent="0.4">
      <c r="A122" s="183"/>
    </row>
    <row r="123" spans="1:6" ht="13.15" x14ac:dyDescent="0.4">
      <c r="A123" s="183" t="s">
        <v>175</v>
      </c>
      <c r="B123" s="117" t="s">
        <v>20</v>
      </c>
      <c r="F123" s="793">
        <v>-5607000.0000000596</v>
      </c>
    </row>
    <row r="124" spans="1:6" ht="13.15" x14ac:dyDescent="0.4">
      <c r="A124" s="183"/>
    </row>
    <row r="125" spans="1:6" ht="13.15" x14ac:dyDescent="0.4">
      <c r="A125" s="183" t="s">
        <v>176</v>
      </c>
      <c r="B125" s="117" t="s">
        <v>21</v>
      </c>
      <c r="F125" s="793">
        <v>16884000</v>
      </c>
    </row>
    <row r="126" spans="1:6" ht="13.15" x14ac:dyDescent="0.4">
      <c r="A126" s="183"/>
    </row>
    <row r="127" spans="1:6" ht="13.15" x14ac:dyDescent="0.4">
      <c r="A127" s="183" t="s">
        <v>177</v>
      </c>
      <c r="B127" s="117" t="s">
        <v>22</v>
      </c>
      <c r="F127" s="793">
        <v>11276999.99999994</v>
      </c>
    </row>
    <row r="128" spans="1:6" ht="13.15" x14ac:dyDescent="0.4">
      <c r="A128" s="183"/>
    </row>
    <row r="129" spans="1:11" ht="26.25" x14ac:dyDescent="0.4">
      <c r="F129" s="122" t="s">
        <v>9</v>
      </c>
      <c r="G129" s="122" t="s">
        <v>37</v>
      </c>
      <c r="H129" s="122" t="s">
        <v>29</v>
      </c>
      <c r="I129" s="122" t="s">
        <v>30</v>
      </c>
      <c r="J129" s="122" t="s">
        <v>33</v>
      </c>
      <c r="K129" s="122" t="s">
        <v>34</v>
      </c>
    </row>
    <row r="130" spans="1:11" ht="13.15" x14ac:dyDescent="0.4">
      <c r="A130" s="120" t="s">
        <v>157</v>
      </c>
      <c r="B130" s="117" t="s">
        <v>23</v>
      </c>
    </row>
    <row r="131" spans="1:11" ht="13.15" x14ac:dyDescent="0.4">
      <c r="A131" s="183" t="s">
        <v>158</v>
      </c>
      <c r="B131" s="116" t="s">
        <v>24</v>
      </c>
      <c r="F131" s="558"/>
      <c r="G131" s="558"/>
      <c r="H131" s="779"/>
      <c r="I131" s="306">
        <v>0</v>
      </c>
      <c r="J131" s="779"/>
      <c r="K131" s="794">
        <v>0</v>
      </c>
    </row>
    <row r="132" spans="1:11" ht="13.15" x14ac:dyDescent="0.4">
      <c r="A132" s="183" t="s">
        <v>159</v>
      </c>
      <c r="B132" s="116" t="s">
        <v>25</v>
      </c>
      <c r="F132" s="558"/>
      <c r="G132" s="558"/>
      <c r="H132" s="779"/>
      <c r="I132" s="306">
        <v>0</v>
      </c>
      <c r="J132" s="779"/>
      <c r="K132" s="794">
        <v>0</v>
      </c>
    </row>
    <row r="133" spans="1:11" ht="13.15" x14ac:dyDescent="0.4">
      <c r="A133" s="183" t="s">
        <v>160</v>
      </c>
      <c r="B133" s="951"/>
      <c r="C133" s="952"/>
      <c r="D133" s="953"/>
      <c r="F133" s="558"/>
      <c r="G133" s="558"/>
      <c r="H133" s="779"/>
      <c r="I133" s="306">
        <v>0</v>
      </c>
      <c r="J133" s="779"/>
      <c r="K133" s="794">
        <v>0</v>
      </c>
    </row>
    <row r="134" spans="1:11" ht="13.15" x14ac:dyDescent="0.4">
      <c r="A134" s="183" t="s">
        <v>161</v>
      </c>
      <c r="B134" s="951"/>
      <c r="C134" s="952"/>
      <c r="D134" s="953"/>
      <c r="F134" s="558"/>
      <c r="G134" s="558"/>
      <c r="H134" s="779"/>
      <c r="I134" s="306">
        <v>0</v>
      </c>
      <c r="J134" s="779"/>
      <c r="K134" s="794">
        <v>0</v>
      </c>
    </row>
    <row r="135" spans="1:11" ht="13.15" x14ac:dyDescent="0.4">
      <c r="A135" s="183" t="s">
        <v>162</v>
      </c>
      <c r="B135" s="951"/>
      <c r="C135" s="952"/>
      <c r="D135" s="953"/>
      <c r="F135" s="558"/>
      <c r="G135" s="558"/>
      <c r="H135" s="779"/>
      <c r="I135" s="306">
        <v>0</v>
      </c>
      <c r="J135" s="779"/>
      <c r="K135" s="794">
        <v>0</v>
      </c>
    </row>
    <row r="136" spans="1:11" ht="13.15" x14ac:dyDescent="0.4">
      <c r="A136" s="120"/>
    </row>
    <row r="137" spans="1:11" ht="13.15" x14ac:dyDescent="0.4">
      <c r="A137" s="120" t="s">
        <v>163</v>
      </c>
      <c r="B137" s="117" t="s">
        <v>27</v>
      </c>
      <c r="F137" s="785">
        <v>0</v>
      </c>
      <c r="G137" s="785">
        <v>0</v>
      </c>
      <c r="H137" s="794">
        <v>0</v>
      </c>
      <c r="I137" s="794">
        <v>0</v>
      </c>
      <c r="J137" s="794">
        <v>0</v>
      </c>
      <c r="K137" s="794">
        <v>0</v>
      </c>
    </row>
    <row r="138" spans="1:11" ht="12.75" x14ac:dyDescent="0.35">
      <c r="A138" s="116"/>
    </row>
    <row r="139" spans="1:11" ht="26.25" x14ac:dyDescent="0.4">
      <c r="F139" s="122" t="s">
        <v>9</v>
      </c>
      <c r="G139" s="122" t="s">
        <v>37</v>
      </c>
      <c r="H139" s="122" t="s">
        <v>29</v>
      </c>
      <c r="I139" s="122" t="s">
        <v>30</v>
      </c>
      <c r="J139" s="122" t="s">
        <v>33</v>
      </c>
      <c r="K139" s="122" t="s">
        <v>34</v>
      </c>
    </row>
    <row r="140" spans="1:11" ht="13.15" x14ac:dyDescent="0.4">
      <c r="A140" s="120" t="s">
        <v>166</v>
      </c>
      <c r="B140" s="117" t="s">
        <v>26</v>
      </c>
    </row>
    <row r="141" spans="1:11" ht="13.15" x14ac:dyDescent="0.4">
      <c r="A141" s="183" t="s">
        <v>137</v>
      </c>
      <c r="B141" s="117" t="s">
        <v>64</v>
      </c>
      <c r="F141" s="827">
        <v>9878.58</v>
      </c>
      <c r="G141" s="827">
        <v>96285</v>
      </c>
      <c r="H141" s="827">
        <v>655331.31873342232</v>
      </c>
      <c r="I141" s="827">
        <v>420763.470359792</v>
      </c>
      <c r="J141" s="827">
        <v>3145</v>
      </c>
      <c r="K141" s="827">
        <v>1072949.7890932143</v>
      </c>
    </row>
    <row r="142" spans="1:11" ht="13.15" x14ac:dyDescent="0.4">
      <c r="A142" s="183" t="s">
        <v>142</v>
      </c>
      <c r="B142" s="117" t="s">
        <v>65</v>
      </c>
      <c r="F142" s="827">
        <v>171985.7</v>
      </c>
      <c r="G142" s="827">
        <v>0</v>
      </c>
      <c r="H142" s="827">
        <v>5990777.8403313346</v>
      </c>
      <c r="I142" s="827">
        <v>0</v>
      </c>
      <c r="J142" s="827">
        <v>0</v>
      </c>
      <c r="K142" s="827">
        <v>5990777.8403313346</v>
      </c>
    </row>
    <row r="143" spans="1:11" ht="13.15" x14ac:dyDescent="0.4">
      <c r="A143" s="183" t="s">
        <v>144</v>
      </c>
      <c r="B143" s="117" t="s">
        <v>66</v>
      </c>
      <c r="F143" s="827">
        <v>1251928.32</v>
      </c>
      <c r="G143" s="827">
        <v>282543.44</v>
      </c>
      <c r="H143" s="827">
        <v>111100036.47483848</v>
      </c>
      <c r="I143" s="827">
        <v>1583061.0959947789</v>
      </c>
      <c r="J143" s="827">
        <v>71382500</v>
      </c>
      <c r="K143" s="827">
        <v>41300597.570833258</v>
      </c>
    </row>
    <row r="144" spans="1:11" ht="13.15" x14ac:dyDescent="0.4">
      <c r="A144" s="183" t="s">
        <v>146</v>
      </c>
      <c r="B144" s="117" t="s">
        <v>67</v>
      </c>
      <c r="F144" s="827">
        <v>0</v>
      </c>
      <c r="G144" s="827">
        <v>0</v>
      </c>
      <c r="H144" s="827">
        <v>681748</v>
      </c>
      <c r="I144" s="827">
        <v>0</v>
      </c>
      <c r="J144" s="827">
        <v>0</v>
      </c>
      <c r="K144" s="827">
        <v>681748</v>
      </c>
    </row>
    <row r="145" spans="1:11" ht="13.15" x14ac:dyDescent="0.4">
      <c r="A145" s="183" t="s">
        <v>148</v>
      </c>
      <c r="B145" s="117" t="s">
        <v>68</v>
      </c>
      <c r="F145" s="827">
        <v>80</v>
      </c>
      <c r="G145" s="827">
        <v>477</v>
      </c>
      <c r="H145" s="827">
        <v>81935.199999999997</v>
      </c>
      <c r="I145" s="827">
        <v>0</v>
      </c>
      <c r="J145" s="827">
        <v>0</v>
      </c>
      <c r="K145" s="827">
        <v>81935.199999999997</v>
      </c>
    </row>
    <row r="146" spans="1:11" ht="13.15" x14ac:dyDescent="0.4">
      <c r="A146" s="183" t="s">
        <v>150</v>
      </c>
      <c r="B146" s="117" t="s">
        <v>69</v>
      </c>
      <c r="F146" s="827">
        <v>0</v>
      </c>
      <c r="G146" s="827">
        <v>0</v>
      </c>
      <c r="H146" s="827">
        <v>27500</v>
      </c>
      <c r="I146" s="827">
        <v>17656.710589168659</v>
      </c>
      <c r="J146" s="827">
        <v>0</v>
      </c>
      <c r="K146" s="827">
        <v>45156.710589168659</v>
      </c>
    </row>
    <row r="147" spans="1:11" ht="13.15" x14ac:dyDescent="0.4">
      <c r="A147" s="183" t="s">
        <v>153</v>
      </c>
      <c r="B147" s="117" t="s">
        <v>61</v>
      </c>
      <c r="F147" s="785">
        <v>4520</v>
      </c>
      <c r="G147" s="785">
        <v>0</v>
      </c>
      <c r="H147" s="785">
        <v>212640.00428571424</v>
      </c>
      <c r="I147" s="785">
        <v>136528.10964917965</v>
      </c>
      <c r="J147" s="785">
        <v>0</v>
      </c>
      <c r="K147" s="785">
        <v>349168.11393489386</v>
      </c>
    </row>
    <row r="148" spans="1:11" ht="13.15" x14ac:dyDescent="0.4">
      <c r="A148" s="183" t="s">
        <v>155</v>
      </c>
      <c r="B148" s="117" t="s">
        <v>70</v>
      </c>
      <c r="F148" s="828" t="s">
        <v>73</v>
      </c>
      <c r="G148" s="828" t="s">
        <v>73</v>
      </c>
      <c r="H148" s="829" t="s">
        <v>73</v>
      </c>
      <c r="I148" s="829" t="s">
        <v>73</v>
      </c>
      <c r="J148" s="829" t="s">
        <v>73</v>
      </c>
      <c r="K148" s="830">
        <v>1264000</v>
      </c>
    </row>
    <row r="149" spans="1:11" ht="13.15" x14ac:dyDescent="0.4">
      <c r="A149" s="183" t="s">
        <v>163</v>
      </c>
      <c r="B149" s="117" t="s">
        <v>71</v>
      </c>
      <c r="F149" s="785">
        <v>0</v>
      </c>
      <c r="G149" s="785">
        <v>0</v>
      </c>
      <c r="H149" s="785">
        <v>0</v>
      </c>
      <c r="I149" s="785">
        <v>0</v>
      </c>
      <c r="J149" s="785">
        <v>0</v>
      </c>
      <c r="K149" s="785">
        <v>0</v>
      </c>
    </row>
    <row r="150" spans="1:11" ht="13.15" x14ac:dyDescent="0.4">
      <c r="A150" s="183" t="s">
        <v>185</v>
      </c>
      <c r="B150" s="117" t="s">
        <v>186</v>
      </c>
      <c r="F150" s="828" t="s">
        <v>73</v>
      </c>
      <c r="G150" s="828" t="s">
        <v>73</v>
      </c>
      <c r="H150" s="785">
        <v>9131974.8328646794</v>
      </c>
      <c r="I150" s="785">
        <v>0</v>
      </c>
      <c r="J150" s="785">
        <v>7591658.6935328348</v>
      </c>
      <c r="K150" s="785">
        <v>1540316.1393318446</v>
      </c>
    </row>
    <row r="151" spans="1:11" ht="13.15" x14ac:dyDescent="0.4">
      <c r="B151" s="117"/>
      <c r="F151" s="805"/>
      <c r="G151" s="805"/>
      <c r="H151" s="805"/>
      <c r="I151" s="805"/>
      <c r="J151" s="805"/>
      <c r="K151" s="805"/>
    </row>
    <row r="152" spans="1:11" ht="13.15" x14ac:dyDescent="0.4">
      <c r="A152" s="120" t="s">
        <v>165</v>
      </c>
      <c r="B152" s="117" t="s">
        <v>26</v>
      </c>
      <c r="F152" s="831">
        <v>1438392.6</v>
      </c>
      <c r="G152" s="831">
        <v>379305.44</v>
      </c>
      <c r="H152" s="831">
        <v>127881943.67105362</v>
      </c>
      <c r="I152" s="831">
        <v>2158009.386592919</v>
      </c>
      <c r="J152" s="831">
        <v>78977303.693532839</v>
      </c>
      <c r="K152" s="831">
        <v>52326649.364113726</v>
      </c>
    </row>
    <row r="154" spans="1:11" ht="13.15" x14ac:dyDescent="0.4">
      <c r="A154" s="120" t="s">
        <v>168</v>
      </c>
      <c r="B154" s="117" t="s">
        <v>28</v>
      </c>
      <c r="F154" s="832">
        <v>9.984629853171649E-2</v>
      </c>
    </row>
    <row r="155" spans="1:11" ht="13.15" x14ac:dyDescent="0.4">
      <c r="A155" s="120" t="s">
        <v>169</v>
      </c>
      <c r="B155" s="117" t="s">
        <v>72</v>
      </c>
      <c r="F155" s="832">
        <v>4.6401214298230027</v>
      </c>
      <c r="G155" s="117"/>
    </row>
    <row r="156" spans="1:11" ht="13.15" x14ac:dyDescent="0.4">
      <c r="G156" s="117"/>
    </row>
  </sheetData>
  <mergeCells count="32">
    <mergeCell ref="B103:C103"/>
    <mergeCell ref="B96:D96"/>
    <mergeCell ref="B134:D134"/>
    <mergeCell ref="B135:D135"/>
    <mergeCell ref="B133:D133"/>
    <mergeCell ref="B104:D104"/>
    <mergeCell ref="B105:D105"/>
    <mergeCell ref="B106:D106"/>
    <mergeCell ref="B95:D95"/>
    <mergeCell ref="B94:D94"/>
    <mergeCell ref="B52:C52"/>
    <mergeCell ref="B90:C90"/>
    <mergeCell ref="B53:D53"/>
    <mergeCell ref="B59:D59"/>
    <mergeCell ref="B62:D62"/>
    <mergeCell ref="B58:D58"/>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dimension ref="A1:K156"/>
  <sheetViews>
    <sheetView showGridLines="0" topLeftCell="A46" zoomScale="85" zoomScaleNormal="85" zoomScaleSheetLayoutView="8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1017" t="s">
        <v>789</v>
      </c>
      <c r="D5" s="962"/>
      <c r="E5" s="962"/>
      <c r="F5" s="962"/>
      <c r="G5" s="963"/>
    </row>
    <row r="6" spans="1:11" ht="18" customHeight="1" x14ac:dyDescent="0.4">
      <c r="B6" s="183" t="s">
        <v>3</v>
      </c>
      <c r="C6" s="1064" t="s">
        <v>790</v>
      </c>
      <c r="D6" s="965"/>
      <c r="E6" s="965"/>
      <c r="F6" s="965"/>
      <c r="G6" s="966"/>
    </row>
    <row r="7" spans="1:11" ht="18" customHeight="1" x14ac:dyDescent="0.4">
      <c r="B7" s="183" t="s">
        <v>4</v>
      </c>
      <c r="C7" s="1134" t="s">
        <v>791</v>
      </c>
      <c r="D7" s="1015"/>
      <c r="E7" s="1015"/>
      <c r="F7" s="1015"/>
      <c r="G7" s="1016"/>
    </row>
    <row r="9" spans="1:11" ht="18" customHeight="1" x14ac:dyDescent="0.4">
      <c r="B9" s="183" t="s">
        <v>1</v>
      </c>
      <c r="C9" s="1017" t="s">
        <v>584</v>
      </c>
      <c r="D9" s="962"/>
      <c r="E9" s="962"/>
      <c r="F9" s="962"/>
      <c r="G9" s="963"/>
    </row>
    <row r="10" spans="1:11" ht="18" customHeight="1" x14ac:dyDescent="0.4">
      <c r="B10" s="183" t="s">
        <v>2</v>
      </c>
      <c r="C10" s="1018" t="s">
        <v>585</v>
      </c>
      <c r="D10" s="971"/>
      <c r="E10" s="971"/>
      <c r="F10" s="971"/>
      <c r="G10" s="972"/>
    </row>
    <row r="11" spans="1:11" ht="18" customHeight="1" x14ac:dyDescent="0.4">
      <c r="B11" s="183" t="s">
        <v>32</v>
      </c>
      <c r="C11" s="954" t="s">
        <v>586</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289525</v>
      </c>
      <c r="I18" s="144">
        <v>0</v>
      </c>
      <c r="J18" s="556">
        <v>240690</v>
      </c>
      <c r="K18" s="557">
        <f>(H18+I18)-J18</f>
        <v>48835</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f>6+12</f>
        <v>18</v>
      </c>
      <c r="G21" s="555">
        <f>35+30</f>
        <v>65</v>
      </c>
      <c r="H21" s="556">
        <f>35.34+88.29+501.18</f>
        <v>624.81000000000006</v>
      </c>
      <c r="I21" s="144">
        <f>H21*F$114</f>
        <v>565.17624670258886</v>
      </c>
      <c r="J21" s="556"/>
      <c r="K21" s="557">
        <f t="shared" ref="K21:K34" si="0">(H21+I21)-J21</f>
        <v>1189.9862467025889</v>
      </c>
    </row>
    <row r="22" spans="1:11" ht="18" customHeight="1" x14ac:dyDescent="0.4">
      <c r="A22" s="183" t="s">
        <v>76</v>
      </c>
      <c r="B22" s="189" t="s">
        <v>6</v>
      </c>
      <c r="F22" s="555">
        <v>4</v>
      </c>
      <c r="G22" s="555">
        <v>30</v>
      </c>
      <c r="H22" s="556">
        <f>69.3+42.12</f>
        <v>111.41999999999999</v>
      </c>
      <c r="I22" s="144">
        <f t="shared" ref="I22:I34" si="1">H22*F$114</f>
        <v>100.78573871673379</v>
      </c>
      <c r="J22" s="556"/>
      <c r="K22" s="557">
        <f t="shared" si="0"/>
        <v>212.20573871673378</v>
      </c>
    </row>
    <row r="23" spans="1:11" ht="18" customHeight="1" x14ac:dyDescent="0.4">
      <c r="A23" s="183" t="s">
        <v>77</v>
      </c>
      <c r="B23" s="189" t="s">
        <v>43</v>
      </c>
      <c r="F23" s="555"/>
      <c r="G23" s="555"/>
      <c r="H23" s="556"/>
      <c r="I23" s="144">
        <f t="shared" si="1"/>
        <v>0</v>
      </c>
      <c r="J23" s="556"/>
      <c r="K23" s="557">
        <f t="shared" si="0"/>
        <v>0</v>
      </c>
    </row>
    <row r="24" spans="1:11" ht="18" customHeight="1" x14ac:dyDescent="0.4">
      <c r="A24" s="183" t="s">
        <v>78</v>
      </c>
      <c r="B24" s="189" t="s">
        <v>44</v>
      </c>
      <c r="F24" s="555"/>
      <c r="G24" s="555"/>
      <c r="H24" s="556"/>
      <c r="I24" s="144">
        <f t="shared" si="1"/>
        <v>0</v>
      </c>
      <c r="J24" s="556"/>
      <c r="K24" s="557">
        <f t="shared" si="0"/>
        <v>0</v>
      </c>
    </row>
    <row r="25" spans="1:11" ht="18" customHeight="1" x14ac:dyDescent="0.4">
      <c r="A25" s="183" t="s">
        <v>79</v>
      </c>
      <c r="B25" s="189" t="s">
        <v>5</v>
      </c>
      <c r="F25" s="555">
        <f>6+10</f>
        <v>16</v>
      </c>
      <c r="G25" s="555">
        <f>25+20</f>
        <v>45</v>
      </c>
      <c r="H25" s="556">
        <f>80.7+88.29+20+41.4+78.6+200</f>
        <v>508.99</v>
      </c>
      <c r="I25" s="144">
        <f t="shared" si="1"/>
        <v>460.4104572736523</v>
      </c>
      <c r="J25" s="556"/>
      <c r="K25" s="557">
        <f t="shared" si="0"/>
        <v>969.40045727365236</v>
      </c>
    </row>
    <row r="26" spans="1:11" ht="18" customHeight="1" x14ac:dyDescent="0.4">
      <c r="A26" s="183" t="s">
        <v>80</v>
      </c>
      <c r="B26" s="189" t="s">
        <v>45</v>
      </c>
      <c r="F26" s="555"/>
      <c r="G26" s="555"/>
      <c r="H26" s="556"/>
      <c r="I26" s="144">
        <f t="shared" si="1"/>
        <v>0</v>
      </c>
      <c r="J26" s="556"/>
      <c r="K26" s="557">
        <f t="shared" si="0"/>
        <v>0</v>
      </c>
    </row>
    <row r="27" spans="1:11" ht="18" customHeight="1" x14ac:dyDescent="0.4">
      <c r="A27" s="183" t="s">
        <v>81</v>
      </c>
      <c r="B27" s="189" t="s">
        <v>498</v>
      </c>
      <c r="F27" s="555"/>
      <c r="G27" s="555"/>
      <c r="H27" s="556"/>
      <c r="I27" s="144">
        <f t="shared" si="1"/>
        <v>0</v>
      </c>
      <c r="J27" s="556"/>
      <c r="K27" s="557">
        <f t="shared" si="0"/>
        <v>0</v>
      </c>
    </row>
    <row r="28" spans="1:11" ht="18" customHeight="1" x14ac:dyDescent="0.4">
      <c r="A28" s="183" t="s">
        <v>82</v>
      </c>
      <c r="B28" s="189" t="s">
        <v>47</v>
      </c>
      <c r="F28" s="555"/>
      <c r="G28" s="555"/>
      <c r="H28" s="556"/>
      <c r="I28" s="144">
        <f t="shared" si="1"/>
        <v>0</v>
      </c>
      <c r="J28" s="556"/>
      <c r="K28" s="557">
        <f t="shared" si="0"/>
        <v>0</v>
      </c>
    </row>
    <row r="29" spans="1:11" ht="18" customHeight="1" x14ac:dyDescent="0.4">
      <c r="A29" s="183" t="s">
        <v>83</v>
      </c>
      <c r="B29" s="189" t="s">
        <v>48</v>
      </c>
      <c r="F29" s="555"/>
      <c r="G29" s="555"/>
      <c r="H29" s="556"/>
      <c r="I29" s="144">
        <f t="shared" si="1"/>
        <v>0</v>
      </c>
      <c r="J29" s="556"/>
      <c r="K29" s="557">
        <f t="shared" si="0"/>
        <v>0</v>
      </c>
    </row>
    <row r="30" spans="1:11" ht="18" customHeight="1" x14ac:dyDescent="0.4">
      <c r="A30" s="183" t="s">
        <v>84</v>
      </c>
      <c r="B30" s="951"/>
      <c r="C30" s="952"/>
      <c r="D30" s="953"/>
      <c r="F30" s="555"/>
      <c r="G30" s="555"/>
      <c r="H30" s="556"/>
      <c r="I30" s="144">
        <f t="shared" si="1"/>
        <v>0</v>
      </c>
      <c r="J30" s="556"/>
      <c r="K30" s="557">
        <f t="shared" si="0"/>
        <v>0</v>
      </c>
    </row>
    <row r="31" spans="1:11" ht="18" customHeight="1" x14ac:dyDescent="0.4">
      <c r="A31" s="183" t="s">
        <v>133</v>
      </c>
      <c r="B31" s="951"/>
      <c r="C31" s="952"/>
      <c r="D31" s="953"/>
      <c r="F31" s="555"/>
      <c r="G31" s="555"/>
      <c r="H31" s="556"/>
      <c r="I31" s="144">
        <f t="shared" si="1"/>
        <v>0</v>
      </c>
      <c r="J31" s="556"/>
      <c r="K31" s="557">
        <f t="shared" si="0"/>
        <v>0</v>
      </c>
    </row>
    <row r="32" spans="1:11" ht="18" customHeight="1" x14ac:dyDescent="0.4">
      <c r="A32" s="183" t="s">
        <v>134</v>
      </c>
      <c r="B32" s="500"/>
      <c r="C32" s="501"/>
      <c r="D32" s="502"/>
      <c r="F32" s="555"/>
      <c r="G32" s="558" t="s">
        <v>85</v>
      </c>
      <c r="H32" s="556"/>
      <c r="I32" s="144">
        <f t="shared" si="1"/>
        <v>0</v>
      </c>
      <c r="J32" s="556"/>
      <c r="K32" s="557">
        <f t="shared" si="0"/>
        <v>0</v>
      </c>
    </row>
    <row r="33" spans="1:11" ht="18" customHeight="1" x14ac:dyDescent="0.4">
      <c r="A33" s="183" t="s">
        <v>135</v>
      </c>
      <c r="B33" s="500"/>
      <c r="C33" s="501"/>
      <c r="D33" s="502"/>
      <c r="F33" s="555"/>
      <c r="G33" s="558" t="s">
        <v>85</v>
      </c>
      <c r="H33" s="556"/>
      <c r="I33" s="144">
        <f t="shared" si="1"/>
        <v>0</v>
      </c>
      <c r="J33" s="556"/>
      <c r="K33" s="557">
        <f t="shared" si="0"/>
        <v>0</v>
      </c>
    </row>
    <row r="34" spans="1:11" ht="18" customHeight="1" x14ac:dyDescent="0.4">
      <c r="A34" s="183" t="s">
        <v>136</v>
      </c>
      <c r="B34" s="951"/>
      <c r="C34" s="952"/>
      <c r="D34" s="953"/>
      <c r="F34" s="555"/>
      <c r="G34" s="558" t="s">
        <v>85</v>
      </c>
      <c r="H34" s="556"/>
      <c r="I34" s="144">
        <f t="shared" si="1"/>
        <v>0</v>
      </c>
      <c r="J34" s="556"/>
      <c r="K34" s="557">
        <f t="shared" si="0"/>
        <v>0</v>
      </c>
    </row>
    <row r="35" spans="1:11" ht="18" customHeight="1" x14ac:dyDescent="0.35">
      <c r="K35" s="559"/>
    </row>
    <row r="36" spans="1:11" ht="18" customHeight="1" x14ac:dyDescent="0.4">
      <c r="A36" s="120" t="s">
        <v>137</v>
      </c>
      <c r="B36" s="117" t="s">
        <v>138</v>
      </c>
      <c r="E36" s="117" t="s">
        <v>7</v>
      </c>
      <c r="F36" s="560">
        <f t="shared" ref="F36:K36" si="2">SUM(F21:F34)</f>
        <v>38</v>
      </c>
      <c r="G36" s="560">
        <f t="shared" si="2"/>
        <v>140</v>
      </c>
      <c r="H36" s="560">
        <f t="shared" si="2"/>
        <v>1245.22</v>
      </c>
      <c r="I36" s="557">
        <f t="shared" si="2"/>
        <v>1126.372442692975</v>
      </c>
      <c r="J36" s="557">
        <f t="shared" si="2"/>
        <v>0</v>
      </c>
      <c r="K36" s="557">
        <f t="shared" si="2"/>
        <v>2371.5924426929751</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600</v>
      </c>
      <c r="G40" s="555">
        <v>3</v>
      </c>
      <c r="H40" s="556">
        <v>84076.32</v>
      </c>
      <c r="I40" s="144">
        <v>0</v>
      </c>
      <c r="J40" s="556"/>
      <c r="K40" s="557">
        <f t="shared" ref="K40:K47" si="3">(H40+I40)-J40</f>
        <v>84076.32</v>
      </c>
    </row>
    <row r="41" spans="1:11" ht="18" customHeight="1" x14ac:dyDescent="0.4">
      <c r="A41" s="183" t="s">
        <v>88</v>
      </c>
      <c r="B41" s="956" t="s">
        <v>50</v>
      </c>
      <c r="C41" s="957"/>
      <c r="F41" s="555"/>
      <c r="G41" s="555"/>
      <c r="H41" s="556"/>
      <c r="I41" s="144">
        <v>0</v>
      </c>
      <c r="J41" s="556"/>
      <c r="K41" s="557">
        <f t="shared" si="3"/>
        <v>0</v>
      </c>
    </row>
    <row r="42" spans="1:11" ht="18" customHeight="1" x14ac:dyDescent="0.4">
      <c r="A42" s="183" t="s">
        <v>89</v>
      </c>
      <c r="B42" s="116" t="s">
        <v>11</v>
      </c>
      <c r="F42" s="555">
        <f>90+90</f>
        <v>180</v>
      </c>
      <c r="G42" s="555">
        <f>128+111</f>
        <v>239</v>
      </c>
      <c r="H42" s="556">
        <f>1080+192+1080+166.5</f>
        <v>2518.5</v>
      </c>
      <c r="I42" s="144">
        <v>0</v>
      </c>
      <c r="J42" s="556"/>
      <c r="K42" s="557">
        <f t="shared" si="3"/>
        <v>2518.5</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951" t="s">
        <v>792</v>
      </c>
      <c r="C44" s="952"/>
      <c r="D44" s="953"/>
      <c r="F44" s="561">
        <v>720</v>
      </c>
      <c r="G44" s="561">
        <v>6</v>
      </c>
      <c r="H44" s="561">
        <v>38520</v>
      </c>
      <c r="I44" s="146">
        <v>0</v>
      </c>
      <c r="J44" s="561"/>
      <c r="K44" s="562">
        <f t="shared" si="3"/>
        <v>38520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1500</v>
      </c>
      <c r="G49" s="563">
        <f t="shared" si="4"/>
        <v>248</v>
      </c>
      <c r="H49" s="557">
        <f t="shared" si="4"/>
        <v>125114.82</v>
      </c>
      <c r="I49" s="557">
        <f t="shared" si="4"/>
        <v>0</v>
      </c>
      <c r="J49" s="557">
        <f t="shared" si="4"/>
        <v>0</v>
      </c>
      <c r="K49" s="557">
        <f t="shared" si="4"/>
        <v>125114.82</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532</v>
      </c>
      <c r="C53" s="979"/>
      <c r="D53" s="975"/>
      <c r="F53" s="555">
        <v>80</v>
      </c>
      <c r="G53" s="555">
        <f>24+14</f>
        <v>38</v>
      </c>
      <c r="H53" s="556">
        <f>1177.2+1900+100</f>
        <v>3177.2</v>
      </c>
      <c r="I53" s="144">
        <v>0</v>
      </c>
      <c r="J53" s="556"/>
      <c r="K53" s="557">
        <f t="shared" ref="K53:K62" si="5">(H53+I53)-J53</f>
        <v>3177.2</v>
      </c>
    </row>
    <row r="54" spans="1:11" ht="18" customHeight="1" x14ac:dyDescent="0.4">
      <c r="A54" s="183" t="s">
        <v>93</v>
      </c>
      <c r="B54" s="503" t="s">
        <v>793</v>
      </c>
      <c r="C54" s="504"/>
      <c r="D54" s="505"/>
      <c r="F54" s="555">
        <v>2080</v>
      </c>
      <c r="G54" s="555">
        <v>2143</v>
      </c>
      <c r="H54" s="556">
        <v>47189.7</v>
      </c>
      <c r="I54" s="144">
        <v>0</v>
      </c>
      <c r="J54" s="556"/>
      <c r="K54" s="557">
        <f t="shared" si="5"/>
        <v>47189.7</v>
      </c>
    </row>
    <row r="55" spans="1:11" ht="18" customHeight="1" x14ac:dyDescent="0.4">
      <c r="A55" s="183" t="s">
        <v>94</v>
      </c>
      <c r="B55" s="980" t="s">
        <v>794</v>
      </c>
      <c r="C55" s="974"/>
      <c r="D55" s="975"/>
      <c r="F55" s="555">
        <f>33.5+10</f>
        <v>43.5</v>
      </c>
      <c r="G55" s="555">
        <f>173+24</f>
        <v>197</v>
      </c>
      <c r="H55" s="556">
        <f>2490.08+1190.71</f>
        <v>3680.79</v>
      </c>
      <c r="I55" s="144">
        <v>0</v>
      </c>
      <c r="J55" s="556">
        <v>985</v>
      </c>
      <c r="K55" s="557">
        <f t="shared" si="5"/>
        <v>2695.79</v>
      </c>
    </row>
    <row r="56" spans="1:11" ht="18" customHeight="1" x14ac:dyDescent="0.4">
      <c r="A56" s="183" t="s">
        <v>95</v>
      </c>
      <c r="B56" s="980"/>
      <c r="C56" s="974"/>
      <c r="D56" s="975"/>
      <c r="F56" s="555"/>
      <c r="G56" s="555"/>
      <c r="H56" s="556"/>
      <c r="I56" s="144">
        <v>0</v>
      </c>
      <c r="J56" s="556"/>
      <c r="K56" s="557">
        <f t="shared" si="5"/>
        <v>0</v>
      </c>
    </row>
    <row r="57" spans="1:11" ht="18" customHeight="1" x14ac:dyDescent="0.4">
      <c r="A57" s="183" t="s">
        <v>96</v>
      </c>
      <c r="B57" s="980"/>
      <c r="C57" s="974"/>
      <c r="D57" s="975"/>
      <c r="F57" s="555"/>
      <c r="G57" s="555"/>
      <c r="H57" s="556"/>
      <c r="I57" s="144">
        <v>0</v>
      </c>
      <c r="J57" s="556"/>
      <c r="K57" s="557">
        <f t="shared" si="5"/>
        <v>0</v>
      </c>
    </row>
    <row r="58" spans="1:11" ht="18" customHeight="1" x14ac:dyDescent="0.4">
      <c r="A58" s="183" t="s">
        <v>97</v>
      </c>
      <c r="B58" s="503"/>
      <c r="C58" s="504"/>
      <c r="D58" s="505"/>
      <c r="F58" s="555"/>
      <c r="G58" s="555"/>
      <c r="H58" s="556"/>
      <c r="I58" s="144">
        <v>0</v>
      </c>
      <c r="J58" s="556"/>
      <c r="K58" s="557">
        <f t="shared" si="5"/>
        <v>0</v>
      </c>
    </row>
    <row r="59" spans="1:11" ht="18" customHeight="1" x14ac:dyDescent="0.4">
      <c r="A59" s="183" t="s">
        <v>98</v>
      </c>
      <c r="B59" s="980"/>
      <c r="C59" s="974"/>
      <c r="D59" s="975"/>
      <c r="F59" s="555"/>
      <c r="G59" s="555"/>
      <c r="H59" s="556"/>
      <c r="I59" s="144">
        <v>0</v>
      </c>
      <c r="J59" s="556"/>
      <c r="K59" s="557">
        <f t="shared" si="5"/>
        <v>0</v>
      </c>
    </row>
    <row r="60" spans="1:11" ht="18" customHeight="1" x14ac:dyDescent="0.4">
      <c r="A60" s="183" t="s">
        <v>99</v>
      </c>
      <c r="B60" s="503"/>
      <c r="C60" s="504"/>
      <c r="D60" s="505"/>
      <c r="F60" s="555"/>
      <c r="G60" s="555"/>
      <c r="H60" s="556"/>
      <c r="I60" s="144">
        <v>0</v>
      </c>
      <c r="J60" s="556"/>
      <c r="K60" s="557">
        <f t="shared" si="5"/>
        <v>0</v>
      </c>
    </row>
    <row r="61" spans="1:11" ht="18" customHeight="1" x14ac:dyDescent="0.4">
      <c r="A61" s="183" t="s">
        <v>100</v>
      </c>
      <c r="B61" s="503"/>
      <c r="C61" s="504"/>
      <c r="D61" s="505"/>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2203.5</v>
      </c>
      <c r="G64" s="560">
        <f t="shared" si="6"/>
        <v>2378</v>
      </c>
      <c r="H64" s="557">
        <f t="shared" si="6"/>
        <v>54047.689999999995</v>
      </c>
      <c r="I64" s="557">
        <f t="shared" si="6"/>
        <v>0</v>
      </c>
      <c r="J64" s="557">
        <f t="shared" si="6"/>
        <v>985</v>
      </c>
      <c r="K64" s="557">
        <f t="shared" si="6"/>
        <v>53062.689999999995</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f>(H68+I68)-J68</f>
        <v>0</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0</v>
      </c>
      <c r="G74" s="566">
        <f t="shared" si="7"/>
        <v>0</v>
      </c>
      <c r="H74" s="566">
        <f t="shared" si="7"/>
        <v>0</v>
      </c>
      <c r="I74" s="145">
        <f t="shared" si="7"/>
        <v>0</v>
      </c>
      <c r="J74" s="566">
        <f t="shared" si="7"/>
        <v>0</v>
      </c>
      <c r="K74" s="567">
        <f t="shared" si="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c r="I77" s="144">
        <v>0</v>
      </c>
      <c r="J77" s="556"/>
      <c r="K77" s="557">
        <f>(H77+I77)-J77</f>
        <v>0</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c r="G79" s="555">
        <v>125</v>
      </c>
      <c r="H79" s="556">
        <v>3125</v>
      </c>
      <c r="I79" s="144">
        <v>0</v>
      </c>
      <c r="J79" s="556"/>
      <c r="K79" s="557">
        <f>(H79+I79)-J79</f>
        <v>3125</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0</v>
      </c>
      <c r="G82" s="566">
        <f t="shared" si="8"/>
        <v>125</v>
      </c>
      <c r="H82" s="567">
        <f t="shared" si="8"/>
        <v>3125</v>
      </c>
      <c r="I82" s="567">
        <f t="shared" si="8"/>
        <v>0</v>
      </c>
      <c r="J82" s="567">
        <f t="shared" si="8"/>
        <v>0</v>
      </c>
      <c r="K82" s="567">
        <f t="shared" si="8"/>
        <v>3125</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H86*F$114</f>
        <v>0</v>
      </c>
      <c r="J86" s="556"/>
      <c r="K86" s="557">
        <f t="shared" ref="K86:K96" si="9">(H86+I86)-J86</f>
        <v>0</v>
      </c>
    </row>
    <row r="87" spans="1:11" ht="18" customHeight="1" x14ac:dyDescent="0.4">
      <c r="A87" s="183" t="s">
        <v>114</v>
      </c>
      <c r="B87" s="116" t="s">
        <v>14</v>
      </c>
      <c r="F87" s="555">
        <v>8</v>
      </c>
      <c r="G87" s="555">
        <v>3</v>
      </c>
      <c r="H87" s="556">
        <v>769.2</v>
      </c>
      <c r="I87" s="144">
        <f t="shared" ref="I87:I96" si="10">H87*F$114</f>
        <v>695.78522905144177</v>
      </c>
      <c r="J87" s="556"/>
      <c r="K87" s="557">
        <f t="shared" si="9"/>
        <v>1464.9852290514418</v>
      </c>
    </row>
    <row r="88" spans="1:11" ht="18" customHeight="1" x14ac:dyDescent="0.4">
      <c r="A88" s="183" t="s">
        <v>115</v>
      </c>
      <c r="B88" s="116" t="s">
        <v>116</v>
      </c>
      <c r="F88" s="555">
        <f>6+8+2</f>
        <v>16</v>
      </c>
      <c r="G88" s="555">
        <f>3+1+1</f>
        <v>5</v>
      </c>
      <c r="H88" s="556">
        <f>576.9+769.2+192.3</f>
        <v>1538.3999999999999</v>
      </c>
      <c r="I88" s="144">
        <f t="shared" si="10"/>
        <v>1391.5704581028833</v>
      </c>
      <c r="J88" s="556"/>
      <c r="K88" s="557">
        <f t="shared" si="9"/>
        <v>2929.9704581028832</v>
      </c>
    </row>
    <row r="89" spans="1:11" ht="18" customHeight="1" x14ac:dyDescent="0.4">
      <c r="A89" s="183" t="s">
        <v>117</v>
      </c>
      <c r="B89" s="116" t="s">
        <v>58</v>
      </c>
      <c r="F89" s="555"/>
      <c r="G89" s="555"/>
      <c r="H89" s="556"/>
      <c r="I89" s="144">
        <f t="shared" si="10"/>
        <v>0</v>
      </c>
      <c r="J89" s="556"/>
      <c r="K89" s="557">
        <f t="shared" si="9"/>
        <v>0</v>
      </c>
    </row>
    <row r="90" spans="1:11" ht="18" customHeight="1" x14ac:dyDescent="0.4">
      <c r="A90" s="183" t="s">
        <v>118</v>
      </c>
      <c r="B90" s="956" t="s">
        <v>59</v>
      </c>
      <c r="C90" s="957"/>
      <c r="F90" s="555"/>
      <c r="G90" s="555"/>
      <c r="H90" s="556"/>
      <c r="I90" s="144">
        <f t="shared" si="10"/>
        <v>0</v>
      </c>
      <c r="J90" s="556"/>
      <c r="K90" s="557">
        <f t="shared" si="9"/>
        <v>0</v>
      </c>
    </row>
    <row r="91" spans="1:11" ht="18" customHeight="1" x14ac:dyDescent="0.4">
      <c r="A91" s="183" t="s">
        <v>119</v>
      </c>
      <c r="B91" s="116" t="s">
        <v>60</v>
      </c>
      <c r="F91" s="555"/>
      <c r="G91" s="555"/>
      <c r="H91" s="556"/>
      <c r="I91" s="144">
        <f t="shared" si="10"/>
        <v>0</v>
      </c>
      <c r="J91" s="556"/>
      <c r="K91" s="557">
        <f t="shared" si="9"/>
        <v>0</v>
      </c>
    </row>
    <row r="92" spans="1:11" ht="18" customHeight="1" x14ac:dyDescent="0.4">
      <c r="A92" s="183" t="s">
        <v>120</v>
      </c>
      <c r="B92" s="116" t="s">
        <v>121</v>
      </c>
      <c r="F92" s="134">
        <v>8</v>
      </c>
      <c r="G92" s="134">
        <v>1</v>
      </c>
      <c r="H92" s="135">
        <v>769.2</v>
      </c>
      <c r="I92" s="144">
        <f t="shared" si="10"/>
        <v>695.78522905144177</v>
      </c>
      <c r="J92" s="135"/>
      <c r="K92" s="557">
        <f t="shared" si="9"/>
        <v>1464.9852290514418</v>
      </c>
    </row>
    <row r="93" spans="1:11" ht="18" customHeight="1" x14ac:dyDescent="0.4">
      <c r="A93" s="183" t="s">
        <v>122</v>
      </c>
      <c r="B93" s="116" t="s">
        <v>123</v>
      </c>
      <c r="F93" s="555">
        <f>8+8</f>
        <v>16</v>
      </c>
      <c r="G93" s="555">
        <f>100+1</f>
        <v>101</v>
      </c>
      <c r="H93" s="556">
        <f>324.9+769.2</f>
        <v>1094.0999999999999</v>
      </c>
      <c r="I93" s="144">
        <f t="shared" si="10"/>
        <v>989.67579186841181</v>
      </c>
      <c r="J93" s="556"/>
      <c r="K93" s="557">
        <f t="shared" si="9"/>
        <v>2083.7757918684119</v>
      </c>
    </row>
    <row r="94" spans="1:11" ht="18" customHeight="1" x14ac:dyDescent="0.4">
      <c r="A94" s="183" t="s">
        <v>124</v>
      </c>
      <c r="B94" s="980"/>
      <c r="C94" s="974"/>
      <c r="D94" s="975"/>
      <c r="F94" s="555"/>
      <c r="G94" s="555"/>
      <c r="H94" s="556"/>
      <c r="I94" s="144">
        <f t="shared" si="10"/>
        <v>0</v>
      </c>
      <c r="J94" s="556"/>
      <c r="K94" s="557">
        <f t="shared" si="9"/>
        <v>0</v>
      </c>
    </row>
    <row r="95" spans="1:11" ht="18" customHeight="1" x14ac:dyDescent="0.4">
      <c r="A95" s="183" t="s">
        <v>125</v>
      </c>
      <c r="B95" s="980"/>
      <c r="C95" s="974"/>
      <c r="D95" s="975"/>
      <c r="F95" s="555"/>
      <c r="G95" s="555"/>
      <c r="H95" s="556"/>
      <c r="I95" s="144">
        <f t="shared" si="10"/>
        <v>0</v>
      </c>
      <c r="J95" s="556"/>
      <c r="K95" s="557">
        <f t="shared" si="9"/>
        <v>0</v>
      </c>
    </row>
    <row r="96" spans="1:11" ht="18" customHeight="1" x14ac:dyDescent="0.4">
      <c r="A96" s="183" t="s">
        <v>126</v>
      </c>
      <c r="B96" s="980"/>
      <c r="C96" s="974"/>
      <c r="D96" s="975"/>
      <c r="F96" s="555"/>
      <c r="G96" s="555"/>
      <c r="H96" s="556"/>
      <c r="I96" s="144">
        <f t="shared" si="10"/>
        <v>0</v>
      </c>
      <c r="J96" s="556"/>
      <c r="K96" s="557">
        <f t="shared" si="9"/>
        <v>0</v>
      </c>
    </row>
    <row r="97" spans="1:11" ht="18" customHeight="1" x14ac:dyDescent="0.4">
      <c r="A97" s="183"/>
      <c r="B97" s="116"/>
    </row>
    <row r="98" spans="1:11" ht="18" customHeight="1" x14ac:dyDescent="0.4">
      <c r="A98" s="120" t="s">
        <v>150</v>
      </c>
      <c r="B98" s="117" t="s">
        <v>151</v>
      </c>
      <c r="E98" s="117" t="s">
        <v>7</v>
      </c>
      <c r="F98" s="560">
        <f t="shared" ref="F98:K98" si="11">SUM(F86:F96)</f>
        <v>48</v>
      </c>
      <c r="G98" s="560">
        <f t="shared" si="11"/>
        <v>110</v>
      </c>
      <c r="H98" s="560">
        <f t="shared" si="11"/>
        <v>4170.8999999999996</v>
      </c>
      <c r="I98" s="560">
        <f t="shared" si="11"/>
        <v>3772.8167080741787</v>
      </c>
      <c r="J98" s="560">
        <f t="shared" si="11"/>
        <v>0</v>
      </c>
      <c r="K98" s="560">
        <f t="shared" si="11"/>
        <v>7943.7167080741783</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c r="G102" s="555"/>
      <c r="H102" s="556"/>
      <c r="I102" s="144">
        <f>H102*F$114</f>
        <v>0</v>
      </c>
      <c r="J102" s="556"/>
      <c r="K102" s="557">
        <f>(H102+I102)-J102</f>
        <v>0</v>
      </c>
    </row>
    <row r="103" spans="1:11" ht="18" customHeight="1" x14ac:dyDescent="0.4">
      <c r="A103" s="183" t="s">
        <v>132</v>
      </c>
      <c r="B103" s="956" t="s">
        <v>62</v>
      </c>
      <c r="C103" s="956"/>
      <c r="F103" s="555"/>
      <c r="G103" s="555"/>
      <c r="H103" s="556"/>
      <c r="I103" s="144">
        <f>H103*F$114</f>
        <v>0</v>
      </c>
      <c r="J103" s="556"/>
      <c r="K103" s="557">
        <f>(H103+I103)-J103</f>
        <v>0</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0</v>
      </c>
      <c r="G108" s="560">
        <f t="shared" si="12"/>
        <v>0</v>
      </c>
      <c r="H108" s="557">
        <f t="shared" si="12"/>
        <v>0</v>
      </c>
      <c r="I108" s="557">
        <f t="shared" si="12"/>
        <v>0</v>
      </c>
      <c r="J108" s="557">
        <f t="shared" si="12"/>
        <v>0</v>
      </c>
      <c r="K108" s="557">
        <f t="shared" si="12"/>
        <v>0</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f>342529+36087</f>
        <v>378616</v>
      </c>
    </row>
    <row r="112" spans="1:11" ht="18" customHeight="1" x14ac:dyDescent="0.4">
      <c r="B112" s="117"/>
      <c r="E112" s="117"/>
      <c r="F112" s="184"/>
    </row>
    <row r="113" spans="1:7" ht="18" customHeight="1" x14ac:dyDescent="0.4">
      <c r="A113" s="120"/>
      <c r="B113" s="117" t="s">
        <v>15</v>
      </c>
    </row>
    <row r="114" spans="1:7" ht="18" customHeight="1" x14ac:dyDescent="0.4">
      <c r="A114" s="183" t="s">
        <v>171</v>
      </c>
      <c r="B114" s="116" t="s">
        <v>35</v>
      </c>
      <c r="F114" s="833">
        <v>0.9045569800460761</v>
      </c>
    </row>
    <row r="115" spans="1:7" ht="18" customHeight="1" x14ac:dyDescent="0.4">
      <c r="A115" s="183"/>
      <c r="B115" s="117"/>
    </row>
    <row r="116" spans="1:7" ht="18" customHeight="1" x14ac:dyDescent="0.4">
      <c r="A116" s="183" t="s">
        <v>170</v>
      </c>
      <c r="B116" s="117" t="s">
        <v>16</v>
      </c>
    </row>
    <row r="117" spans="1:7" ht="18" customHeight="1" x14ac:dyDescent="0.4">
      <c r="A117" s="183" t="s">
        <v>172</v>
      </c>
      <c r="B117" s="116" t="s">
        <v>17</v>
      </c>
      <c r="F117" s="556">
        <v>14810751</v>
      </c>
    </row>
    <row r="118" spans="1:7" ht="18" customHeight="1" x14ac:dyDescent="0.4">
      <c r="A118" s="183" t="s">
        <v>173</v>
      </c>
      <c r="B118" s="189" t="s">
        <v>18</v>
      </c>
      <c r="F118" s="556">
        <v>1697830</v>
      </c>
    </row>
    <row r="119" spans="1:7" ht="18" customHeight="1" x14ac:dyDescent="0.4">
      <c r="A119" s="183" t="s">
        <v>174</v>
      </c>
      <c r="B119" s="117" t="s">
        <v>19</v>
      </c>
      <c r="F119" s="567">
        <f>SUM(F117:F118)</f>
        <v>16508581</v>
      </c>
    </row>
    <row r="120" spans="1:7" ht="18" customHeight="1" x14ac:dyDescent="0.4">
      <c r="A120" s="183"/>
      <c r="B120" s="117"/>
    </row>
    <row r="121" spans="1:7" ht="18" customHeight="1" x14ac:dyDescent="0.4">
      <c r="A121" s="183" t="s">
        <v>167</v>
      </c>
      <c r="B121" s="117" t="s">
        <v>36</v>
      </c>
      <c r="F121" s="556">
        <v>17725100</v>
      </c>
    </row>
    <row r="122" spans="1:7" ht="18" customHeight="1" x14ac:dyDescent="0.4">
      <c r="A122" s="183"/>
    </row>
    <row r="123" spans="1:7" ht="18" customHeight="1" x14ac:dyDescent="0.4">
      <c r="A123" s="183" t="s">
        <v>175</v>
      </c>
      <c r="B123" s="117" t="s">
        <v>20</v>
      </c>
      <c r="F123" s="556">
        <v>-1216519</v>
      </c>
      <c r="G123" s="185"/>
    </row>
    <row r="124" spans="1:7" ht="18" customHeight="1" x14ac:dyDescent="0.4">
      <c r="A124" s="183"/>
    </row>
    <row r="125" spans="1:7" ht="18" customHeight="1" x14ac:dyDescent="0.4">
      <c r="A125" s="183" t="s">
        <v>176</v>
      </c>
      <c r="B125" s="117" t="s">
        <v>21</v>
      </c>
      <c r="F125" s="556">
        <v>289033</v>
      </c>
    </row>
    <row r="126" spans="1:7" ht="18" customHeight="1" x14ac:dyDescent="0.4">
      <c r="A126" s="183"/>
    </row>
    <row r="127" spans="1:7" ht="18" customHeight="1" x14ac:dyDescent="0.4">
      <c r="A127" s="183" t="s">
        <v>177</v>
      </c>
      <c r="B127" s="117" t="s">
        <v>22</v>
      </c>
      <c r="F127" s="556">
        <f>+F123+F125</f>
        <v>-927486</v>
      </c>
    </row>
    <row r="128" spans="1:7"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38</v>
      </c>
      <c r="G141" s="136">
        <f t="shared" si="14"/>
        <v>140</v>
      </c>
      <c r="H141" s="136">
        <f t="shared" si="14"/>
        <v>1245.22</v>
      </c>
      <c r="I141" s="136">
        <f t="shared" si="14"/>
        <v>1126.372442692975</v>
      </c>
      <c r="J141" s="136">
        <f t="shared" si="14"/>
        <v>0</v>
      </c>
      <c r="K141" s="136">
        <f t="shared" si="14"/>
        <v>2371.5924426929751</v>
      </c>
    </row>
    <row r="142" spans="1:11" ht="18" customHeight="1" x14ac:dyDescent="0.4">
      <c r="A142" s="183" t="s">
        <v>142</v>
      </c>
      <c r="B142" s="117" t="s">
        <v>65</v>
      </c>
      <c r="F142" s="136">
        <f t="shared" ref="F142:K142" si="15">F49</f>
        <v>1500</v>
      </c>
      <c r="G142" s="136">
        <f t="shared" si="15"/>
        <v>248</v>
      </c>
      <c r="H142" s="136">
        <f t="shared" si="15"/>
        <v>125114.82</v>
      </c>
      <c r="I142" s="136">
        <f t="shared" si="15"/>
        <v>0</v>
      </c>
      <c r="J142" s="136">
        <f t="shared" si="15"/>
        <v>0</v>
      </c>
      <c r="K142" s="136">
        <f t="shared" si="15"/>
        <v>125114.82</v>
      </c>
    </row>
    <row r="143" spans="1:11" ht="18" customHeight="1" x14ac:dyDescent="0.4">
      <c r="A143" s="183" t="s">
        <v>144</v>
      </c>
      <c r="B143" s="117" t="s">
        <v>66</v>
      </c>
      <c r="F143" s="136">
        <f t="shared" ref="F143:K143" si="16">F64</f>
        <v>2203.5</v>
      </c>
      <c r="G143" s="136">
        <f t="shared" si="16"/>
        <v>2378</v>
      </c>
      <c r="H143" s="136">
        <f t="shared" si="16"/>
        <v>54047.689999999995</v>
      </c>
      <c r="I143" s="136">
        <f t="shared" si="16"/>
        <v>0</v>
      </c>
      <c r="J143" s="136">
        <f t="shared" si="16"/>
        <v>985</v>
      </c>
      <c r="K143" s="136">
        <f t="shared" si="16"/>
        <v>53062.689999999995</v>
      </c>
    </row>
    <row r="144" spans="1:11" ht="18" customHeight="1" x14ac:dyDescent="0.4">
      <c r="A144" s="183" t="s">
        <v>146</v>
      </c>
      <c r="B144" s="117" t="s">
        <v>67</v>
      </c>
      <c r="F144" s="136">
        <f t="shared" ref="F144:K144" si="17">F74</f>
        <v>0</v>
      </c>
      <c r="G144" s="136">
        <f t="shared" si="17"/>
        <v>0</v>
      </c>
      <c r="H144" s="136">
        <f t="shared" si="17"/>
        <v>0</v>
      </c>
      <c r="I144" s="136">
        <f t="shared" si="17"/>
        <v>0</v>
      </c>
      <c r="J144" s="136">
        <f t="shared" si="17"/>
        <v>0</v>
      </c>
      <c r="K144" s="136">
        <f t="shared" si="17"/>
        <v>0</v>
      </c>
    </row>
    <row r="145" spans="1:11" ht="18" customHeight="1" x14ac:dyDescent="0.4">
      <c r="A145" s="183" t="s">
        <v>148</v>
      </c>
      <c r="B145" s="117" t="s">
        <v>68</v>
      </c>
      <c r="F145" s="136">
        <f t="shared" ref="F145:K145" si="18">F82</f>
        <v>0</v>
      </c>
      <c r="G145" s="136">
        <f t="shared" si="18"/>
        <v>125</v>
      </c>
      <c r="H145" s="136">
        <f t="shared" si="18"/>
        <v>3125</v>
      </c>
      <c r="I145" s="136">
        <f t="shared" si="18"/>
        <v>0</v>
      </c>
      <c r="J145" s="136">
        <f t="shared" si="18"/>
        <v>0</v>
      </c>
      <c r="K145" s="136">
        <f t="shared" si="18"/>
        <v>3125</v>
      </c>
    </row>
    <row r="146" spans="1:11" ht="18" customHeight="1" x14ac:dyDescent="0.4">
      <c r="A146" s="183" t="s">
        <v>150</v>
      </c>
      <c r="B146" s="117" t="s">
        <v>69</v>
      </c>
      <c r="F146" s="136">
        <f t="shared" ref="F146:K146" si="19">F98</f>
        <v>48</v>
      </c>
      <c r="G146" s="136">
        <f t="shared" si="19"/>
        <v>110</v>
      </c>
      <c r="H146" s="136">
        <f t="shared" si="19"/>
        <v>4170.8999999999996</v>
      </c>
      <c r="I146" s="136">
        <f t="shared" si="19"/>
        <v>3772.8167080741787</v>
      </c>
      <c r="J146" s="136">
        <f t="shared" si="19"/>
        <v>0</v>
      </c>
      <c r="K146" s="136">
        <f t="shared" si="19"/>
        <v>7943.7167080741783</v>
      </c>
    </row>
    <row r="147" spans="1:11" ht="18" customHeight="1" x14ac:dyDescent="0.4">
      <c r="A147" s="183" t="s">
        <v>153</v>
      </c>
      <c r="B147" s="117" t="s">
        <v>61</v>
      </c>
      <c r="F147" s="560">
        <f t="shared" ref="F147:K147" si="20">F108</f>
        <v>0</v>
      </c>
      <c r="G147" s="560">
        <f t="shared" si="20"/>
        <v>0</v>
      </c>
      <c r="H147" s="560">
        <f t="shared" si="20"/>
        <v>0</v>
      </c>
      <c r="I147" s="560">
        <f t="shared" si="20"/>
        <v>0</v>
      </c>
      <c r="J147" s="560">
        <f t="shared" si="20"/>
        <v>0</v>
      </c>
      <c r="K147" s="560">
        <f t="shared" si="20"/>
        <v>0</v>
      </c>
    </row>
    <row r="148" spans="1:11" ht="18" customHeight="1" x14ac:dyDescent="0.4">
      <c r="A148" s="183" t="s">
        <v>155</v>
      </c>
      <c r="B148" s="117" t="s">
        <v>70</v>
      </c>
      <c r="F148" s="137" t="s">
        <v>73</v>
      </c>
      <c r="G148" s="137" t="s">
        <v>73</v>
      </c>
      <c r="H148" s="138" t="s">
        <v>73</v>
      </c>
      <c r="I148" s="138" t="s">
        <v>73</v>
      </c>
      <c r="J148" s="138" t="s">
        <v>73</v>
      </c>
      <c r="K148" s="133">
        <f>F111</f>
        <v>378616</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289525</v>
      </c>
      <c r="I150" s="560">
        <f>I18</f>
        <v>0</v>
      </c>
      <c r="J150" s="560">
        <f>J18</f>
        <v>240690</v>
      </c>
      <c r="K150" s="560">
        <f>K18</f>
        <v>48835</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3789.5</v>
      </c>
      <c r="G152" s="143">
        <f t="shared" si="22"/>
        <v>3001</v>
      </c>
      <c r="H152" s="143">
        <f t="shared" si="22"/>
        <v>477228.63</v>
      </c>
      <c r="I152" s="143">
        <f t="shared" si="22"/>
        <v>4899.1891507671535</v>
      </c>
      <c r="J152" s="143">
        <f t="shared" si="22"/>
        <v>241675</v>
      </c>
      <c r="K152" s="143">
        <f t="shared" si="22"/>
        <v>619068.81915076717</v>
      </c>
    </row>
    <row r="154" spans="1:11" ht="18" customHeight="1" x14ac:dyDescent="0.4">
      <c r="A154" s="120" t="s">
        <v>168</v>
      </c>
      <c r="B154" s="117" t="s">
        <v>28</v>
      </c>
      <c r="F154" s="571">
        <f>K152/F121</f>
        <v>3.4926111511402881E-2</v>
      </c>
    </row>
    <row r="155" spans="1:11" ht="18" customHeight="1" x14ac:dyDescent="0.4">
      <c r="A155" s="120" t="s">
        <v>169</v>
      </c>
      <c r="B155" s="117" t="s">
        <v>72</v>
      </c>
      <c r="F155" s="571">
        <f>K152/F127</f>
        <v>-0.66746971830385271</v>
      </c>
      <c r="G155" s="117"/>
    </row>
    <row r="156" spans="1:11" ht="18" customHeight="1" x14ac:dyDescent="0.4">
      <c r="G156" s="117"/>
    </row>
  </sheetData>
  <mergeCells count="34">
    <mergeCell ref="B52:C52"/>
    <mergeCell ref="B53:D53"/>
    <mergeCell ref="B55:D55"/>
    <mergeCell ref="B31:D31"/>
    <mergeCell ref="B30:D30"/>
    <mergeCell ref="B134:D134"/>
    <mergeCell ref="B135:D135"/>
    <mergeCell ref="B133:D133"/>
    <mergeCell ref="B104:D104"/>
    <mergeCell ref="B105:D105"/>
    <mergeCell ref="B106:D106"/>
    <mergeCell ref="B103:C103"/>
    <mergeCell ref="B96:D96"/>
    <mergeCell ref="B95:D95"/>
    <mergeCell ref="B57:D57"/>
    <mergeCell ref="B94:D94"/>
    <mergeCell ref="B90:C90"/>
    <mergeCell ref="B62:D62"/>
    <mergeCell ref="B56:D56"/>
    <mergeCell ref="B59:D59"/>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legacy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K156"/>
  <sheetViews>
    <sheetView showGridLines="0" topLeftCell="A52" zoomScale="80" zoomScaleNormal="80" zoomScaleSheetLayoutView="80" workbookViewId="0">
      <selection activeCell="A58" sqref="A58:XFD58"/>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281</v>
      </c>
      <c r="D5" s="962"/>
      <c r="E5" s="962"/>
      <c r="F5" s="962"/>
      <c r="G5" s="963"/>
    </row>
    <row r="6" spans="1:11" ht="18" customHeight="1" x14ac:dyDescent="0.4">
      <c r="B6" s="183" t="s">
        <v>3</v>
      </c>
      <c r="C6" s="964" t="s">
        <v>282</v>
      </c>
      <c r="D6" s="965"/>
      <c r="E6" s="965"/>
      <c r="F6" s="965"/>
      <c r="G6" s="966"/>
    </row>
    <row r="7" spans="1:11" ht="18" customHeight="1" x14ac:dyDescent="0.4">
      <c r="B7" s="183" t="s">
        <v>4</v>
      </c>
      <c r="C7" s="967">
        <v>1658</v>
      </c>
      <c r="D7" s="968"/>
      <c r="E7" s="968"/>
      <c r="F7" s="968"/>
      <c r="G7" s="969"/>
    </row>
    <row r="9" spans="1:11" ht="18" customHeight="1" x14ac:dyDescent="0.4">
      <c r="B9" s="183" t="s">
        <v>1</v>
      </c>
      <c r="C9" s="961" t="s">
        <v>283</v>
      </c>
      <c r="D9" s="962"/>
      <c r="E9" s="962"/>
      <c r="F9" s="962"/>
      <c r="G9" s="963"/>
    </row>
    <row r="10" spans="1:11" ht="18" customHeight="1" x14ac:dyDescent="0.4">
      <c r="B10" s="183" t="s">
        <v>2</v>
      </c>
      <c r="C10" s="970" t="s">
        <v>284</v>
      </c>
      <c r="D10" s="971"/>
      <c r="E10" s="971"/>
      <c r="F10" s="971"/>
      <c r="G10" s="972"/>
    </row>
    <row r="11" spans="1:11" ht="18" customHeight="1" x14ac:dyDescent="0.4">
      <c r="B11" s="183" t="s">
        <v>32</v>
      </c>
      <c r="C11" s="954" t="s">
        <v>285</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6066070</v>
      </c>
      <c r="I18" s="144">
        <v>0</v>
      </c>
      <c r="J18" s="556">
        <v>5042889</v>
      </c>
      <c r="K18" s="557">
        <f>(H18+I18)-J18</f>
        <v>1023181</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5661</v>
      </c>
      <c r="G21" s="555">
        <v>737407</v>
      </c>
      <c r="H21" s="556">
        <v>651772.80436833261</v>
      </c>
      <c r="I21" s="144">
        <v>468624.64634083112</v>
      </c>
      <c r="J21" s="556">
        <v>42687</v>
      </c>
      <c r="K21" s="557">
        <f t="shared" ref="K21:K34" si="0">(H21+I21)-J21</f>
        <v>1077710.4507091637</v>
      </c>
    </row>
    <row r="22" spans="1:11" ht="18" customHeight="1" x14ac:dyDescent="0.4">
      <c r="A22" s="183" t="s">
        <v>76</v>
      </c>
      <c r="B22" s="189" t="s">
        <v>6</v>
      </c>
      <c r="F22" s="555">
        <v>1008</v>
      </c>
      <c r="G22" s="555">
        <v>636</v>
      </c>
      <c r="H22" s="556">
        <v>62093.563339325236</v>
      </c>
      <c r="I22" s="144">
        <v>44645.272040974844</v>
      </c>
      <c r="J22" s="556">
        <v>0</v>
      </c>
      <c r="K22" s="557">
        <f t="shared" si="0"/>
        <v>106738.83538030008</v>
      </c>
    </row>
    <row r="23" spans="1:11" ht="18" customHeight="1" x14ac:dyDescent="0.4">
      <c r="A23" s="183" t="s">
        <v>77</v>
      </c>
      <c r="B23" s="189" t="s">
        <v>43</v>
      </c>
      <c r="F23" s="555">
        <v>491</v>
      </c>
      <c r="G23" s="555">
        <v>545</v>
      </c>
      <c r="H23" s="556">
        <v>25592.286177659262</v>
      </c>
      <c r="I23" s="144">
        <v>18400.853761737009</v>
      </c>
      <c r="J23" s="556">
        <v>1743</v>
      </c>
      <c r="K23" s="557">
        <f t="shared" si="0"/>
        <v>42250.139939396271</v>
      </c>
    </row>
    <row r="24" spans="1:11" ht="18" customHeight="1" x14ac:dyDescent="0.4">
      <c r="A24" s="183" t="s">
        <v>78</v>
      </c>
      <c r="B24" s="189" t="s">
        <v>44</v>
      </c>
      <c r="F24" s="555"/>
      <c r="G24" s="555"/>
      <c r="H24" s="556"/>
      <c r="I24" s="144"/>
      <c r="J24" s="556"/>
      <c r="K24" s="557">
        <f t="shared" si="0"/>
        <v>0</v>
      </c>
    </row>
    <row r="25" spans="1:11" ht="18" customHeight="1" x14ac:dyDescent="0.4">
      <c r="A25" s="183" t="s">
        <v>79</v>
      </c>
      <c r="B25" s="189" t="s">
        <v>5</v>
      </c>
      <c r="F25" s="555">
        <v>3122</v>
      </c>
      <c r="G25" s="555">
        <v>4425</v>
      </c>
      <c r="H25" s="556">
        <v>268538</v>
      </c>
      <c r="I25" s="144">
        <v>193078.82199999999</v>
      </c>
      <c r="J25" s="556">
        <v>41697</v>
      </c>
      <c r="K25" s="557">
        <f t="shared" si="0"/>
        <v>419919.82199999999</v>
      </c>
    </row>
    <row r="26" spans="1:11" ht="18" customHeight="1" x14ac:dyDescent="0.4">
      <c r="A26" s="183" t="s">
        <v>80</v>
      </c>
      <c r="B26" s="189" t="s">
        <v>45</v>
      </c>
      <c r="F26" s="555"/>
      <c r="G26" s="555"/>
      <c r="H26" s="556"/>
      <c r="I26" s="144"/>
      <c r="J26" s="556">
        <v>0</v>
      </c>
      <c r="K26" s="557">
        <f t="shared" si="0"/>
        <v>0</v>
      </c>
    </row>
    <row r="27" spans="1:11" ht="18" customHeight="1" x14ac:dyDescent="0.4">
      <c r="A27" s="183" t="s">
        <v>81</v>
      </c>
      <c r="B27" s="189" t="s">
        <v>498</v>
      </c>
      <c r="F27" s="555"/>
      <c r="G27" s="555"/>
      <c r="H27" s="556"/>
      <c r="I27" s="144"/>
      <c r="J27" s="556"/>
      <c r="K27" s="557">
        <f t="shared" si="0"/>
        <v>0</v>
      </c>
    </row>
    <row r="28" spans="1:11" ht="18" customHeight="1" x14ac:dyDescent="0.4">
      <c r="A28" s="183" t="s">
        <v>82</v>
      </c>
      <c r="B28" s="189" t="s">
        <v>47</v>
      </c>
      <c r="F28" s="555"/>
      <c r="G28" s="555"/>
      <c r="H28" s="556"/>
      <c r="I28" s="144"/>
      <c r="J28" s="556"/>
      <c r="K28" s="557">
        <f t="shared" si="0"/>
        <v>0</v>
      </c>
    </row>
    <row r="29" spans="1:11" ht="18" customHeight="1" x14ac:dyDescent="0.4">
      <c r="A29" s="183" t="s">
        <v>83</v>
      </c>
      <c r="B29" s="189" t="s">
        <v>48</v>
      </c>
      <c r="F29" s="555">
        <v>11857.25</v>
      </c>
      <c r="G29" s="555">
        <v>183</v>
      </c>
      <c r="H29" s="556">
        <v>1426223.7161721149</v>
      </c>
      <c r="I29" s="144">
        <v>652609.39945775073</v>
      </c>
      <c r="J29" s="556">
        <v>0</v>
      </c>
      <c r="K29" s="557">
        <f t="shared" si="0"/>
        <v>2078833.1156298658</v>
      </c>
    </row>
    <row r="30" spans="1:11" ht="18" customHeight="1" x14ac:dyDescent="0.4">
      <c r="A30" s="183" t="s">
        <v>84</v>
      </c>
      <c r="B30" s="951"/>
      <c r="C30" s="952"/>
      <c r="D30" s="953"/>
      <c r="F30" s="555"/>
      <c r="G30" s="555"/>
      <c r="H30" s="556"/>
      <c r="I30" s="144">
        <f>H30*F$114</f>
        <v>0</v>
      </c>
      <c r="J30" s="556"/>
      <c r="K30" s="557">
        <f t="shared" si="0"/>
        <v>0</v>
      </c>
    </row>
    <row r="31" spans="1:11" ht="18" customHeight="1" x14ac:dyDescent="0.4">
      <c r="A31" s="183" t="s">
        <v>133</v>
      </c>
      <c r="B31" s="951"/>
      <c r="C31" s="952"/>
      <c r="D31" s="953"/>
      <c r="F31" s="555"/>
      <c r="G31" s="555"/>
      <c r="H31" s="556"/>
      <c r="I31" s="144">
        <f>H31*F$114</f>
        <v>0</v>
      </c>
      <c r="J31" s="556"/>
      <c r="K31" s="557">
        <f t="shared" si="0"/>
        <v>0</v>
      </c>
    </row>
    <row r="32" spans="1:11" ht="18" customHeight="1" x14ac:dyDescent="0.4">
      <c r="A32" s="183" t="s">
        <v>134</v>
      </c>
      <c r="B32" s="500"/>
      <c r="C32" s="501"/>
      <c r="D32" s="502"/>
      <c r="F32" s="555"/>
      <c r="G32" s="558" t="s">
        <v>85</v>
      </c>
      <c r="H32" s="556"/>
      <c r="I32" s="144">
        <f>H32*F$114</f>
        <v>0</v>
      </c>
      <c r="J32" s="556"/>
      <c r="K32" s="557">
        <f t="shared" si="0"/>
        <v>0</v>
      </c>
    </row>
    <row r="33" spans="1:11" ht="18" customHeight="1" x14ac:dyDescent="0.4">
      <c r="A33" s="183" t="s">
        <v>135</v>
      </c>
      <c r="B33" s="500"/>
      <c r="C33" s="501"/>
      <c r="D33" s="502"/>
      <c r="F33" s="555"/>
      <c r="G33" s="558" t="s">
        <v>85</v>
      </c>
      <c r="H33" s="556"/>
      <c r="I33" s="144">
        <f>H33*F$114</f>
        <v>0</v>
      </c>
      <c r="J33" s="556"/>
      <c r="K33" s="557">
        <f t="shared" si="0"/>
        <v>0</v>
      </c>
    </row>
    <row r="34" spans="1:11" ht="18" customHeight="1" x14ac:dyDescent="0.4">
      <c r="A34" s="183" t="s">
        <v>136</v>
      </c>
      <c r="B34" s="951"/>
      <c r="C34" s="952"/>
      <c r="D34" s="953"/>
      <c r="F34" s="555"/>
      <c r="G34" s="558" t="s">
        <v>85</v>
      </c>
      <c r="H34" s="556"/>
      <c r="I34" s="144">
        <f>H34*F$114</f>
        <v>0</v>
      </c>
      <c r="J34" s="556"/>
      <c r="K34" s="557">
        <f t="shared" si="0"/>
        <v>0</v>
      </c>
    </row>
    <row r="35" spans="1:11" ht="18" customHeight="1" x14ac:dyDescent="0.35">
      <c r="K35" s="559"/>
    </row>
    <row r="36" spans="1:11" ht="18" customHeight="1" x14ac:dyDescent="0.4">
      <c r="A36" s="120" t="s">
        <v>137</v>
      </c>
      <c r="B36" s="117" t="s">
        <v>138</v>
      </c>
      <c r="E36" s="117" t="s">
        <v>7</v>
      </c>
      <c r="F36" s="560">
        <f t="shared" ref="F36:K36" si="1">SUM(F21:F34)</f>
        <v>22139.25</v>
      </c>
      <c r="G36" s="560">
        <f t="shared" si="1"/>
        <v>743196</v>
      </c>
      <c r="H36" s="560">
        <f t="shared" si="1"/>
        <v>2434220.370057432</v>
      </c>
      <c r="I36" s="557">
        <f t="shared" si="1"/>
        <v>1377358.9936012938</v>
      </c>
      <c r="J36" s="557">
        <f t="shared" si="1"/>
        <v>86127</v>
      </c>
      <c r="K36" s="557">
        <f t="shared" si="1"/>
        <v>3725452.3636587257</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0</v>
      </c>
      <c r="G40" s="555">
        <v>0</v>
      </c>
      <c r="H40" s="556">
        <v>0</v>
      </c>
      <c r="I40" s="144">
        <f>H40*F$114</f>
        <v>0</v>
      </c>
      <c r="J40" s="556">
        <v>0</v>
      </c>
      <c r="K40" s="557">
        <f t="shared" ref="K40:K47" si="2">(H40+I40)-J40</f>
        <v>0</v>
      </c>
    </row>
    <row r="41" spans="1:11" ht="18" customHeight="1" x14ac:dyDescent="0.4">
      <c r="A41" s="183" t="s">
        <v>88</v>
      </c>
      <c r="B41" s="956" t="s">
        <v>50</v>
      </c>
      <c r="C41" s="957"/>
      <c r="F41" s="555">
        <v>1130</v>
      </c>
      <c r="G41" s="555">
        <v>0</v>
      </c>
      <c r="H41" s="556">
        <v>59505.623566907321</v>
      </c>
      <c r="I41" s="144">
        <v>42784.543344606362</v>
      </c>
      <c r="J41" s="556">
        <v>0</v>
      </c>
      <c r="K41" s="557">
        <f t="shared" si="2"/>
        <v>102290.16691151369</v>
      </c>
    </row>
    <row r="42" spans="1:11" ht="18" customHeight="1" x14ac:dyDescent="0.4">
      <c r="A42" s="183" t="s">
        <v>89</v>
      </c>
      <c r="B42" s="116" t="s">
        <v>11</v>
      </c>
      <c r="F42" s="555">
        <v>10527</v>
      </c>
      <c r="G42" s="555">
        <v>75</v>
      </c>
      <c r="H42" s="556">
        <v>536776.68155415705</v>
      </c>
      <c r="I42" s="144">
        <v>385942.43403743888</v>
      </c>
      <c r="J42" s="556">
        <v>0</v>
      </c>
      <c r="K42" s="557">
        <f t="shared" si="2"/>
        <v>922719.11559159588</v>
      </c>
    </row>
    <row r="43" spans="1:11" ht="18" customHeight="1" x14ac:dyDescent="0.4">
      <c r="A43" s="183" t="s">
        <v>90</v>
      </c>
      <c r="B43" s="141" t="s">
        <v>10</v>
      </c>
      <c r="C43" s="123"/>
      <c r="D43" s="123"/>
      <c r="F43" s="555">
        <v>104</v>
      </c>
      <c r="G43" s="555">
        <v>0</v>
      </c>
      <c r="H43" s="556">
        <v>652214.13520551159</v>
      </c>
      <c r="I43" s="144">
        <v>468941.96321276278</v>
      </c>
      <c r="J43" s="556">
        <v>0</v>
      </c>
      <c r="K43" s="557">
        <f t="shared" si="2"/>
        <v>1121156.0984182744</v>
      </c>
    </row>
    <row r="44" spans="1:11" ht="18" customHeight="1" x14ac:dyDescent="0.4">
      <c r="A44" s="183" t="s">
        <v>91</v>
      </c>
      <c r="B44" s="973" t="s">
        <v>233</v>
      </c>
      <c r="C44" s="1061"/>
      <c r="D44" s="1062"/>
      <c r="F44" s="561">
        <v>221</v>
      </c>
      <c r="G44" s="561">
        <v>102</v>
      </c>
      <c r="H44" s="556">
        <v>20428.685540293867</v>
      </c>
      <c r="I44" s="144">
        <v>14688.224903471291</v>
      </c>
      <c r="J44" s="556">
        <v>0</v>
      </c>
      <c r="K44" s="562">
        <f t="shared" si="2"/>
        <v>35116.910443765155</v>
      </c>
    </row>
    <row r="45" spans="1:11" ht="18" customHeight="1" x14ac:dyDescent="0.4">
      <c r="A45" s="183" t="s">
        <v>139</v>
      </c>
      <c r="B45" s="951"/>
      <c r="C45" s="952"/>
      <c r="D45" s="953"/>
      <c r="F45" s="555"/>
      <c r="G45" s="555"/>
      <c r="H45" s="556"/>
      <c r="I45" s="144">
        <v>0</v>
      </c>
      <c r="J45" s="556"/>
      <c r="K45" s="557">
        <f t="shared" si="2"/>
        <v>0</v>
      </c>
    </row>
    <row r="46" spans="1:11" ht="18" customHeight="1" x14ac:dyDescent="0.4">
      <c r="A46" s="183" t="s">
        <v>140</v>
      </c>
      <c r="B46" s="951"/>
      <c r="C46" s="952"/>
      <c r="D46" s="953"/>
      <c r="F46" s="555"/>
      <c r="G46" s="555"/>
      <c r="H46" s="556"/>
      <c r="I46" s="144">
        <v>0</v>
      </c>
      <c r="J46" s="556"/>
      <c r="K46" s="557">
        <f t="shared" si="2"/>
        <v>0</v>
      </c>
    </row>
    <row r="47" spans="1:11" ht="18" customHeight="1" x14ac:dyDescent="0.4">
      <c r="A47" s="183" t="s">
        <v>141</v>
      </c>
      <c r="B47" s="951"/>
      <c r="C47" s="952"/>
      <c r="D47" s="953"/>
      <c r="F47" s="555"/>
      <c r="G47" s="555"/>
      <c r="H47" s="556"/>
      <c r="I47" s="144">
        <v>0</v>
      </c>
      <c r="J47" s="556"/>
      <c r="K47" s="557">
        <f t="shared" si="2"/>
        <v>0</v>
      </c>
    </row>
    <row r="49" spans="1:11" ht="18" customHeight="1" x14ac:dyDescent="0.4">
      <c r="A49" s="120" t="s">
        <v>142</v>
      </c>
      <c r="B49" s="117" t="s">
        <v>143</v>
      </c>
      <c r="E49" s="117" t="s">
        <v>7</v>
      </c>
      <c r="F49" s="563">
        <f t="shared" ref="F49:K49" si="3">SUM(F40:F47)</f>
        <v>11982</v>
      </c>
      <c r="G49" s="563">
        <f t="shared" si="3"/>
        <v>177</v>
      </c>
      <c r="H49" s="557">
        <f t="shared" si="3"/>
        <v>1268925.1258668699</v>
      </c>
      <c r="I49" s="557">
        <f t="shared" si="3"/>
        <v>912357.16549827927</v>
      </c>
      <c r="J49" s="557">
        <f t="shared" si="3"/>
        <v>0</v>
      </c>
      <c r="K49" s="557">
        <f t="shared" si="3"/>
        <v>2181282.291365149</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630</v>
      </c>
      <c r="B53" s="507" t="s">
        <v>650</v>
      </c>
      <c r="C53" s="508"/>
      <c r="D53" s="505"/>
      <c r="F53" s="555"/>
      <c r="G53" s="555"/>
      <c r="H53" s="556">
        <v>6029714</v>
      </c>
      <c r="I53" s="144">
        <v>0</v>
      </c>
      <c r="J53" s="556"/>
      <c r="K53" s="557">
        <f t="shared" ref="K53:K61" si="4">(H53+I53)-J53</f>
        <v>6029714</v>
      </c>
    </row>
    <row r="54" spans="1:11" ht="18" customHeight="1" x14ac:dyDescent="0.4">
      <c r="A54" s="183" t="s">
        <v>96</v>
      </c>
      <c r="B54" s="506" t="s">
        <v>646</v>
      </c>
      <c r="C54" s="504"/>
      <c r="D54" s="505"/>
      <c r="F54" s="555"/>
      <c r="G54" s="555"/>
      <c r="H54" s="556">
        <v>2708641</v>
      </c>
      <c r="I54" s="144">
        <v>0</v>
      </c>
      <c r="J54" s="556"/>
      <c r="K54" s="557">
        <f t="shared" si="4"/>
        <v>2708641</v>
      </c>
    </row>
    <row r="55" spans="1:11" ht="18" customHeight="1" x14ac:dyDescent="0.4">
      <c r="A55" s="183" t="s">
        <v>51</v>
      </c>
      <c r="B55" s="506" t="s">
        <v>642</v>
      </c>
      <c r="C55" s="504"/>
      <c r="D55" s="505"/>
      <c r="F55" s="555"/>
      <c r="G55" s="555"/>
      <c r="H55" s="556">
        <v>1797126</v>
      </c>
      <c r="I55" s="144">
        <v>0</v>
      </c>
      <c r="J55" s="556"/>
      <c r="K55" s="557">
        <f t="shared" si="4"/>
        <v>1797126</v>
      </c>
    </row>
    <row r="56" spans="1:11" ht="18" customHeight="1" x14ac:dyDescent="0.4">
      <c r="A56" s="183" t="s">
        <v>97</v>
      </c>
      <c r="B56" s="506" t="s">
        <v>647</v>
      </c>
      <c r="C56" s="504"/>
      <c r="D56" s="505"/>
      <c r="F56" s="555"/>
      <c r="G56" s="555"/>
      <c r="H56" s="556">
        <v>1252861</v>
      </c>
      <c r="I56" s="144">
        <v>0</v>
      </c>
      <c r="J56" s="556"/>
      <c r="K56" s="557">
        <f t="shared" si="4"/>
        <v>1252861</v>
      </c>
    </row>
    <row r="57" spans="1:11" ht="18" customHeight="1" x14ac:dyDescent="0.4">
      <c r="A57" s="183" t="s">
        <v>93</v>
      </c>
      <c r="B57" s="506" t="s">
        <v>643</v>
      </c>
      <c r="C57" s="504"/>
      <c r="D57" s="505"/>
      <c r="F57" s="555"/>
      <c r="G57" s="555"/>
      <c r="H57" s="556">
        <v>764350</v>
      </c>
      <c r="I57" s="144">
        <v>0</v>
      </c>
      <c r="J57" s="556"/>
      <c r="K57" s="557">
        <f t="shared" si="4"/>
        <v>764350</v>
      </c>
    </row>
    <row r="58" spans="1:11" ht="18" customHeight="1" x14ac:dyDescent="0.4">
      <c r="A58" s="183" t="s">
        <v>95</v>
      </c>
      <c r="B58" s="506" t="s">
        <v>645</v>
      </c>
      <c r="C58" s="504"/>
      <c r="D58" s="505"/>
      <c r="F58" s="555"/>
      <c r="G58" s="555"/>
      <c r="H58" s="556">
        <v>478500</v>
      </c>
      <c r="I58" s="144">
        <v>0</v>
      </c>
      <c r="J58" s="556"/>
      <c r="K58" s="557">
        <f t="shared" si="4"/>
        <v>478500</v>
      </c>
    </row>
    <row r="59" spans="1:11" ht="18" customHeight="1" x14ac:dyDescent="0.4">
      <c r="A59" s="183" t="s">
        <v>99</v>
      </c>
      <c r="B59" s="506" t="s">
        <v>649</v>
      </c>
      <c r="C59" s="504"/>
      <c r="D59" s="505"/>
      <c r="F59" s="555"/>
      <c r="G59" s="555"/>
      <c r="H59" s="556">
        <v>453248</v>
      </c>
      <c r="I59" s="144">
        <v>0</v>
      </c>
      <c r="J59" s="556"/>
      <c r="K59" s="557">
        <f t="shared" si="4"/>
        <v>453248</v>
      </c>
    </row>
    <row r="60" spans="1:11" ht="18" customHeight="1" x14ac:dyDescent="0.4">
      <c r="A60" s="183" t="s">
        <v>94</v>
      </c>
      <c r="B60" s="506" t="s">
        <v>644</v>
      </c>
      <c r="C60" s="504"/>
      <c r="D60" s="505"/>
      <c r="F60" s="555"/>
      <c r="G60" s="555"/>
      <c r="H60" s="556">
        <v>271827</v>
      </c>
      <c r="I60" s="144">
        <v>0</v>
      </c>
      <c r="J60" s="556"/>
      <c r="K60" s="557">
        <f t="shared" si="4"/>
        <v>271827</v>
      </c>
    </row>
    <row r="61" spans="1:11" ht="18" customHeight="1" x14ac:dyDescent="0.4">
      <c r="A61" s="183" t="s">
        <v>98</v>
      </c>
      <c r="B61" s="506" t="s">
        <v>648</v>
      </c>
      <c r="C61" s="504"/>
      <c r="D61" s="505"/>
      <c r="F61" s="555"/>
      <c r="G61" s="555"/>
      <c r="H61" s="556">
        <v>152400</v>
      </c>
      <c r="I61" s="144">
        <v>0</v>
      </c>
      <c r="J61" s="556"/>
      <c r="K61" s="557">
        <f t="shared" si="4"/>
        <v>152400</v>
      </c>
    </row>
    <row r="62" spans="1:11" ht="18" customHeight="1" x14ac:dyDescent="0.4">
      <c r="A62" s="183" t="s">
        <v>101</v>
      </c>
      <c r="B62" s="506" t="s">
        <v>233</v>
      </c>
      <c r="C62" s="504"/>
      <c r="D62" s="505"/>
      <c r="F62" s="555">
        <v>416</v>
      </c>
      <c r="G62" s="555">
        <v>0</v>
      </c>
      <c r="H62" s="556">
        <v>101906</v>
      </c>
      <c r="I62" s="144">
        <v>19345.414000000001</v>
      </c>
      <c r="J62" s="556"/>
      <c r="K62" s="557">
        <v>121251.414</v>
      </c>
    </row>
    <row r="63" spans="1:11" ht="18" customHeight="1" x14ac:dyDescent="0.4">
      <c r="A63" s="183"/>
      <c r="B63" s="434"/>
      <c r="C63" s="435"/>
      <c r="D63" s="435"/>
      <c r="E63" s="260"/>
      <c r="F63" s="834"/>
      <c r="G63" s="834"/>
      <c r="H63" s="835"/>
      <c r="I63" s="836"/>
      <c r="J63" s="835"/>
      <c r="K63" s="837"/>
    </row>
    <row r="64" spans="1:11" ht="18" customHeight="1" x14ac:dyDescent="0.4">
      <c r="A64" s="183" t="s">
        <v>144</v>
      </c>
      <c r="B64" s="117" t="s">
        <v>145</v>
      </c>
      <c r="E64" s="117" t="s">
        <v>7</v>
      </c>
      <c r="F64" s="560">
        <f>SUM(F53:F62)</f>
        <v>416</v>
      </c>
      <c r="G64" s="560">
        <f>SUM(G53:G61)</f>
        <v>0</v>
      </c>
      <c r="H64" s="557">
        <f>SUM(H53:H62)</f>
        <v>14010573</v>
      </c>
      <c r="I64" s="557">
        <f>SUM(I53:I62)</f>
        <v>19345.414000000001</v>
      </c>
      <c r="J64" s="557">
        <f>SUM(J53:J62)</f>
        <v>0</v>
      </c>
      <c r="K64" s="557">
        <f>SUM(K53:K62)</f>
        <v>14029918.414000001</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838">
        <v>335625</v>
      </c>
      <c r="I68" s="144">
        <v>0</v>
      </c>
      <c r="J68" s="838">
        <v>159279</v>
      </c>
      <c r="K68" s="557">
        <f>(H68+I68)-J68</f>
        <v>176346</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06" t="s">
        <v>651</v>
      </c>
      <c r="C70" s="504"/>
      <c r="D70" s="505"/>
      <c r="E70" s="117"/>
      <c r="F70" s="131"/>
      <c r="G70" s="131"/>
      <c r="H70" s="132">
        <v>7040.5</v>
      </c>
      <c r="I70" s="144">
        <v>0</v>
      </c>
      <c r="J70" s="132">
        <v>0</v>
      </c>
      <c r="K70" s="557">
        <f>(H70+I70)-J70</f>
        <v>7040.5</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5">SUM(F68:F72)</f>
        <v>0</v>
      </c>
      <c r="G74" s="566">
        <f t="shared" si="5"/>
        <v>0</v>
      </c>
      <c r="H74" s="839">
        <f t="shared" si="5"/>
        <v>342665.5</v>
      </c>
      <c r="I74" s="145">
        <f t="shared" si="5"/>
        <v>0</v>
      </c>
      <c r="J74" s="839">
        <f t="shared" si="5"/>
        <v>159279</v>
      </c>
      <c r="K74" s="567">
        <f t="shared" si="5"/>
        <v>183386.5</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v>0</v>
      </c>
      <c r="G77" s="555">
        <v>0</v>
      </c>
      <c r="H77" s="556">
        <v>263960</v>
      </c>
      <c r="I77" s="144">
        <v>0</v>
      </c>
      <c r="J77" s="556"/>
      <c r="K77" s="557">
        <f>(H77+I77)-J77</f>
        <v>263960</v>
      </c>
    </row>
    <row r="78" spans="1:11" ht="18" customHeight="1" x14ac:dyDescent="0.4">
      <c r="A78" s="183" t="s">
        <v>108</v>
      </c>
      <c r="B78" s="116" t="s">
        <v>55</v>
      </c>
      <c r="F78" s="555">
        <v>6</v>
      </c>
      <c r="G78" s="555">
        <v>262</v>
      </c>
      <c r="H78" s="556">
        <v>123.57235421642378</v>
      </c>
      <c r="I78" s="144">
        <v>0</v>
      </c>
      <c r="J78" s="556"/>
      <c r="K78" s="557">
        <f>(H78+I78)-J78</f>
        <v>123.57235421642378</v>
      </c>
    </row>
    <row r="79" spans="1:11" ht="18" customHeight="1" x14ac:dyDescent="0.4">
      <c r="A79" s="183" t="s">
        <v>109</v>
      </c>
      <c r="B79" s="116" t="s">
        <v>13</v>
      </c>
      <c r="F79" s="555">
        <v>162</v>
      </c>
      <c r="G79" s="555">
        <v>455</v>
      </c>
      <c r="H79" s="556">
        <v>30091.489561026356</v>
      </c>
      <c r="I79" s="144">
        <v>0</v>
      </c>
      <c r="J79" s="556"/>
      <c r="K79" s="557">
        <f>(H79+I79)-J79</f>
        <v>30091.489561026356</v>
      </c>
    </row>
    <row r="80" spans="1:11" ht="18" customHeight="1" x14ac:dyDescent="0.4">
      <c r="A80" s="183" t="s">
        <v>110</v>
      </c>
      <c r="B80" s="116" t="s">
        <v>56</v>
      </c>
      <c r="F80" s="555">
        <v>0</v>
      </c>
      <c r="G80" s="555">
        <v>0</v>
      </c>
      <c r="H80" s="556">
        <v>0</v>
      </c>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6">SUM(F77:F80)</f>
        <v>168</v>
      </c>
      <c r="G82" s="566">
        <f t="shared" si="6"/>
        <v>717</v>
      </c>
      <c r="H82" s="567">
        <f t="shared" si="6"/>
        <v>294175.06191524275</v>
      </c>
      <c r="I82" s="567">
        <f t="shared" si="6"/>
        <v>0</v>
      </c>
      <c r="J82" s="567">
        <f t="shared" si="6"/>
        <v>0</v>
      </c>
      <c r="K82" s="567">
        <f t="shared" si="6"/>
        <v>294175.06191524275</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25</v>
      </c>
      <c r="G86" s="555">
        <v>5</v>
      </c>
      <c r="H86" s="556">
        <v>1746.9306027619432</v>
      </c>
      <c r="I86" s="144">
        <v>1256.0431033858372</v>
      </c>
      <c r="J86" s="556">
        <v>0</v>
      </c>
      <c r="K86" s="557">
        <f t="shared" ref="K86:K96" si="7">(H86+I86)-J86</f>
        <v>3002.9737061477804</v>
      </c>
    </row>
    <row r="87" spans="1:11" ht="18" customHeight="1" x14ac:dyDescent="0.4">
      <c r="A87" s="183" t="s">
        <v>114</v>
      </c>
      <c r="B87" s="116" t="s">
        <v>14</v>
      </c>
      <c r="F87" s="555"/>
      <c r="G87" s="555"/>
      <c r="H87" s="556"/>
      <c r="I87" s="144"/>
      <c r="J87" s="556">
        <v>0</v>
      </c>
      <c r="K87" s="557">
        <f t="shared" si="7"/>
        <v>0</v>
      </c>
    </row>
    <row r="88" spans="1:11" ht="18" customHeight="1" x14ac:dyDescent="0.4">
      <c r="A88" s="183" t="s">
        <v>115</v>
      </c>
      <c r="B88" s="116" t="s">
        <v>116</v>
      </c>
      <c r="F88" s="555">
        <v>2403</v>
      </c>
      <c r="G88" s="555">
        <v>178</v>
      </c>
      <c r="H88" s="556">
        <v>326779.15101160435</v>
      </c>
      <c r="I88" s="144">
        <v>234954.20957734351</v>
      </c>
      <c r="J88" s="556">
        <v>0</v>
      </c>
      <c r="K88" s="557">
        <f t="shared" si="7"/>
        <v>561733.36058894789</v>
      </c>
    </row>
    <row r="89" spans="1:11" ht="18" customHeight="1" x14ac:dyDescent="0.4">
      <c r="A89" s="183" t="s">
        <v>117</v>
      </c>
      <c r="B89" s="116" t="s">
        <v>58</v>
      </c>
      <c r="F89" s="555"/>
      <c r="G89" s="555"/>
      <c r="H89" s="556"/>
      <c r="I89" s="144"/>
      <c r="J89" s="556">
        <v>0</v>
      </c>
      <c r="K89" s="557">
        <f t="shared" si="7"/>
        <v>0</v>
      </c>
    </row>
    <row r="90" spans="1:11" ht="18" customHeight="1" x14ac:dyDescent="0.4">
      <c r="A90" s="183" t="s">
        <v>118</v>
      </c>
      <c r="B90" s="956" t="s">
        <v>59</v>
      </c>
      <c r="C90" s="957"/>
      <c r="F90" s="555">
        <v>6</v>
      </c>
      <c r="G90" s="555">
        <v>3</v>
      </c>
      <c r="H90" s="556">
        <v>386.16360692632429</v>
      </c>
      <c r="I90" s="144">
        <v>277.65163338002714</v>
      </c>
      <c r="J90" s="556">
        <v>0</v>
      </c>
      <c r="K90" s="557">
        <f t="shared" si="7"/>
        <v>663.81524030635137</v>
      </c>
    </row>
    <row r="91" spans="1:11" ht="18" customHeight="1" x14ac:dyDescent="0.4">
      <c r="A91" s="183" t="s">
        <v>119</v>
      </c>
      <c r="B91" s="116" t="s">
        <v>60</v>
      </c>
      <c r="F91" s="555">
        <v>15</v>
      </c>
      <c r="G91" s="555">
        <v>132</v>
      </c>
      <c r="H91" s="556">
        <v>714.40267281369995</v>
      </c>
      <c r="I91" s="144">
        <v>513.65552175305027</v>
      </c>
      <c r="J91" s="556">
        <v>0</v>
      </c>
      <c r="K91" s="557">
        <f t="shared" si="7"/>
        <v>1228.0581945667502</v>
      </c>
    </row>
    <row r="92" spans="1:11" ht="18" customHeight="1" x14ac:dyDescent="0.4">
      <c r="A92" s="183" t="s">
        <v>120</v>
      </c>
      <c r="B92" s="116" t="s">
        <v>121</v>
      </c>
      <c r="F92" s="134">
        <v>25</v>
      </c>
      <c r="G92" s="134">
        <v>103</v>
      </c>
      <c r="H92" s="135">
        <v>1773.8745950991961</v>
      </c>
      <c r="I92" s="144">
        <v>1275.4158338763218</v>
      </c>
      <c r="J92" s="135">
        <v>0</v>
      </c>
      <c r="K92" s="557">
        <f t="shared" si="7"/>
        <v>3049.2904289755179</v>
      </c>
    </row>
    <row r="93" spans="1:11" ht="18" customHeight="1" x14ac:dyDescent="0.4">
      <c r="A93" s="183" t="s">
        <v>122</v>
      </c>
      <c r="B93" s="116" t="s">
        <v>123</v>
      </c>
      <c r="F93" s="555">
        <v>8</v>
      </c>
      <c r="G93" s="555">
        <v>4</v>
      </c>
      <c r="H93" s="556">
        <v>617.86177108211882</v>
      </c>
      <c r="I93" s="144">
        <v>444.24261340804344</v>
      </c>
      <c r="J93" s="556">
        <v>0</v>
      </c>
      <c r="K93" s="557">
        <f t="shared" si="7"/>
        <v>1062.1043844901624</v>
      </c>
    </row>
    <row r="94" spans="1:11" ht="18" customHeight="1" x14ac:dyDescent="0.4">
      <c r="A94" s="183" t="s">
        <v>124</v>
      </c>
      <c r="B94" s="973"/>
      <c r="C94" s="974"/>
      <c r="D94" s="975"/>
      <c r="F94" s="555"/>
      <c r="G94" s="555"/>
      <c r="H94" s="556"/>
      <c r="I94" s="144">
        <f>H94*F$114</f>
        <v>0</v>
      </c>
      <c r="J94" s="556"/>
      <c r="K94" s="557">
        <f t="shared" si="7"/>
        <v>0</v>
      </c>
    </row>
    <row r="95" spans="1:11" ht="18" customHeight="1" x14ac:dyDescent="0.4">
      <c r="A95" s="183" t="s">
        <v>125</v>
      </c>
      <c r="B95" s="980"/>
      <c r="C95" s="974"/>
      <c r="D95" s="975"/>
      <c r="F95" s="555"/>
      <c r="G95" s="555"/>
      <c r="H95" s="556"/>
      <c r="I95" s="144">
        <f>H95*F$114</f>
        <v>0</v>
      </c>
      <c r="J95" s="556"/>
      <c r="K95" s="557">
        <f t="shared" si="7"/>
        <v>0</v>
      </c>
    </row>
    <row r="96" spans="1:11" ht="18" customHeight="1" x14ac:dyDescent="0.4">
      <c r="A96" s="183" t="s">
        <v>126</v>
      </c>
      <c r="B96" s="980"/>
      <c r="C96" s="974"/>
      <c r="D96" s="975"/>
      <c r="F96" s="555"/>
      <c r="G96" s="555"/>
      <c r="H96" s="556"/>
      <c r="I96" s="144">
        <f>H96*F$114</f>
        <v>0</v>
      </c>
      <c r="J96" s="556"/>
      <c r="K96" s="557">
        <f t="shared" si="7"/>
        <v>0</v>
      </c>
    </row>
    <row r="97" spans="1:11" ht="18" customHeight="1" x14ac:dyDescent="0.4">
      <c r="A97" s="183"/>
      <c r="B97" s="116"/>
    </row>
    <row r="98" spans="1:11" ht="18" customHeight="1" x14ac:dyDescent="0.4">
      <c r="A98" s="120" t="s">
        <v>150</v>
      </c>
      <c r="B98" s="117" t="s">
        <v>151</v>
      </c>
      <c r="E98" s="117" t="s">
        <v>7</v>
      </c>
      <c r="F98" s="560">
        <f t="shared" ref="F98:K98" si="8">SUM(F86:F96)</f>
        <v>2482</v>
      </c>
      <c r="G98" s="560">
        <f t="shared" si="8"/>
        <v>425</v>
      </c>
      <c r="H98" s="567">
        <f t="shared" si="8"/>
        <v>332018.38426028757</v>
      </c>
      <c r="I98" s="567">
        <f t="shared" si="8"/>
        <v>238721.21828314679</v>
      </c>
      <c r="J98" s="567">
        <f t="shared" si="8"/>
        <v>0</v>
      </c>
      <c r="K98" s="567">
        <f t="shared" si="8"/>
        <v>570739.60254343436</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2913</v>
      </c>
      <c r="G102" s="555">
        <v>0</v>
      </c>
      <c r="H102" s="556">
        <v>352757.29609272192</v>
      </c>
      <c r="I102" s="144">
        <v>253632.49589066705</v>
      </c>
      <c r="J102" s="556">
        <v>0</v>
      </c>
      <c r="K102" s="557">
        <f>(H102+I102)-J102</f>
        <v>606389.79198338895</v>
      </c>
    </row>
    <row r="103" spans="1:11" ht="18" customHeight="1" x14ac:dyDescent="0.4">
      <c r="A103" s="183" t="s">
        <v>132</v>
      </c>
      <c r="B103" s="956" t="s">
        <v>62</v>
      </c>
      <c r="C103" s="956"/>
      <c r="F103" s="555"/>
      <c r="G103" s="555"/>
      <c r="H103" s="556"/>
      <c r="I103" s="144">
        <f>H103*F$114</f>
        <v>0</v>
      </c>
      <c r="J103" s="556"/>
      <c r="K103" s="557">
        <f>(H103+I103)-J103</f>
        <v>0</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9">SUM(F102:F106)</f>
        <v>2913</v>
      </c>
      <c r="G108" s="560">
        <f t="shared" si="9"/>
        <v>0</v>
      </c>
      <c r="H108" s="557">
        <f t="shared" si="9"/>
        <v>352757.29609272192</v>
      </c>
      <c r="I108" s="557">
        <f t="shared" si="9"/>
        <v>253632.49589066705</v>
      </c>
      <c r="J108" s="557">
        <f t="shared" si="9"/>
        <v>0</v>
      </c>
      <c r="K108" s="557">
        <f t="shared" si="9"/>
        <v>606389.79198338895</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5237664.0999999996</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0.71899999999999997</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259798000</v>
      </c>
    </row>
    <row r="118" spans="1:6" ht="18" customHeight="1" x14ac:dyDescent="0.4">
      <c r="A118" s="183" t="s">
        <v>173</v>
      </c>
      <c r="B118" s="189" t="s">
        <v>18</v>
      </c>
      <c r="F118" s="556">
        <v>22573000</v>
      </c>
    </row>
    <row r="119" spans="1:6" ht="18" customHeight="1" x14ac:dyDescent="0.4">
      <c r="A119" s="183" t="s">
        <v>174</v>
      </c>
      <c r="B119" s="117" t="s">
        <v>19</v>
      </c>
      <c r="F119" s="567">
        <f>SUM(F117:F118)</f>
        <v>282371000</v>
      </c>
    </row>
    <row r="120" spans="1:6" ht="18" customHeight="1" x14ac:dyDescent="0.4">
      <c r="A120" s="183"/>
      <c r="B120" s="117"/>
    </row>
    <row r="121" spans="1:6" ht="18" customHeight="1" x14ac:dyDescent="0.4">
      <c r="A121" s="183" t="s">
        <v>167</v>
      </c>
      <c r="B121" s="117" t="s">
        <v>36</v>
      </c>
      <c r="F121" s="556">
        <v>266793000</v>
      </c>
    </row>
    <row r="122" spans="1:6" ht="18" customHeight="1" x14ac:dyDescent="0.4">
      <c r="A122" s="183"/>
    </row>
    <row r="123" spans="1:6" ht="18" customHeight="1" x14ac:dyDescent="0.4">
      <c r="A123" s="183" t="s">
        <v>175</v>
      </c>
      <c r="B123" s="117" t="s">
        <v>20</v>
      </c>
      <c r="F123" s="556">
        <f>F119-F121</f>
        <v>15578000</v>
      </c>
    </row>
    <row r="124" spans="1:6" ht="18" customHeight="1" x14ac:dyDescent="0.4">
      <c r="A124" s="183"/>
    </row>
    <row r="125" spans="1:6" ht="18" customHeight="1" x14ac:dyDescent="0.4">
      <c r="A125" s="183" t="s">
        <v>176</v>
      </c>
      <c r="B125" s="117" t="s">
        <v>21</v>
      </c>
      <c r="F125" s="556">
        <v>2805000</v>
      </c>
    </row>
    <row r="126" spans="1:6" ht="18" customHeight="1" x14ac:dyDescent="0.4">
      <c r="A126" s="183"/>
    </row>
    <row r="127" spans="1:6" ht="18" customHeight="1" x14ac:dyDescent="0.4">
      <c r="A127" s="183" t="s">
        <v>177</v>
      </c>
      <c r="B127" s="117" t="s">
        <v>22</v>
      </c>
      <c r="F127" s="556">
        <f>F123+F125</f>
        <v>18383000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0">SUM(F131:F135)</f>
        <v>0</v>
      </c>
      <c r="G137" s="560">
        <f t="shared" si="10"/>
        <v>0</v>
      </c>
      <c r="H137" s="557">
        <f t="shared" si="10"/>
        <v>0</v>
      </c>
      <c r="I137" s="557">
        <f t="shared" si="10"/>
        <v>0</v>
      </c>
      <c r="J137" s="557">
        <f t="shared" si="10"/>
        <v>0</v>
      </c>
      <c r="K137" s="557">
        <f t="shared" si="10"/>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1">F36</f>
        <v>22139.25</v>
      </c>
      <c r="G141" s="136">
        <f t="shared" si="11"/>
        <v>743196</v>
      </c>
      <c r="H141" s="136">
        <f t="shared" si="11"/>
        <v>2434220.370057432</v>
      </c>
      <c r="I141" s="136">
        <f t="shared" si="11"/>
        <v>1377358.9936012938</v>
      </c>
      <c r="J141" s="136">
        <f t="shared" si="11"/>
        <v>86127</v>
      </c>
      <c r="K141" s="136">
        <f t="shared" si="11"/>
        <v>3725452.3636587257</v>
      </c>
    </row>
    <row r="142" spans="1:11" ht="18" customHeight="1" x14ac:dyDescent="0.4">
      <c r="A142" s="183" t="s">
        <v>142</v>
      </c>
      <c r="B142" s="117" t="s">
        <v>65</v>
      </c>
      <c r="F142" s="136">
        <f t="shared" ref="F142:K142" si="12">F49</f>
        <v>11982</v>
      </c>
      <c r="G142" s="136">
        <f t="shared" si="12"/>
        <v>177</v>
      </c>
      <c r="H142" s="136">
        <f t="shared" si="12"/>
        <v>1268925.1258668699</v>
      </c>
      <c r="I142" s="136">
        <f t="shared" si="12"/>
        <v>912357.16549827927</v>
      </c>
      <c r="J142" s="136">
        <f t="shared" si="12"/>
        <v>0</v>
      </c>
      <c r="K142" s="136">
        <f t="shared" si="12"/>
        <v>2181282.291365149</v>
      </c>
    </row>
    <row r="143" spans="1:11" ht="18" customHeight="1" x14ac:dyDescent="0.4">
      <c r="A143" s="183" t="s">
        <v>144</v>
      </c>
      <c r="B143" s="117" t="s">
        <v>66</v>
      </c>
      <c r="F143" s="136">
        <f t="shared" ref="F143:K143" si="13">F64</f>
        <v>416</v>
      </c>
      <c r="G143" s="136">
        <f t="shared" si="13"/>
        <v>0</v>
      </c>
      <c r="H143" s="136">
        <f t="shared" si="13"/>
        <v>14010573</v>
      </c>
      <c r="I143" s="136">
        <f t="shared" si="13"/>
        <v>19345.414000000001</v>
      </c>
      <c r="J143" s="136">
        <f t="shared" si="13"/>
        <v>0</v>
      </c>
      <c r="K143" s="136">
        <f t="shared" si="13"/>
        <v>14029918.414000001</v>
      </c>
    </row>
    <row r="144" spans="1:11" ht="18" customHeight="1" x14ac:dyDescent="0.4">
      <c r="A144" s="183" t="s">
        <v>146</v>
      </c>
      <c r="B144" s="117" t="s">
        <v>67</v>
      </c>
      <c r="F144" s="136">
        <f t="shared" ref="F144:K144" si="14">F74</f>
        <v>0</v>
      </c>
      <c r="G144" s="136">
        <f t="shared" si="14"/>
        <v>0</v>
      </c>
      <c r="H144" s="136">
        <f t="shared" si="14"/>
        <v>342665.5</v>
      </c>
      <c r="I144" s="136">
        <f t="shared" si="14"/>
        <v>0</v>
      </c>
      <c r="J144" s="136">
        <f t="shared" si="14"/>
        <v>159279</v>
      </c>
      <c r="K144" s="136">
        <f t="shared" si="14"/>
        <v>183386.5</v>
      </c>
    </row>
    <row r="145" spans="1:11" ht="18" customHeight="1" x14ac:dyDescent="0.4">
      <c r="A145" s="183" t="s">
        <v>148</v>
      </c>
      <c r="B145" s="117" t="s">
        <v>68</v>
      </c>
      <c r="F145" s="136">
        <f t="shared" ref="F145:K145" si="15">F82</f>
        <v>168</v>
      </c>
      <c r="G145" s="136">
        <f t="shared" si="15"/>
        <v>717</v>
      </c>
      <c r="H145" s="136">
        <f t="shared" si="15"/>
        <v>294175.06191524275</v>
      </c>
      <c r="I145" s="136">
        <f t="shared" si="15"/>
        <v>0</v>
      </c>
      <c r="J145" s="136">
        <f t="shared" si="15"/>
        <v>0</v>
      </c>
      <c r="K145" s="136">
        <f t="shared" si="15"/>
        <v>294175.06191524275</v>
      </c>
    </row>
    <row r="146" spans="1:11" ht="18" customHeight="1" x14ac:dyDescent="0.4">
      <c r="A146" s="183" t="s">
        <v>150</v>
      </c>
      <c r="B146" s="117" t="s">
        <v>69</v>
      </c>
      <c r="F146" s="136">
        <f t="shared" ref="F146:K146" si="16">F98</f>
        <v>2482</v>
      </c>
      <c r="G146" s="136">
        <f t="shared" si="16"/>
        <v>425</v>
      </c>
      <c r="H146" s="136">
        <f t="shared" si="16"/>
        <v>332018.38426028757</v>
      </c>
      <c r="I146" s="136">
        <f t="shared" si="16"/>
        <v>238721.21828314679</v>
      </c>
      <c r="J146" s="136">
        <f t="shared" si="16"/>
        <v>0</v>
      </c>
      <c r="K146" s="136">
        <f t="shared" si="16"/>
        <v>570739.60254343436</v>
      </c>
    </row>
    <row r="147" spans="1:11" ht="18" customHeight="1" x14ac:dyDescent="0.4">
      <c r="A147" s="183" t="s">
        <v>153</v>
      </c>
      <c r="B147" s="117" t="s">
        <v>61</v>
      </c>
      <c r="F147" s="560">
        <f t="shared" ref="F147:K147" si="17">F108</f>
        <v>2913</v>
      </c>
      <c r="G147" s="560">
        <f t="shared" si="17"/>
        <v>0</v>
      </c>
      <c r="H147" s="560">
        <f t="shared" si="17"/>
        <v>352757.29609272192</v>
      </c>
      <c r="I147" s="560">
        <f t="shared" si="17"/>
        <v>253632.49589066705</v>
      </c>
      <c r="J147" s="560">
        <f t="shared" si="17"/>
        <v>0</v>
      </c>
      <c r="K147" s="560">
        <f t="shared" si="17"/>
        <v>606389.79198338895</v>
      </c>
    </row>
    <row r="148" spans="1:11" ht="18" customHeight="1" x14ac:dyDescent="0.4">
      <c r="A148" s="183" t="s">
        <v>155</v>
      </c>
      <c r="B148" s="117" t="s">
        <v>70</v>
      </c>
      <c r="F148" s="137" t="s">
        <v>73</v>
      </c>
      <c r="G148" s="137" t="s">
        <v>73</v>
      </c>
      <c r="H148" s="138" t="s">
        <v>73</v>
      </c>
      <c r="I148" s="138" t="s">
        <v>73</v>
      </c>
      <c r="J148" s="138" t="s">
        <v>73</v>
      </c>
      <c r="K148" s="286">
        <f>F111</f>
        <v>5237664.0999999996</v>
      </c>
    </row>
    <row r="149" spans="1:11" ht="18" customHeight="1" x14ac:dyDescent="0.4">
      <c r="A149" s="183" t="s">
        <v>163</v>
      </c>
      <c r="B149" s="117" t="s">
        <v>71</v>
      </c>
      <c r="F149" s="560">
        <f t="shared" ref="F149:K149" si="18">F137</f>
        <v>0</v>
      </c>
      <c r="G149" s="560">
        <f t="shared" si="18"/>
        <v>0</v>
      </c>
      <c r="H149" s="560">
        <f t="shared" si="18"/>
        <v>0</v>
      </c>
      <c r="I149" s="560">
        <f t="shared" si="18"/>
        <v>0</v>
      </c>
      <c r="J149" s="560">
        <f t="shared" si="18"/>
        <v>0</v>
      </c>
      <c r="K149" s="560">
        <f t="shared" si="18"/>
        <v>0</v>
      </c>
    </row>
    <row r="150" spans="1:11" ht="18" customHeight="1" x14ac:dyDescent="0.4">
      <c r="A150" s="183" t="s">
        <v>185</v>
      </c>
      <c r="B150" s="117" t="s">
        <v>186</v>
      </c>
      <c r="F150" s="137" t="s">
        <v>73</v>
      </c>
      <c r="G150" s="137" t="s">
        <v>73</v>
      </c>
      <c r="H150" s="560">
        <f>H18</f>
        <v>6066070</v>
      </c>
      <c r="I150" s="560">
        <f>I18</f>
        <v>0</v>
      </c>
      <c r="J150" s="560">
        <f>J18</f>
        <v>5042889</v>
      </c>
      <c r="K150" s="560">
        <f>K18</f>
        <v>1023181</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19">SUM(F141:F150)</f>
        <v>40100.25</v>
      </c>
      <c r="G152" s="143">
        <f t="shared" si="19"/>
        <v>744515</v>
      </c>
      <c r="H152" s="143">
        <f t="shared" si="19"/>
        <v>25101404.738192555</v>
      </c>
      <c r="I152" s="143">
        <f t="shared" si="19"/>
        <v>2801415.287273387</v>
      </c>
      <c r="J152" s="143">
        <f t="shared" si="19"/>
        <v>5288295</v>
      </c>
      <c r="K152" s="143">
        <f t="shared" si="19"/>
        <v>27852189.125465944</v>
      </c>
    </row>
    <row r="154" spans="1:11" ht="18" customHeight="1" x14ac:dyDescent="0.4">
      <c r="A154" s="120" t="s">
        <v>168</v>
      </c>
      <c r="B154" s="117" t="s">
        <v>28</v>
      </c>
      <c r="F154" s="571">
        <f>K152/F121</f>
        <v>0.1043962514963509</v>
      </c>
    </row>
    <row r="155" spans="1:11" ht="18" customHeight="1" x14ac:dyDescent="0.4">
      <c r="A155" s="120" t="s">
        <v>169</v>
      </c>
      <c r="B155" s="117" t="s">
        <v>72</v>
      </c>
      <c r="F155" s="571">
        <f>K152/F127</f>
        <v>1.5151057567027115</v>
      </c>
      <c r="G155" s="117"/>
    </row>
    <row r="156" spans="1:11" ht="18" customHeight="1" x14ac:dyDescent="0.4">
      <c r="G156" s="117"/>
    </row>
  </sheetData>
  <mergeCells count="28">
    <mergeCell ref="B103:C103"/>
    <mergeCell ref="D2:H2"/>
    <mergeCell ref="B134:D134"/>
    <mergeCell ref="B135:D135"/>
    <mergeCell ref="B133:D133"/>
    <mergeCell ref="B104:D104"/>
    <mergeCell ref="B105:D105"/>
    <mergeCell ref="B106:D106"/>
    <mergeCell ref="B96:D96"/>
    <mergeCell ref="B95:D95"/>
    <mergeCell ref="B94:D94"/>
    <mergeCell ref="B52:C52"/>
    <mergeCell ref="B90:C90"/>
    <mergeCell ref="B45:D45"/>
    <mergeCell ref="B46:D46"/>
    <mergeCell ref="B47:D47"/>
    <mergeCell ref="B34:D34"/>
    <mergeCell ref="C11:G11"/>
    <mergeCell ref="B41:C41"/>
    <mergeCell ref="B44:D44"/>
    <mergeCell ref="B13:H13"/>
    <mergeCell ref="B30:D30"/>
    <mergeCell ref="B31:D31"/>
    <mergeCell ref="C5:G5"/>
    <mergeCell ref="C6:G6"/>
    <mergeCell ref="C7:G7"/>
    <mergeCell ref="C9:G9"/>
    <mergeCell ref="C10:G10"/>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Q156"/>
  <sheetViews>
    <sheetView showGridLines="0" zoomScale="85" zoomScaleNormal="85" zoomScaleSheetLayoutView="5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4" width="9" style="189"/>
    <col min="15" max="15" width="42.59765625" style="189" customWidth="1"/>
    <col min="16"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795</v>
      </c>
      <c r="D5" s="962"/>
      <c r="E5" s="962"/>
      <c r="F5" s="962"/>
      <c r="G5" s="963"/>
    </row>
    <row r="6" spans="1:11" ht="18" customHeight="1" x14ac:dyDescent="0.4">
      <c r="B6" s="183" t="s">
        <v>3</v>
      </c>
      <c r="C6" s="964">
        <v>210049</v>
      </c>
      <c r="D6" s="965"/>
      <c r="E6" s="965"/>
      <c r="F6" s="965"/>
      <c r="G6" s="966"/>
    </row>
    <row r="7" spans="1:11" ht="18" customHeight="1" x14ac:dyDescent="0.4">
      <c r="B7" s="183" t="s">
        <v>4</v>
      </c>
      <c r="C7" s="1014">
        <v>2285</v>
      </c>
      <c r="D7" s="1015"/>
      <c r="E7" s="1015"/>
      <c r="F7" s="1015"/>
      <c r="G7" s="1016"/>
    </row>
    <row r="9" spans="1:11" ht="18" customHeight="1" x14ac:dyDescent="0.4">
      <c r="B9" s="183" t="s">
        <v>1</v>
      </c>
      <c r="C9" s="961" t="s">
        <v>723</v>
      </c>
      <c r="D9" s="962"/>
      <c r="E9" s="962"/>
      <c r="F9" s="962"/>
      <c r="G9" s="963"/>
    </row>
    <row r="10" spans="1:11" ht="18" customHeight="1" x14ac:dyDescent="0.4">
      <c r="B10" s="183" t="s">
        <v>2</v>
      </c>
      <c r="C10" s="970" t="s">
        <v>421</v>
      </c>
      <c r="D10" s="971"/>
      <c r="E10" s="971"/>
      <c r="F10" s="971"/>
      <c r="G10" s="972"/>
    </row>
    <row r="11" spans="1:11" ht="18" customHeight="1" x14ac:dyDescent="0.4">
      <c r="B11" s="183" t="s">
        <v>32</v>
      </c>
      <c r="C11" s="954" t="s">
        <v>724</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c r="H14" s="302"/>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6829979</v>
      </c>
      <c r="I18" s="144">
        <v>0</v>
      </c>
      <c r="J18" s="556">
        <v>5677947</v>
      </c>
      <c r="K18" s="557">
        <f>(H18+I18)-J18</f>
        <v>1152032</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4264</v>
      </c>
      <c r="G21" s="555">
        <v>190228</v>
      </c>
      <c r="H21" s="556">
        <v>219624</v>
      </c>
      <c r="I21" s="144">
        <f t="shared" ref="I21:I34" si="0">H21*F$114</f>
        <v>140559.36000000002</v>
      </c>
      <c r="J21" s="556">
        <v>23932</v>
      </c>
      <c r="K21" s="557">
        <f t="shared" ref="K21:K34" si="1">(H21+I21)-J21</f>
        <v>336251.36</v>
      </c>
    </row>
    <row r="22" spans="1:11" ht="18" customHeight="1" x14ac:dyDescent="0.4">
      <c r="A22" s="183" t="s">
        <v>76</v>
      </c>
      <c r="B22" s="189" t="s">
        <v>6</v>
      </c>
      <c r="F22" s="555">
        <v>446</v>
      </c>
      <c r="G22" s="555">
        <v>1693</v>
      </c>
      <c r="H22" s="556">
        <v>17590</v>
      </c>
      <c r="I22" s="144">
        <f t="shared" si="0"/>
        <v>11257.6</v>
      </c>
      <c r="J22" s="556">
        <v>0</v>
      </c>
      <c r="K22" s="557">
        <f t="shared" si="1"/>
        <v>28847.599999999999</v>
      </c>
    </row>
    <row r="23" spans="1:11" ht="18" customHeight="1" x14ac:dyDescent="0.4">
      <c r="A23" s="183" t="s">
        <v>77</v>
      </c>
      <c r="B23" s="189" t="s">
        <v>43</v>
      </c>
      <c r="F23" s="555">
        <v>336</v>
      </c>
      <c r="G23" s="555">
        <v>219</v>
      </c>
      <c r="H23" s="556">
        <v>22108</v>
      </c>
      <c r="I23" s="144">
        <f t="shared" si="0"/>
        <v>14149.12</v>
      </c>
      <c r="J23" s="556">
        <v>7840</v>
      </c>
      <c r="K23" s="557">
        <f t="shared" si="1"/>
        <v>28417.120000000003</v>
      </c>
    </row>
    <row r="24" spans="1:11" ht="18" customHeight="1" x14ac:dyDescent="0.4">
      <c r="A24" s="183" t="s">
        <v>78</v>
      </c>
      <c r="B24" s="189" t="s">
        <v>44</v>
      </c>
      <c r="F24" s="555">
        <v>4404</v>
      </c>
      <c r="G24" s="555">
        <v>1545</v>
      </c>
      <c r="H24" s="556">
        <v>1091790</v>
      </c>
      <c r="I24" s="144">
        <f t="shared" si="0"/>
        <v>698745.6</v>
      </c>
      <c r="J24" s="556">
        <v>163959</v>
      </c>
      <c r="K24" s="557">
        <f t="shared" si="1"/>
        <v>1626576.6</v>
      </c>
    </row>
    <row r="25" spans="1:11" ht="18" customHeight="1" x14ac:dyDescent="0.4">
      <c r="A25" s="183" t="s">
        <v>79</v>
      </c>
      <c r="B25" s="189" t="s">
        <v>5</v>
      </c>
      <c r="F25" s="555">
        <v>663</v>
      </c>
      <c r="G25" s="555">
        <v>2838</v>
      </c>
      <c r="H25" s="556">
        <v>28994</v>
      </c>
      <c r="I25" s="144">
        <f t="shared" si="0"/>
        <v>18556.16</v>
      </c>
      <c r="J25" s="556">
        <v>0</v>
      </c>
      <c r="K25" s="557">
        <f t="shared" si="1"/>
        <v>47550.16</v>
      </c>
    </row>
    <row r="26" spans="1:11" ht="18" customHeight="1" x14ac:dyDescent="0.4">
      <c r="A26" s="183" t="s">
        <v>80</v>
      </c>
      <c r="B26" s="189" t="s">
        <v>45</v>
      </c>
      <c r="F26" s="555">
        <v>0</v>
      </c>
      <c r="G26" s="555">
        <v>0</v>
      </c>
      <c r="H26" s="556">
        <v>0</v>
      </c>
      <c r="I26" s="144">
        <f t="shared" si="0"/>
        <v>0</v>
      </c>
      <c r="J26" s="556">
        <v>0</v>
      </c>
      <c r="K26" s="557">
        <f t="shared" si="1"/>
        <v>0</v>
      </c>
    </row>
    <row r="27" spans="1:11" ht="18" customHeight="1" x14ac:dyDescent="0.4">
      <c r="A27" s="183" t="s">
        <v>81</v>
      </c>
      <c r="B27" s="189" t="s">
        <v>498</v>
      </c>
      <c r="F27" s="555">
        <v>0</v>
      </c>
      <c r="G27" s="555">
        <v>0</v>
      </c>
      <c r="H27" s="556">
        <v>0</v>
      </c>
      <c r="I27" s="144">
        <f t="shared" si="0"/>
        <v>0</v>
      </c>
      <c r="J27" s="556">
        <v>0</v>
      </c>
      <c r="K27" s="557">
        <f t="shared" si="1"/>
        <v>0</v>
      </c>
    </row>
    <row r="28" spans="1:11" ht="18" customHeight="1" x14ac:dyDescent="0.4">
      <c r="A28" s="183" t="s">
        <v>82</v>
      </c>
      <c r="B28" s="189" t="s">
        <v>47</v>
      </c>
      <c r="F28" s="555">
        <v>1513</v>
      </c>
      <c r="G28" s="555">
        <v>134</v>
      </c>
      <c r="H28" s="556">
        <v>39022</v>
      </c>
      <c r="I28" s="144">
        <f t="shared" si="0"/>
        <v>24974.080000000002</v>
      </c>
      <c r="J28" s="556">
        <v>1412</v>
      </c>
      <c r="K28" s="557">
        <f t="shared" si="1"/>
        <v>62584.08</v>
      </c>
    </row>
    <row r="29" spans="1:11" ht="18" customHeight="1" x14ac:dyDescent="0.4">
      <c r="A29" s="183" t="s">
        <v>83</v>
      </c>
      <c r="B29" s="189" t="s">
        <v>48</v>
      </c>
      <c r="F29" s="555">
        <v>1665</v>
      </c>
      <c r="G29" s="555">
        <v>3722</v>
      </c>
      <c r="H29" s="556">
        <v>312057</v>
      </c>
      <c r="I29" s="144">
        <f t="shared" si="0"/>
        <v>199716.48000000001</v>
      </c>
      <c r="J29" s="556">
        <v>0</v>
      </c>
      <c r="K29" s="557">
        <f t="shared" si="1"/>
        <v>511773.48</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7" ht="18" customHeight="1" x14ac:dyDescent="0.4">
      <c r="A33" s="183" t="s">
        <v>135</v>
      </c>
      <c r="B33" s="500"/>
      <c r="C33" s="501"/>
      <c r="D33" s="502"/>
      <c r="F33" s="555"/>
      <c r="G33" s="558" t="s">
        <v>85</v>
      </c>
      <c r="H33" s="556"/>
      <c r="I33" s="144">
        <f t="shared" si="0"/>
        <v>0</v>
      </c>
      <c r="J33" s="556"/>
      <c r="K33" s="557">
        <f t="shared" si="1"/>
        <v>0</v>
      </c>
    </row>
    <row r="34" spans="1:17" ht="18" customHeight="1" x14ac:dyDescent="0.4">
      <c r="A34" s="183" t="s">
        <v>136</v>
      </c>
      <c r="B34" s="951"/>
      <c r="C34" s="952"/>
      <c r="D34" s="953"/>
      <c r="F34" s="555"/>
      <c r="G34" s="558" t="s">
        <v>85</v>
      </c>
      <c r="H34" s="556"/>
      <c r="I34" s="144">
        <f t="shared" si="0"/>
        <v>0</v>
      </c>
      <c r="J34" s="556"/>
      <c r="K34" s="557">
        <f t="shared" si="1"/>
        <v>0</v>
      </c>
    </row>
    <row r="35" spans="1:17" ht="18" customHeight="1" x14ac:dyDescent="0.35">
      <c r="K35" s="559"/>
    </row>
    <row r="36" spans="1:17" ht="18" customHeight="1" x14ac:dyDescent="0.4">
      <c r="A36" s="120" t="s">
        <v>137</v>
      </c>
      <c r="B36" s="117" t="s">
        <v>138</v>
      </c>
      <c r="E36" s="117" t="s">
        <v>7</v>
      </c>
      <c r="F36" s="560">
        <f t="shared" ref="F36:K36" si="2">SUM(F21:F34)</f>
        <v>13291</v>
      </c>
      <c r="G36" s="560">
        <f t="shared" si="2"/>
        <v>200379</v>
      </c>
      <c r="H36" s="560">
        <f t="shared" si="2"/>
        <v>1731185</v>
      </c>
      <c r="I36" s="557">
        <f t="shared" si="2"/>
        <v>1107958.3999999999</v>
      </c>
      <c r="J36" s="557">
        <f t="shared" si="2"/>
        <v>197143</v>
      </c>
      <c r="K36" s="557">
        <f t="shared" si="2"/>
        <v>2642000.4</v>
      </c>
    </row>
    <row r="37" spans="1:17" ht="18" customHeight="1" thickBot="1" x14ac:dyDescent="0.45">
      <c r="B37" s="117"/>
      <c r="F37" s="127"/>
      <c r="G37" s="127"/>
      <c r="H37" s="128"/>
      <c r="I37" s="128"/>
      <c r="J37" s="128"/>
      <c r="K37" s="139"/>
    </row>
    <row r="38" spans="1:17" ht="42.75" customHeight="1" x14ac:dyDescent="0.4">
      <c r="F38" s="122" t="s">
        <v>9</v>
      </c>
      <c r="G38" s="122" t="s">
        <v>37</v>
      </c>
      <c r="H38" s="122" t="s">
        <v>29</v>
      </c>
      <c r="I38" s="122" t="s">
        <v>30</v>
      </c>
      <c r="J38" s="122" t="s">
        <v>33</v>
      </c>
      <c r="K38" s="122" t="s">
        <v>34</v>
      </c>
    </row>
    <row r="39" spans="1:17" ht="18.75" customHeight="1" x14ac:dyDescent="0.4">
      <c r="A39" s="120" t="s">
        <v>86</v>
      </c>
      <c r="B39" s="117" t="s">
        <v>49</v>
      </c>
    </row>
    <row r="40" spans="1:17" ht="18" customHeight="1" x14ac:dyDescent="0.4">
      <c r="A40" s="183" t="s">
        <v>87</v>
      </c>
      <c r="B40" s="189" t="s">
        <v>31</v>
      </c>
      <c r="F40" s="555">
        <v>1337</v>
      </c>
      <c r="G40" s="555">
        <v>0</v>
      </c>
      <c r="H40" s="556">
        <v>152097</v>
      </c>
      <c r="I40" s="144">
        <f t="shared" ref="I40:I47" si="3">H40*F$114</f>
        <v>97342.080000000002</v>
      </c>
      <c r="J40" s="556">
        <v>0</v>
      </c>
      <c r="K40" s="557">
        <f t="shared" ref="K40:K47" si="4">(H40+I40)-J40</f>
        <v>249439.08000000002</v>
      </c>
      <c r="O40" s="189">
        <v>217282</v>
      </c>
      <c r="P40" s="189">
        <f>O40*70%</f>
        <v>152097.4</v>
      </c>
      <c r="Q40" s="189">
        <f>O40*30%</f>
        <v>65184.6</v>
      </c>
    </row>
    <row r="41" spans="1:17" ht="18" customHeight="1" x14ac:dyDescent="0.4">
      <c r="A41" s="183" t="s">
        <v>88</v>
      </c>
      <c r="B41" s="956" t="s">
        <v>50</v>
      </c>
      <c r="C41" s="957"/>
      <c r="F41" s="555">
        <v>2391</v>
      </c>
      <c r="G41" s="555">
        <v>0</v>
      </c>
      <c r="H41" s="556">
        <v>96779</v>
      </c>
      <c r="I41" s="144">
        <f t="shared" si="3"/>
        <v>61938.559999999998</v>
      </c>
      <c r="J41" s="556">
        <v>0</v>
      </c>
      <c r="K41" s="557">
        <f t="shared" si="4"/>
        <v>158717.56</v>
      </c>
      <c r="O41" s="189">
        <v>138255</v>
      </c>
      <c r="P41" s="189">
        <f t="shared" ref="P41:P42" si="5">O41*70%</f>
        <v>96778.5</v>
      </c>
      <c r="Q41" s="189">
        <f t="shared" ref="Q41:Q42" si="6">O41*30%</f>
        <v>41476.5</v>
      </c>
    </row>
    <row r="42" spans="1:17" ht="18" customHeight="1" x14ac:dyDescent="0.4">
      <c r="A42" s="183" t="s">
        <v>89</v>
      </c>
      <c r="B42" s="116" t="s">
        <v>11</v>
      </c>
      <c r="F42" s="555">
        <v>9194</v>
      </c>
      <c r="G42" s="555">
        <v>0</v>
      </c>
      <c r="H42" s="556">
        <v>386111</v>
      </c>
      <c r="I42" s="144">
        <f t="shared" si="3"/>
        <v>247111.04000000001</v>
      </c>
      <c r="J42" s="556">
        <v>0</v>
      </c>
      <c r="K42" s="557">
        <f t="shared" si="4"/>
        <v>633222.04</v>
      </c>
      <c r="O42" s="189">
        <v>551587</v>
      </c>
      <c r="P42" s="189">
        <f t="shared" si="5"/>
        <v>386110.89999999997</v>
      </c>
      <c r="Q42" s="189">
        <f t="shared" si="6"/>
        <v>165476.1</v>
      </c>
    </row>
    <row r="43" spans="1:17" ht="18" customHeight="1" x14ac:dyDescent="0.4">
      <c r="A43" s="183" t="s">
        <v>90</v>
      </c>
      <c r="B43" s="141" t="s">
        <v>10</v>
      </c>
      <c r="C43" s="123"/>
      <c r="D43" s="123"/>
      <c r="F43" s="555"/>
      <c r="G43" s="555"/>
      <c r="H43" s="556"/>
      <c r="I43" s="144">
        <f t="shared" si="3"/>
        <v>0</v>
      </c>
      <c r="J43" s="556"/>
      <c r="K43" s="557">
        <f t="shared" si="4"/>
        <v>0</v>
      </c>
    </row>
    <row r="44" spans="1:17" ht="18" customHeight="1" x14ac:dyDescent="0.4">
      <c r="A44" s="183" t="s">
        <v>91</v>
      </c>
      <c r="B44" s="951"/>
      <c r="C44" s="952"/>
      <c r="D44" s="953"/>
      <c r="F44" s="561"/>
      <c r="G44" s="561"/>
      <c r="H44" s="561"/>
      <c r="I44" s="144">
        <f t="shared" si="3"/>
        <v>0</v>
      </c>
      <c r="J44" s="561"/>
      <c r="K44" s="562">
        <f t="shared" si="4"/>
        <v>0</v>
      </c>
    </row>
    <row r="45" spans="1:17" ht="18" customHeight="1" x14ac:dyDescent="0.4">
      <c r="A45" s="183" t="s">
        <v>139</v>
      </c>
      <c r="B45" s="951"/>
      <c r="C45" s="952"/>
      <c r="D45" s="953"/>
      <c r="F45" s="555"/>
      <c r="G45" s="555"/>
      <c r="H45" s="556"/>
      <c r="I45" s="144">
        <f t="shared" si="3"/>
        <v>0</v>
      </c>
      <c r="J45" s="556"/>
      <c r="K45" s="557">
        <f t="shared" si="4"/>
        <v>0</v>
      </c>
    </row>
    <row r="46" spans="1:17" ht="18" customHeight="1" x14ac:dyDescent="0.4">
      <c r="A46" s="183" t="s">
        <v>140</v>
      </c>
      <c r="B46" s="951"/>
      <c r="C46" s="952"/>
      <c r="D46" s="953"/>
      <c r="F46" s="555"/>
      <c r="G46" s="555"/>
      <c r="H46" s="556"/>
      <c r="I46" s="144">
        <f t="shared" si="3"/>
        <v>0</v>
      </c>
      <c r="J46" s="556"/>
      <c r="K46" s="557">
        <f t="shared" si="4"/>
        <v>0</v>
      </c>
    </row>
    <row r="47" spans="1:17" ht="18" customHeight="1" x14ac:dyDescent="0.4">
      <c r="A47" s="183" t="s">
        <v>141</v>
      </c>
      <c r="B47" s="951"/>
      <c r="C47" s="952"/>
      <c r="D47" s="953"/>
      <c r="F47" s="555"/>
      <c r="G47" s="555"/>
      <c r="H47" s="556"/>
      <c r="I47" s="144">
        <f t="shared" si="3"/>
        <v>0</v>
      </c>
      <c r="J47" s="556"/>
      <c r="K47" s="557">
        <f t="shared" si="4"/>
        <v>0</v>
      </c>
    </row>
    <row r="49" spans="1:16" ht="18" customHeight="1" x14ac:dyDescent="0.4">
      <c r="A49" s="120" t="s">
        <v>142</v>
      </c>
      <c r="B49" s="117" t="s">
        <v>143</v>
      </c>
      <c r="E49" s="117" t="s">
        <v>7</v>
      </c>
      <c r="F49" s="563">
        <f t="shared" ref="F49:K49" si="7">SUM(F40:F47)</f>
        <v>12922</v>
      </c>
      <c r="G49" s="563">
        <f t="shared" si="7"/>
        <v>0</v>
      </c>
      <c r="H49" s="557">
        <f t="shared" si="7"/>
        <v>634987</v>
      </c>
      <c r="I49" s="557">
        <f t="shared" si="7"/>
        <v>406391.68000000005</v>
      </c>
      <c r="J49" s="557">
        <f t="shared" si="7"/>
        <v>0</v>
      </c>
      <c r="K49" s="557">
        <f t="shared" si="7"/>
        <v>1041378.68</v>
      </c>
    </row>
    <row r="50" spans="1:16" ht="18" customHeight="1" thickBot="1" x14ac:dyDescent="0.4">
      <c r="G50" s="129"/>
      <c r="H50" s="129"/>
      <c r="I50" s="129"/>
      <c r="J50" s="129"/>
      <c r="K50" s="129"/>
    </row>
    <row r="51" spans="1:16" ht="42.75" customHeight="1" x14ac:dyDescent="0.4">
      <c r="F51" s="122" t="s">
        <v>9</v>
      </c>
      <c r="G51" s="122" t="s">
        <v>37</v>
      </c>
      <c r="H51" s="122" t="s">
        <v>29</v>
      </c>
      <c r="I51" s="122" t="s">
        <v>30</v>
      </c>
      <c r="J51" s="122" t="s">
        <v>33</v>
      </c>
      <c r="K51" s="122" t="s">
        <v>34</v>
      </c>
    </row>
    <row r="52" spans="1:16" ht="18" customHeight="1" x14ac:dyDescent="0.4">
      <c r="A52" s="120" t="s">
        <v>92</v>
      </c>
      <c r="B52" s="976" t="s">
        <v>38</v>
      </c>
      <c r="C52" s="977"/>
    </row>
    <row r="53" spans="1:16" ht="18" customHeight="1" x14ac:dyDescent="0.4">
      <c r="A53" s="183" t="s">
        <v>51</v>
      </c>
      <c r="B53" s="1135" t="s">
        <v>533</v>
      </c>
      <c r="C53" s="1136"/>
      <c r="D53" s="953"/>
      <c r="F53" s="555"/>
      <c r="G53" s="555"/>
      <c r="H53" s="556">
        <f>1378211+361050</f>
        <v>1739261</v>
      </c>
      <c r="I53" s="144">
        <v>0</v>
      </c>
      <c r="J53" s="556"/>
      <c r="K53" s="557">
        <f t="shared" ref="K53:K62" si="8">(H53+I53)-J53</f>
        <v>1739261</v>
      </c>
    </row>
    <row r="54" spans="1:16" ht="18" customHeight="1" x14ac:dyDescent="0.4">
      <c r="A54" s="183" t="s">
        <v>93</v>
      </c>
      <c r="B54" s="500" t="s">
        <v>484</v>
      </c>
      <c r="C54" s="501"/>
      <c r="D54" s="502"/>
      <c r="F54" s="555"/>
      <c r="G54" s="555"/>
      <c r="H54" s="556">
        <v>3053923</v>
      </c>
      <c r="I54" s="144">
        <v>0</v>
      </c>
      <c r="J54" s="556"/>
      <c r="K54" s="557">
        <f t="shared" si="8"/>
        <v>3053923</v>
      </c>
    </row>
    <row r="55" spans="1:16" ht="18" customHeight="1" x14ac:dyDescent="0.4">
      <c r="A55" s="183" t="s">
        <v>94</v>
      </c>
      <c r="B55" s="980" t="s">
        <v>725</v>
      </c>
      <c r="C55" s="974"/>
      <c r="D55" s="975"/>
      <c r="F55" s="555"/>
      <c r="G55" s="555"/>
      <c r="H55" s="556">
        <v>3669956</v>
      </c>
      <c r="I55" s="144">
        <v>0</v>
      </c>
      <c r="J55" s="556">
        <v>1545370</v>
      </c>
      <c r="K55" s="557">
        <f t="shared" si="8"/>
        <v>2124586</v>
      </c>
      <c r="O55" s="189">
        <f>5242794</f>
        <v>5242794</v>
      </c>
      <c r="P55" s="189">
        <f>O55*70%</f>
        <v>3669955.8</v>
      </c>
    </row>
    <row r="56" spans="1:16" ht="18" customHeight="1" x14ac:dyDescent="0.4">
      <c r="A56" s="183" t="s">
        <v>95</v>
      </c>
      <c r="B56" s="980"/>
      <c r="C56" s="974"/>
      <c r="D56" s="975"/>
      <c r="F56" s="555"/>
      <c r="G56" s="555"/>
      <c r="H56" s="556"/>
      <c r="I56" s="144">
        <v>0</v>
      </c>
      <c r="J56" s="556"/>
      <c r="K56" s="557">
        <f t="shared" si="8"/>
        <v>0</v>
      </c>
      <c r="O56" s="189">
        <v>2207672</v>
      </c>
      <c r="P56" s="189">
        <f>O56*70%</f>
        <v>1545370.4</v>
      </c>
    </row>
    <row r="57" spans="1:16" ht="18" customHeight="1" x14ac:dyDescent="0.4">
      <c r="A57" s="183" t="s">
        <v>96</v>
      </c>
      <c r="B57" s="980"/>
      <c r="C57" s="974"/>
      <c r="D57" s="975"/>
      <c r="F57" s="555"/>
      <c r="G57" s="555"/>
      <c r="H57" s="556"/>
      <c r="I57" s="144">
        <v>0</v>
      </c>
      <c r="J57" s="556"/>
      <c r="K57" s="557">
        <f t="shared" si="8"/>
        <v>0</v>
      </c>
    </row>
    <row r="58" spans="1:16" ht="18" customHeight="1" x14ac:dyDescent="0.4">
      <c r="A58" s="183" t="s">
        <v>97</v>
      </c>
      <c r="B58" s="503"/>
      <c r="C58" s="504"/>
      <c r="D58" s="505"/>
      <c r="F58" s="555"/>
      <c r="G58" s="555"/>
      <c r="H58" s="556"/>
      <c r="I58" s="144">
        <v>0</v>
      </c>
      <c r="J58" s="556"/>
      <c r="K58" s="557">
        <f t="shared" si="8"/>
        <v>0</v>
      </c>
    </row>
    <row r="59" spans="1:16" ht="18" customHeight="1" x14ac:dyDescent="0.4">
      <c r="A59" s="183" t="s">
        <v>98</v>
      </c>
      <c r="B59" s="980"/>
      <c r="C59" s="974"/>
      <c r="D59" s="975"/>
      <c r="F59" s="555"/>
      <c r="G59" s="555"/>
      <c r="H59" s="556"/>
      <c r="I59" s="144">
        <v>0</v>
      </c>
      <c r="J59" s="556"/>
      <c r="K59" s="557">
        <f t="shared" si="8"/>
        <v>0</v>
      </c>
    </row>
    <row r="60" spans="1:16" ht="18" customHeight="1" x14ac:dyDescent="0.4">
      <c r="A60" s="183" t="s">
        <v>99</v>
      </c>
      <c r="B60" s="503"/>
      <c r="C60" s="504"/>
      <c r="D60" s="505"/>
      <c r="F60" s="555"/>
      <c r="G60" s="555"/>
      <c r="H60" s="556"/>
      <c r="I60" s="144">
        <v>0</v>
      </c>
      <c r="J60" s="556"/>
      <c r="K60" s="557">
        <f t="shared" si="8"/>
        <v>0</v>
      </c>
    </row>
    <row r="61" spans="1:16" ht="18" customHeight="1" x14ac:dyDescent="0.4">
      <c r="A61" s="183" t="s">
        <v>100</v>
      </c>
      <c r="B61" s="503"/>
      <c r="C61" s="504"/>
      <c r="D61" s="505"/>
      <c r="F61" s="555"/>
      <c r="G61" s="555"/>
      <c r="H61" s="556"/>
      <c r="I61" s="144">
        <v>0</v>
      </c>
      <c r="J61" s="556"/>
      <c r="K61" s="557">
        <f t="shared" si="8"/>
        <v>0</v>
      </c>
    </row>
    <row r="62" spans="1:16" ht="18" customHeight="1" x14ac:dyDescent="0.4">
      <c r="A62" s="183" t="s">
        <v>101</v>
      </c>
      <c r="B62" s="980"/>
      <c r="C62" s="974"/>
      <c r="D62" s="975"/>
      <c r="F62" s="555"/>
      <c r="G62" s="555"/>
      <c r="H62" s="556"/>
      <c r="I62" s="144">
        <v>0</v>
      </c>
      <c r="J62" s="556"/>
      <c r="K62" s="557">
        <f t="shared" si="8"/>
        <v>0</v>
      </c>
    </row>
    <row r="63" spans="1:16" ht="18" customHeight="1" x14ac:dyDescent="0.4">
      <c r="A63" s="183"/>
      <c r="I63" s="140"/>
    </row>
    <row r="64" spans="1:16" ht="18" customHeight="1" x14ac:dyDescent="0.4">
      <c r="A64" s="183" t="s">
        <v>144</v>
      </c>
      <c r="B64" s="117" t="s">
        <v>145</v>
      </c>
      <c r="E64" s="117" t="s">
        <v>7</v>
      </c>
      <c r="F64" s="560">
        <f t="shared" ref="F64:K64" si="9">SUM(F53:F62)</f>
        <v>0</v>
      </c>
      <c r="G64" s="560">
        <f t="shared" si="9"/>
        <v>0</v>
      </c>
      <c r="H64" s="557">
        <f t="shared" si="9"/>
        <v>8463140</v>
      </c>
      <c r="I64" s="557">
        <f t="shared" si="9"/>
        <v>0</v>
      </c>
      <c r="J64" s="557">
        <f t="shared" si="9"/>
        <v>1545370</v>
      </c>
      <c r="K64" s="557">
        <f t="shared" si="9"/>
        <v>6917770</v>
      </c>
    </row>
    <row r="65" spans="1:15" ht="18" customHeight="1" x14ac:dyDescent="0.35">
      <c r="F65" s="142"/>
      <c r="G65" s="142"/>
      <c r="H65" s="142"/>
      <c r="I65" s="142"/>
      <c r="J65" s="142"/>
      <c r="K65" s="142"/>
    </row>
    <row r="66" spans="1:15" ht="42.75" customHeight="1" x14ac:dyDescent="0.4">
      <c r="F66" s="147" t="s">
        <v>9</v>
      </c>
      <c r="G66" s="147" t="s">
        <v>37</v>
      </c>
      <c r="H66" s="147" t="s">
        <v>29</v>
      </c>
      <c r="I66" s="147" t="s">
        <v>30</v>
      </c>
      <c r="J66" s="147" t="s">
        <v>33</v>
      </c>
      <c r="K66" s="147" t="s">
        <v>34</v>
      </c>
    </row>
    <row r="67" spans="1:15" ht="18" customHeight="1" x14ac:dyDescent="0.4">
      <c r="A67" s="120" t="s">
        <v>102</v>
      </c>
      <c r="B67" s="117" t="s">
        <v>12</v>
      </c>
      <c r="F67" s="148"/>
      <c r="G67" s="148"/>
      <c r="H67" s="148"/>
      <c r="I67" s="149"/>
      <c r="J67" s="148"/>
      <c r="K67" s="150"/>
    </row>
    <row r="68" spans="1:15" ht="18" customHeight="1" x14ac:dyDescent="0.4">
      <c r="A68" s="183" t="s">
        <v>103</v>
      </c>
      <c r="B68" s="189" t="s">
        <v>52</v>
      </c>
      <c r="F68" s="564">
        <v>11284</v>
      </c>
      <c r="G68" s="564">
        <v>0</v>
      </c>
      <c r="H68" s="144">
        <v>502606</v>
      </c>
      <c r="I68" s="144">
        <f t="shared" ref="I68:I72" si="10">H68*F$114</f>
        <v>321667.84000000003</v>
      </c>
      <c r="J68" s="564">
        <v>0</v>
      </c>
      <c r="K68" s="557">
        <f>(H68+I68)-J68</f>
        <v>824273.84000000008</v>
      </c>
    </row>
    <row r="69" spans="1:15" ht="18" customHeight="1" x14ac:dyDescent="0.4">
      <c r="A69" s="183" t="s">
        <v>104</v>
      </c>
      <c r="B69" s="116" t="s">
        <v>53</v>
      </c>
      <c r="F69" s="564"/>
      <c r="G69" s="564"/>
      <c r="H69" s="564"/>
      <c r="I69" s="144">
        <f t="shared" si="10"/>
        <v>0</v>
      </c>
      <c r="J69" s="564"/>
      <c r="K69" s="557">
        <f>(H69+I69)-J69</f>
        <v>0</v>
      </c>
    </row>
    <row r="70" spans="1:15" ht="18" customHeight="1" x14ac:dyDescent="0.4">
      <c r="A70" s="183" t="s">
        <v>178</v>
      </c>
      <c r="B70" s="503"/>
      <c r="C70" s="504"/>
      <c r="D70" s="505"/>
      <c r="E70" s="117"/>
      <c r="F70" s="131"/>
      <c r="G70" s="131"/>
      <c r="H70" s="132"/>
      <c r="I70" s="144">
        <f t="shared" si="10"/>
        <v>0</v>
      </c>
      <c r="J70" s="132"/>
      <c r="K70" s="557">
        <f>(H70+I70)-J70</f>
        <v>0</v>
      </c>
    </row>
    <row r="71" spans="1:15" ht="18" customHeight="1" x14ac:dyDescent="0.4">
      <c r="A71" s="183" t="s">
        <v>179</v>
      </c>
      <c r="B71" s="503"/>
      <c r="C71" s="504"/>
      <c r="D71" s="505"/>
      <c r="E71" s="117"/>
      <c r="F71" s="131"/>
      <c r="G71" s="131"/>
      <c r="H71" s="132"/>
      <c r="I71" s="144">
        <f t="shared" si="10"/>
        <v>0</v>
      </c>
      <c r="J71" s="132"/>
      <c r="K71" s="557">
        <f>(H71+I71)-J71</f>
        <v>0</v>
      </c>
    </row>
    <row r="72" spans="1:15" ht="18" customHeight="1" x14ac:dyDescent="0.4">
      <c r="A72" s="183" t="s">
        <v>180</v>
      </c>
      <c r="B72" s="510"/>
      <c r="C72" s="508"/>
      <c r="D72" s="130"/>
      <c r="E72" s="117"/>
      <c r="F72" s="555"/>
      <c r="G72" s="555"/>
      <c r="H72" s="556"/>
      <c r="I72" s="144">
        <f t="shared" si="10"/>
        <v>0</v>
      </c>
      <c r="J72" s="556"/>
      <c r="K72" s="557">
        <f>(H72+I72)-J72</f>
        <v>0</v>
      </c>
    </row>
    <row r="73" spans="1:15" ht="18" customHeight="1" x14ac:dyDescent="0.4">
      <c r="A73" s="183"/>
      <c r="B73" s="116"/>
      <c r="E73" s="117"/>
      <c r="F73" s="151"/>
      <c r="G73" s="151"/>
      <c r="H73" s="152"/>
      <c r="I73" s="149"/>
      <c r="J73" s="152"/>
      <c r="K73" s="150"/>
    </row>
    <row r="74" spans="1:15" ht="18" customHeight="1" x14ac:dyDescent="0.4">
      <c r="A74" s="120" t="s">
        <v>146</v>
      </c>
      <c r="B74" s="117" t="s">
        <v>147</v>
      </c>
      <c r="E74" s="117" t="s">
        <v>7</v>
      </c>
      <c r="F74" s="566">
        <f t="shared" ref="F74:K74" si="11">SUM(F68:F72)</f>
        <v>11284</v>
      </c>
      <c r="G74" s="566">
        <f t="shared" si="11"/>
        <v>0</v>
      </c>
      <c r="H74" s="635">
        <f t="shared" si="11"/>
        <v>502606</v>
      </c>
      <c r="I74" s="145">
        <f t="shared" si="11"/>
        <v>321667.84000000003</v>
      </c>
      <c r="J74" s="566">
        <f t="shared" si="11"/>
        <v>0</v>
      </c>
      <c r="K74" s="567">
        <f t="shared" si="11"/>
        <v>824273.84000000008</v>
      </c>
    </row>
    <row r="75" spans="1:15" ht="42.75" customHeight="1" x14ac:dyDescent="0.4">
      <c r="F75" s="122" t="s">
        <v>9</v>
      </c>
      <c r="G75" s="122" t="s">
        <v>37</v>
      </c>
      <c r="H75" s="122" t="s">
        <v>29</v>
      </c>
      <c r="I75" s="122" t="s">
        <v>30</v>
      </c>
      <c r="J75" s="122" t="s">
        <v>33</v>
      </c>
      <c r="K75" s="122" t="s">
        <v>34</v>
      </c>
    </row>
    <row r="76" spans="1:15" ht="18" customHeight="1" x14ac:dyDescent="0.4">
      <c r="A76" s="120" t="s">
        <v>105</v>
      </c>
      <c r="B76" s="117" t="s">
        <v>106</v>
      </c>
    </row>
    <row r="77" spans="1:15" ht="18" customHeight="1" x14ac:dyDescent="0.4">
      <c r="A77" s="183" t="s">
        <v>107</v>
      </c>
      <c r="B77" s="116" t="s">
        <v>54</v>
      </c>
      <c r="F77" s="555">
        <v>0</v>
      </c>
      <c r="G77" s="555">
        <v>0</v>
      </c>
      <c r="H77" s="556">
        <v>294000</v>
      </c>
      <c r="I77" s="144">
        <v>0</v>
      </c>
      <c r="J77" s="556">
        <v>0</v>
      </c>
      <c r="K77" s="557">
        <f>(H77+I77)-J77</f>
        <v>294000</v>
      </c>
    </row>
    <row r="78" spans="1:15" ht="18" customHeight="1" x14ac:dyDescent="0.4">
      <c r="A78" s="183" t="s">
        <v>108</v>
      </c>
      <c r="B78" s="116" t="s">
        <v>55</v>
      </c>
      <c r="F78" s="555"/>
      <c r="G78" s="555"/>
      <c r="H78" s="556"/>
      <c r="I78" s="144">
        <v>0</v>
      </c>
      <c r="J78" s="556"/>
      <c r="K78" s="557">
        <f>(H78+I78)-J78</f>
        <v>0</v>
      </c>
      <c r="O78" s="116"/>
    </row>
    <row r="79" spans="1:15" ht="18" customHeight="1" x14ac:dyDescent="0.4">
      <c r="A79" s="183" t="s">
        <v>109</v>
      </c>
      <c r="B79" s="116" t="s">
        <v>13</v>
      </c>
      <c r="F79" s="555">
        <v>1172</v>
      </c>
      <c r="G79" s="555">
        <v>2792</v>
      </c>
      <c r="H79" s="556">
        <v>81435</v>
      </c>
      <c r="I79" s="144">
        <v>0</v>
      </c>
      <c r="J79" s="556">
        <v>0</v>
      </c>
      <c r="K79" s="557">
        <f>(H79+I79)-J79</f>
        <v>81435</v>
      </c>
    </row>
    <row r="80" spans="1:15"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12">SUM(F77:F80)</f>
        <v>1172</v>
      </c>
      <c r="G82" s="566">
        <f t="shared" si="12"/>
        <v>2792</v>
      </c>
      <c r="H82" s="567">
        <f t="shared" si="12"/>
        <v>375435</v>
      </c>
      <c r="I82" s="567">
        <f t="shared" si="12"/>
        <v>0</v>
      </c>
      <c r="J82" s="567">
        <f t="shared" si="12"/>
        <v>0</v>
      </c>
      <c r="K82" s="567">
        <f t="shared" si="12"/>
        <v>375435</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0</v>
      </c>
      <c r="G86" s="555">
        <v>0</v>
      </c>
      <c r="H86" s="556">
        <v>0</v>
      </c>
      <c r="I86" s="144">
        <f t="shared" ref="I86:I96" si="13">H86*F$114</f>
        <v>0</v>
      </c>
      <c r="J86" s="556">
        <v>0</v>
      </c>
      <c r="K86" s="557">
        <f t="shared" ref="K86:K96" si="14">(H86+I86)-J86</f>
        <v>0</v>
      </c>
    </row>
    <row r="87" spans="1:11" ht="18" customHeight="1" x14ac:dyDescent="0.4">
      <c r="A87" s="183" t="s">
        <v>114</v>
      </c>
      <c r="B87" s="116" t="s">
        <v>14</v>
      </c>
      <c r="F87" s="555">
        <v>56</v>
      </c>
      <c r="G87" s="555">
        <v>0</v>
      </c>
      <c r="H87" s="556">
        <v>6413</v>
      </c>
      <c r="I87" s="144">
        <f t="shared" si="13"/>
        <v>4104.32</v>
      </c>
      <c r="J87" s="556">
        <v>0</v>
      </c>
      <c r="K87" s="557">
        <f t="shared" si="14"/>
        <v>10517.32</v>
      </c>
    </row>
    <row r="88" spans="1:11" ht="18" customHeight="1" x14ac:dyDescent="0.4">
      <c r="A88" s="183" t="s">
        <v>115</v>
      </c>
      <c r="B88" s="116" t="s">
        <v>116</v>
      </c>
      <c r="F88" s="555">
        <v>22</v>
      </c>
      <c r="G88" s="555">
        <v>0</v>
      </c>
      <c r="H88" s="556">
        <v>582</v>
      </c>
      <c r="I88" s="144">
        <f t="shared" si="13"/>
        <v>372.48</v>
      </c>
      <c r="J88" s="556">
        <v>0</v>
      </c>
      <c r="K88" s="557">
        <f t="shared" si="14"/>
        <v>954.48</v>
      </c>
    </row>
    <row r="89" spans="1:11" ht="18" customHeight="1" x14ac:dyDescent="0.4">
      <c r="A89" s="183" t="s">
        <v>117</v>
      </c>
      <c r="B89" s="116" t="s">
        <v>58</v>
      </c>
      <c r="F89" s="555"/>
      <c r="G89" s="555"/>
      <c r="H89" s="556"/>
      <c r="I89" s="144">
        <f t="shared" si="13"/>
        <v>0</v>
      </c>
      <c r="J89" s="556"/>
      <c r="K89" s="557">
        <f t="shared" si="14"/>
        <v>0</v>
      </c>
    </row>
    <row r="90" spans="1:11" ht="18" customHeight="1" x14ac:dyDescent="0.4">
      <c r="A90" s="183" t="s">
        <v>118</v>
      </c>
      <c r="B90" s="956" t="s">
        <v>59</v>
      </c>
      <c r="C90" s="957"/>
      <c r="F90" s="555">
        <v>22</v>
      </c>
      <c r="G90" s="555">
        <v>28</v>
      </c>
      <c r="H90" s="556">
        <v>2128</v>
      </c>
      <c r="I90" s="144">
        <f t="shared" si="13"/>
        <v>1361.92</v>
      </c>
      <c r="J90" s="556">
        <v>0</v>
      </c>
      <c r="K90" s="557">
        <f t="shared" si="14"/>
        <v>3489.92</v>
      </c>
    </row>
    <row r="91" spans="1:11" ht="18" customHeight="1" x14ac:dyDescent="0.4">
      <c r="A91" s="183" t="s">
        <v>119</v>
      </c>
      <c r="B91" s="116" t="s">
        <v>60</v>
      </c>
      <c r="F91" s="555">
        <v>3074</v>
      </c>
      <c r="G91" s="555">
        <v>123</v>
      </c>
      <c r="H91" s="556">
        <v>105161</v>
      </c>
      <c r="I91" s="144">
        <f t="shared" si="13"/>
        <v>67303.040000000008</v>
      </c>
      <c r="J91" s="556">
        <v>0</v>
      </c>
      <c r="K91" s="557">
        <f t="shared" si="14"/>
        <v>172464.04</v>
      </c>
    </row>
    <row r="92" spans="1:11" ht="18" customHeight="1" x14ac:dyDescent="0.4">
      <c r="A92" s="183" t="s">
        <v>120</v>
      </c>
      <c r="B92" s="116" t="s">
        <v>121</v>
      </c>
      <c r="F92" s="134"/>
      <c r="G92" s="134"/>
      <c r="H92" s="135"/>
      <c r="I92" s="144">
        <f t="shared" si="13"/>
        <v>0</v>
      </c>
      <c r="J92" s="135"/>
      <c r="K92" s="557">
        <f t="shared" si="14"/>
        <v>0</v>
      </c>
    </row>
    <row r="93" spans="1:11" ht="18" customHeight="1" x14ac:dyDescent="0.4">
      <c r="A93" s="183" t="s">
        <v>122</v>
      </c>
      <c r="B93" s="116" t="s">
        <v>123</v>
      </c>
      <c r="F93" s="555">
        <v>28</v>
      </c>
      <c r="G93" s="555">
        <v>42</v>
      </c>
      <c r="H93" s="556">
        <v>1714</v>
      </c>
      <c r="I93" s="144">
        <f t="shared" si="13"/>
        <v>1096.96</v>
      </c>
      <c r="J93" s="556"/>
      <c r="K93" s="557">
        <f t="shared" si="14"/>
        <v>2810.96</v>
      </c>
    </row>
    <row r="94" spans="1:11" ht="18" customHeight="1" x14ac:dyDescent="0.4">
      <c r="A94" s="183" t="s">
        <v>124</v>
      </c>
      <c r="B94" s="980"/>
      <c r="C94" s="974"/>
      <c r="D94" s="975"/>
      <c r="F94" s="555"/>
      <c r="G94" s="555"/>
      <c r="H94" s="556"/>
      <c r="I94" s="144">
        <f t="shared" si="13"/>
        <v>0</v>
      </c>
      <c r="J94" s="556"/>
      <c r="K94" s="557">
        <f t="shared" si="14"/>
        <v>0</v>
      </c>
    </row>
    <row r="95" spans="1:11" ht="18" customHeight="1" x14ac:dyDescent="0.4">
      <c r="A95" s="183" t="s">
        <v>125</v>
      </c>
      <c r="B95" s="980"/>
      <c r="C95" s="974"/>
      <c r="D95" s="975"/>
      <c r="F95" s="555"/>
      <c r="G95" s="555"/>
      <c r="H95" s="556"/>
      <c r="I95" s="144">
        <f t="shared" si="13"/>
        <v>0</v>
      </c>
      <c r="J95" s="556"/>
      <c r="K95" s="557">
        <f t="shared" si="14"/>
        <v>0</v>
      </c>
    </row>
    <row r="96" spans="1:11" ht="18" customHeight="1" x14ac:dyDescent="0.4">
      <c r="A96" s="183" t="s">
        <v>126</v>
      </c>
      <c r="B96" s="980"/>
      <c r="C96" s="974"/>
      <c r="D96" s="975"/>
      <c r="F96" s="555"/>
      <c r="G96" s="555"/>
      <c r="H96" s="556"/>
      <c r="I96" s="144">
        <f t="shared" si="13"/>
        <v>0</v>
      </c>
      <c r="J96" s="556"/>
      <c r="K96" s="557">
        <f t="shared" si="14"/>
        <v>0</v>
      </c>
    </row>
    <row r="97" spans="1:11" ht="18" customHeight="1" x14ac:dyDescent="0.4">
      <c r="A97" s="183"/>
      <c r="B97" s="116"/>
    </row>
    <row r="98" spans="1:11" ht="18" customHeight="1" x14ac:dyDescent="0.4">
      <c r="A98" s="120" t="s">
        <v>150</v>
      </c>
      <c r="B98" s="117" t="s">
        <v>151</v>
      </c>
      <c r="E98" s="117" t="s">
        <v>7</v>
      </c>
      <c r="F98" s="560">
        <f t="shared" ref="F98:K98" si="15">SUM(F86:F96)</f>
        <v>3202</v>
      </c>
      <c r="G98" s="560">
        <f t="shared" si="15"/>
        <v>193</v>
      </c>
      <c r="H98" s="560">
        <f t="shared" si="15"/>
        <v>115998</v>
      </c>
      <c r="I98" s="560">
        <f t="shared" si="15"/>
        <v>74238.720000000016</v>
      </c>
      <c r="J98" s="560">
        <f t="shared" si="15"/>
        <v>0</v>
      </c>
      <c r="K98" s="560">
        <f t="shared" si="15"/>
        <v>190236.72</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2314</v>
      </c>
      <c r="G102" s="555">
        <v>0</v>
      </c>
      <c r="H102" s="556">
        <v>94830</v>
      </c>
      <c r="I102" s="144">
        <f>H102*F$114</f>
        <v>60691.200000000004</v>
      </c>
      <c r="J102" s="556">
        <v>0</v>
      </c>
      <c r="K102" s="557">
        <f>(H102+I102)-J102</f>
        <v>155521.20000000001</v>
      </c>
    </row>
    <row r="103" spans="1:11" ht="18" customHeight="1" x14ac:dyDescent="0.4">
      <c r="A103" s="183" t="s">
        <v>132</v>
      </c>
      <c r="B103" s="956" t="s">
        <v>62</v>
      </c>
      <c r="C103" s="956"/>
      <c r="F103" s="555">
        <v>0</v>
      </c>
      <c r="G103" s="555">
        <v>0</v>
      </c>
      <c r="H103" s="556">
        <v>550</v>
      </c>
      <c r="I103" s="144">
        <f>H103*F$114</f>
        <v>352</v>
      </c>
      <c r="J103" s="556">
        <v>0</v>
      </c>
      <c r="K103" s="557">
        <f>(H103+I103)-J103</f>
        <v>902</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6">SUM(F102:F106)</f>
        <v>2314</v>
      </c>
      <c r="G108" s="560">
        <f t="shared" si="16"/>
        <v>0</v>
      </c>
      <c r="H108" s="557">
        <f t="shared" si="16"/>
        <v>95380</v>
      </c>
      <c r="I108" s="557">
        <f t="shared" si="16"/>
        <v>61043.200000000004</v>
      </c>
      <c r="J108" s="557">
        <f t="shared" si="16"/>
        <v>0</v>
      </c>
      <c r="K108" s="557">
        <f t="shared" si="16"/>
        <v>156423.20000000001</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4041000</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0.64</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276845000</v>
      </c>
    </row>
    <row r="118" spans="1:6" ht="18" customHeight="1" x14ac:dyDescent="0.4">
      <c r="A118" s="183" t="s">
        <v>173</v>
      </c>
      <c r="B118" s="189" t="s">
        <v>18</v>
      </c>
      <c r="F118" s="556">
        <v>4813000</v>
      </c>
    </row>
    <row r="119" spans="1:6" ht="18" customHeight="1" x14ac:dyDescent="0.4">
      <c r="A119" s="183" t="s">
        <v>174</v>
      </c>
      <c r="B119" s="117" t="s">
        <v>19</v>
      </c>
      <c r="F119" s="567">
        <f>SUM(F117:F118)</f>
        <v>281658000</v>
      </c>
    </row>
    <row r="120" spans="1:6" ht="18" customHeight="1" x14ac:dyDescent="0.4">
      <c r="A120" s="183"/>
      <c r="B120" s="117"/>
    </row>
    <row r="121" spans="1:6" ht="18" customHeight="1" x14ac:dyDescent="0.4">
      <c r="A121" s="183" t="s">
        <v>167</v>
      </c>
      <c r="B121" s="117" t="s">
        <v>36</v>
      </c>
      <c r="F121" s="556">
        <v>251520000</v>
      </c>
    </row>
    <row r="122" spans="1:6" ht="18" customHeight="1" x14ac:dyDescent="0.4">
      <c r="A122" s="183"/>
    </row>
    <row r="123" spans="1:6" ht="18" customHeight="1" x14ac:dyDescent="0.4">
      <c r="A123" s="183" t="s">
        <v>175</v>
      </c>
      <c r="B123" s="117" t="s">
        <v>20</v>
      </c>
      <c r="F123" s="556">
        <v>30138000</v>
      </c>
    </row>
    <row r="124" spans="1:6" ht="18" customHeight="1" x14ac:dyDescent="0.4">
      <c r="A124" s="183"/>
    </row>
    <row r="125" spans="1:6" ht="18" customHeight="1" x14ac:dyDescent="0.4">
      <c r="A125" s="183" t="s">
        <v>176</v>
      </c>
      <c r="B125" s="117" t="s">
        <v>21</v>
      </c>
      <c r="F125" s="556">
        <f>6664000-2263000</f>
        <v>4401000</v>
      </c>
    </row>
    <row r="126" spans="1:6" ht="18" customHeight="1" x14ac:dyDescent="0.4">
      <c r="A126" s="183"/>
    </row>
    <row r="127" spans="1:6" ht="18" customHeight="1" x14ac:dyDescent="0.4">
      <c r="A127" s="183" t="s">
        <v>177</v>
      </c>
      <c r="B127" s="117" t="s">
        <v>22</v>
      </c>
      <c r="F127" s="556">
        <f>34539000</f>
        <v>34539000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v>1102</v>
      </c>
      <c r="G131" s="555">
        <v>1754</v>
      </c>
      <c r="H131" s="556">
        <v>41879</v>
      </c>
      <c r="I131" s="144">
        <f t="shared" ref="I131:I133" si="17">H131*F$114</f>
        <v>26802.560000000001</v>
      </c>
      <c r="J131" s="556">
        <v>0</v>
      </c>
      <c r="K131" s="557">
        <f>(H131+I131)-J131</f>
        <v>68681.56</v>
      </c>
    </row>
    <row r="132" spans="1:11" ht="18" customHeight="1" x14ac:dyDescent="0.4">
      <c r="A132" s="183" t="s">
        <v>159</v>
      </c>
      <c r="B132" s="189" t="s">
        <v>25</v>
      </c>
      <c r="F132" s="555"/>
      <c r="G132" s="555"/>
      <c r="H132" s="556"/>
      <c r="I132" s="144">
        <f t="shared" si="17"/>
        <v>0</v>
      </c>
      <c r="J132" s="556"/>
      <c r="K132" s="557">
        <f>(H132+I132)-J132</f>
        <v>0</v>
      </c>
    </row>
    <row r="133" spans="1:11" ht="18" customHeight="1" x14ac:dyDescent="0.4">
      <c r="A133" s="183" t="s">
        <v>160</v>
      </c>
      <c r="B133" s="951"/>
      <c r="C133" s="952"/>
      <c r="D133" s="953"/>
      <c r="F133" s="555"/>
      <c r="G133" s="555"/>
      <c r="H133" s="556"/>
      <c r="I133" s="144">
        <f t="shared" si="17"/>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8">SUM(F131:F135)</f>
        <v>1102</v>
      </c>
      <c r="G137" s="560">
        <f t="shared" si="18"/>
        <v>1754</v>
      </c>
      <c r="H137" s="557">
        <f t="shared" si="18"/>
        <v>41879</v>
      </c>
      <c r="I137" s="557">
        <f t="shared" si="18"/>
        <v>26802.560000000001</v>
      </c>
      <c r="J137" s="557">
        <f t="shared" si="18"/>
        <v>0</v>
      </c>
      <c r="K137" s="557">
        <f t="shared" si="18"/>
        <v>68681.56</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9">F36</f>
        <v>13291</v>
      </c>
      <c r="G141" s="136">
        <f t="shared" si="19"/>
        <v>200379</v>
      </c>
      <c r="H141" s="136">
        <f t="shared" si="19"/>
        <v>1731185</v>
      </c>
      <c r="I141" s="136">
        <f t="shared" si="19"/>
        <v>1107958.3999999999</v>
      </c>
      <c r="J141" s="136">
        <f t="shared" si="19"/>
        <v>197143</v>
      </c>
      <c r="K141" s="136">
        <f t="shared" si="19"/>
        <v>2642000.4</v>
      </c>
    </row>
    <row r="142" spans="1:11" ht="18" customHeight="1" x14ac:dyDescent="0.4">
      <c r="A142" s="183" t="s">
        <v>142</v>
      </c>
      <c r="B142" s="117" t="s">
        <v>65</v>
      </c>
      <c r="F142" s="136">
        <f t="shared" ref="F142:K142" si="20">F49</f>
        <v>12922</v>
      </c>
      <c r="G142" s="136">
        <f t="shared" si="20"/>
        <v>0</v>
      </c>
      <c r="H142" s="136">
        <f t="shared" si="20"/>
        <v>634987</v>
      </c>
      <c r="I142" s="136">
        <f t="shared" si="20"/>
        <v>406391.68000000005</v>
      </c>
      <c r="J142" s="136">
        <f t="shared" si="20"/>
        <v>0</v>
      </c>
      <c r="K142" s="136">
        <f t="shared" si="20"/>
        <v>1041378.68</v>
      </c>
    </row>
    <row r="143" spans="1:11" ht="18" customHeight="1" x14ac:dyDescent="0.4">
      <c r="A143" s="183" t="s">
        <v>144</v>
      </c>
      <c r="B143" s="117" t="s">
        <v>66</v>
      </c>
      <c r="F143" s="136">
        <f t="shared" ref="F143:K143" si="21">F64</f>
        <v>0</v>
      </c>
      <c r="G143" s="136">
        <f t="shared" si="21"/>
        <v>0</v>
      </c>
      <c r="H143" s="136">
        <f t="shared" si="21"/>
        <v>8463140</v>
      </c>
      <c r="I143" s="136">
        <f t="shared" si="21"/>
        <v>0</v>
      </c>
      <c r="J143" s="136">
        <f t="shared" si="21"/>
        <v>1545370</v>
      </c>
      <c r="K143" s="136">
        <f t="shared" si="21"/>
        <v>6917770</v>
      </c>
    </row>
    <row r="144" spans="1:11" ht="18" customHeight="1" x14ac:dyDescent="0.4">
      <c r="A144" s="183" t="s">
        <v>146</v>
      </c>
      <c r="B144" s="117" t="s">
        <v>67</v>
      </c>
      <c r="F144" s="136">
        <f t="shared" ref="F144:K144" si="22">F74</f>
        <v>11284</v>
      </c>
      <c r="G144" s="136">
        <f t="shared" si="22"/>
        <v>0</v>
      </c>
      <c r="H144" s="136">
        <f t="shared" si="22"/>
        <v>502606</v>
      </c>
      <c r="I144" s="136">
        <f t="shared" si="22"/>
        <v>321667.84000000003</v>
      </c>
      <c r="J144" s="136">
        <f t="shared" si="22"/>
        <v>0</v>
      </c>
      <c r="K144" s="136">
        <f t="shared" si="22"/>
        <v>824273.84000000008</v>
      </c>
    </row>
    <row r="145" spans="1:11" ht="18" customHeight="1" x14ac:dyDescent="0.4">
      <c r="A145" s="183" t="s">
        <v>148</v>
      </c>
      <c r="B145" s="117" t="s">
        <v>68</v>
      </c>
      <c r="F145" s="136">
        <f t="shared" ref="F145:K145" si="23">F82</f>
        <v>1172</v>
      </c>
      <c r="G145" s="136">
        <f t="shared" si="23"/>
        <v>2792</v>
      </c>
      <c r="H145" s="136">
        <f t="shared" si="23"/>
        <v>375435</v>
      </c>
      <c r="I145" s="136">
        <f t="shared" si="23"/>
        <v>0</v>
      </c>
      <c r="J145" s="136">
        <f t="shared" si="23"/>
        <v>0</v>
      </c>
      <c r="K145" s="136">
        <f t="shared" si="23"/>
        <v>375435</v>
      </c>
    </row>
    <row r="146" spans="1:11" ht="18" customHeight="1" x14ac:dyDescent="0.4">
      <c r="A146" s="183" t="s">
        <v>150</v>
      </c>
      <c r="B146" s="117" t="s">
        <v>69</v>
      </c>
      <c r="F146" s="136">
        <f t="shared" ref="F146:K146" si="24">F98</f>
        <v>3202</v>
      </c>
      <c r="G146" s="136">
        <f t="shared" si="24"/>
        <v>193</v>
      </c>
      <c r="H146" s="136">
        <f t="shared" si="24"/>
        <v>115998</v>
      </c>
      <c r="I146" s="136">
        <f t="shared" si="24"/>
        <v>74238.720000000016</v>
      </c>
      <c r="J146" s="136">
        <f t="shared" si="24"/>
        <v>0</v>
      </c>
      <c r="K146" s="136">
        <f t="shared" si="24"/>
        <v>190236.72</v>
      </c>
    </row>
    <row r="147" spans="1:11" ht="18" customHeight="1" x14ac:dyDescent="0.4">
      <c r="A147" s="183" t="s">
        <v>153</v>
      </c>
      <c r="B147" s="117" t="s">
        <v>61</v>
      </c>
      <c r="F147" s="560">
        <f t="shared" ref="F147:K147" si="25">F108</f>
        <v>2314</v>
      </c>
      <c r="G147" s="560">
        <f t="shared" si="25"/>
        <v>0</v>
      </c>
      <c r="H147" s="560">
        <f t="shared" si="25"/>
        <v>95380</v>
      </c>
      <c r="I147" s="560">
        <f t="shared" si="25"/>
        <v>61043.200000000004</v>
      </c>
      <c r="J147" s="560">
        <f t="shared" si="25"/>
        <v>0</v>
      </c>
      <c r="K147" s="560">
        <f t="shared" si="25"/>
        <v>156423.20000000001</v>
      </c>
    </row>
    <row r="148" spans="1:11" ht="18" customHeight="1" x14ac:dyDescent="0.4">
      <c r="A148" s="183" t="s">
        <v>155</v>
      </c>
      <c r="B148" s="117" t="s">
        <v>70</v>
      </c>
      <c r="F148" s="137" t="s">
        <v>73</v>
      </c>
      <c r="G148" s="137" t="s">
        <v>73</v>
      </c>
      <c r="H148" s="138" t="s">
        <v>73</v>
      </c>
      <c r="I148" s="138" t="s">
        <v>73</v>
      </c>
      <c r="J148" s="138" t="s">
        <v>73</v>
      </c>
      <c r="K148" s="133">
        <f>F111</f>
        <v>4041000</v>
      </c>
    </row>
    <row r="149" spans="1:11" ht="18" customHeight="1" x14ac:dyDescent="0.4">
      <c r="A149" s="183" t="s">
        <v>163</v>
      </c>
      <c r="B149" s="117" t="s">
        <v>71</v>
      </c>
      <c r="F149" s="560">
        <f t="shared" ref="F149:K149" si="26">F137</f>
        <v>1102</v>
      </c>
      <c r="G149" s="560">
        <f t="shared" si="26"/>
        <v>1754</v>
      </c>
      <c r="H149" s="560">
        <f t="shared" si="26"/>
        <v>41879</v>
      </c>
      <c r="I149" s="560">
        <f t="shared" si="26"/>
        <v>26802.560000000001</v>
      </c>
      <c r="J149" s="560">
        <f t="shared" si="26"/>
        <v>0</v>
      </c>
      <c r="K149" s="560">
        <f t="shared" si="26"/>
        <v>68681.56</v>
      </c>
    </row>
    <row r="150" spans="1:11" ht="18" customHeight="1" x14ac:dyDescent="0.4">
      <c r="A150" s="183" t="s">
        <v>185</v>
      </c>
      <c r="B150" s="117" t="s">
        <v>186</v>
      </c>
      <c r="F150" s="137" t="s">
        <v>73</v>
      </c>
      <c r="G150" s="137" t="s">
        <v>73</v>
      </c>
      <c r="H150" s="560">
        <f>H18</f>
        <v>6829979</v>
      </c>
      <c r="I150" s="560">
        <f>I18</f>
        <v>0</v>
      </c>
      <c r="J150" s="560">
        <f>J18</f>
        <v>5677947</v>
      </c>
      <c r="K150" s="560">
        <f>K18</f>
        <v>1152032</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7">SUM(F141:F150)</f>
        <v>45287</v>
      </c>
      <c r="G152" s="143">
        <f t="shared" si="27"/>
        <v>205118</v>
      </c>
      <c r="H152" s="143">
        <f t="shared" si="27"/>
        <v>18790589</v>
      </c>
      <c r="I152" s="143">
        <f t="shared" si="27"/>
        <v>1998102.4000000001</v>
      </c>
      <c r="J152" s="143">
        <f t="shared" si="27"/>
        <v>7420460</v>
      </c>
      <c r="K152" s="143">
        <f t="shared" si="27"/>
        <v>17409231.399999999</v>
      </c>
    </row>
    <row r="154" spans="1:11" ht="18" customHeight="1" x14ac:dyDescent="0.4">
      <c r="A154" s="120" t="s">
        <v>168</v>
      </c>
      <c r="B154" s="117" t="s">
        <v>28</v>
      </c>
      <c r="F154" s="571">
        <f>K152/F121</f>
        <v>6.9216091762086512E-2</v>
      </c>
    </row>
    <row r="155" spans="1:11" ht="18" customHeight="1" x14ac:dyDescent="0.4">
      <c r="A155" s="120" t="s">
        <v>169</v>
      </c>
      <c r="B155" s="117" t="s">
        <v>72</v>
      </c>
      <c r="F155" s="571">
        <f>K152/F127</f>
        <v>0.50404561220649113</v>
      </c>
      <c r="G155" s="117"/>
    </row>
    <row r="156" spans="1:11" ht="18" customHeight="1" x14ac:dyDescent="0.4">
      <c r="G156" s="117"/>
    </row>
  </sheetData>
  <mergeCells count="34">
    <mergeCell ref="B135:D135"/>
    <mergeCell ref="B133:D133"/>
    <mergeCell ref="B104:D104"/>
    <mergeCell ref="B105:D105"/>
    <mergeCell ref="B106:D106"/>
    <mergeCell ref="B52:C52"/>
    <mergeCell ref="B53:D53"/>
    <mergeCell ref="B55:D55"/>
    <mergeCell ref="B56:D56"/>
    <mergeCell ref="B134:D134"/>
    <mergeCell ref="B103:C103"/>
    <mergeCell ref="B96:D96"/>
    <mergeCell ref="B95:D95"/>
    <mergeCell ref="B57:D57"/>
    <mergeCell ref="B94:D94"/>
    <mergeCell ref="B90:C90"/>
    <mergeCell ref="B59:D59"/>
    <mergeCell ref="B62:D62"/>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1:D31"/>
    <mergeCell ref="B30:D30"/>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K156"/>
  <sheetViews>
    <sheetView showGridLines="0" zoomScale="85" zoomScaleNormal="85" zoomScaleSheetLayoutView="10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1017" t="s">
        <v>534</v>
      </c>
      <c r="D5" s="962"/>
      <c r="E5" s="962"/>
      <c r="F5" s="962"/>
      <c r="G5" s="963"/>
    </row>
    <row r="6" spans="1:11" ht="18" customHeight="1" x14ac:dyDescent="0.4">
      <c r="B6" s="183" t="s">
        <v>3</v>
      </c>
      <c r="C6" s="964">
        <v>210051</v>
      </c>
      <c r="D6" s="965"/>
      <c r="E6" s="965"/>
      <c r="F6" s="965"/>
      <c r="G6" s="966"/>
    </row>
    <row r="7" spans="1:11" ht="18" customHeight="1" x14ac:dyDescent="0.4">
      <c r="B7" s="183" t="s">
        <v>4</v>
      </c>
      <c r="C7" s="1014">
        <v>1609</v>
      </c>
      <c r="D7" s="1015"/>
      <c r="E7" s="1015"/>
      <c r="F7" s="1015"/>
      <c r="G7" s="1016"/>
    </row>
    <row r="9" spans="1:11" ht="18" customHeight="1" x14ac:dyDescent="0.4">
      <c r="B9" s="183" t="s">
        <v>1</v>
      </c>
      <c r="C9" s="1017" t="s">
        <v>796</v>
      </c>
      <c r="D9" s="962"/>
      <c r="E9" s="962"/>
      <c r="F9" s="962"/>
      <c r="G9" s="963"/>
    </row>
    <row r="10" spans="1:11" ht="18" customHeight="1" x14ac:dyDescent="0.4">
      <c r="B10" s="183" t="s">
        <v>2</v>
      </c>
      <c r="C10" s="1018" t="s">
        <v>277</v>
      </c>
      <c r="D10" s="971"/>
      <c r="E10" s="971"/>
      <c r="F10" s="971"/>
      <c r="G10" s="972"/>
    </row>
    <row r="11" spans="1:11" ht="18" customHeight="1" x14ac:dyDescent="0.4">
      <c r="B11" s="183" t="s">
        <v>32</v>
      </c>
      <c r="C11" s="954" t="s">
        <v>797</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4906497</v>
      </c>
      <c r="I18" s="144">
        <v>0</v>
      </c>
      <c r="J18" s="556">
        <v>4078904</v>
      </c>
      <c r="K18" s="557">
        <f>(H18+I18)-J18</f>
        <v>827593</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578</v>
      </c>
      <c r="G21" s="555">
        <v>6615</v>
      </c>
      <c r="H21" s="556">
        <v>47362</v>
      </c>
      <c r="I21" s="144">
        <f t="shared" ref="I21:I34" si="0">H21*F$114</f>
        <v>31050.527199999997</v>
      </c>
      <c r="J21" s="556"/>
      <c r="K21" s="557">
        <f t="shared" ref="K21:K34" si="1">(H21+I21)-J21</f>
        <v>78412.527199999997</v>
      </c>
    </row>
    <row r="22" spans="1:11" ht="18" customHeight="1" x14ac:dyDescent="0.4">
      <c r="A22" s="183" t="s">
        <v>76</v>
      </c>
      <c r="B22" s="189" t="s">
        <v>6</v>
      </c>
      <c r="F22" s="555">
        <v>406</v>
      </c>
      <c r="G22" s="555">
        <v>1200</v>
      </c>
      <c r="H22" s="556">
        <v>42113</v>
      </c>
      <c r="I22" s="144">
        <f t="shared" si="0"/>
        <v>27609.282799999997</v>
      </c>
      <c r="J22" s="556"/>
      <c r="K22" s="557">
        <f t="shared" si="1"/>
        <v>69722.282800000001</v>
      </c>
    </row>
    <row r="23" spans="1:11" ht="18" customHeight="1" x14ac:dyDescent="0.4">
      <c r="A23" s="183" t="s">
        <v>77</v>
      </c>
      <c r="B23" s="189" t="s">
        <v>43</v>
      </c>
      <c r="F23" s="555"/>
      <c r="G23" s="555"/>
      <c r="H23" s="556"/>
      <c r="I23" s="144">
        <f t="shared" si="0"/>
        <v>0</v>
      </c>
      <c r="J23" s="556"/>
      <c r="K23" s="557">
        <f t="shared" si="1"/>
        <v>0</v>
      </c>
    </row>
    <row r="24" spans="1:11" ht="18" customHeight="1" x14ac:dyDescent="0.4">
      <c r="A24" s="183" t="s">
        <v>78</v>
      </c>
      <c r="B24" s="189" t="s">
        <v>44</v>
      </c>
      <c r="F24" s="555"/>
      <c r="G24" s="555"/>
      <c r="H24" s="556"/>
      <c r="I24" s="144">
        <f t="shared" si="0"/>
        <v>0</v>
      </c>
      <c r="J24" s="556"/>
      <c r="K24" s="557">
        <f t="shared" si="1"/>
        <v>0</v>
      </c>
    </row>
    <row r="25" spans="1:11" ht="18" customHeight="1" x14ac:dyDescent="0.4">
      <c r="A25" s="183" t="s">
        <v>79</v>
      </c>
      <c r="B25" s="189" t="s">
        <v>5</v>
      </c>
      <c r="F25" s="555">
        <v>7115</v>
      </c>
      <c r="G25" s="555">
        <v>10514</v>
      </c>
      <c r="H25" s="556">
        <v>1226876</v>
      </c>
      <c r="I25" s="144">
        <f t="shared" si="0"/>
        <v>804339.90559999994</v>
      </c>
      <c r="J25" s="556">
        <v>106000</v>
      </c>
      <c r="K25" s="557">
        <f t="shared" si="1"/>
        <v>1925215.9055999999</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c r="G27" s="555"/>
      <c r="H27" s="556"/>
      <c r="I27" s="144">
        <f t="shared" si="0"/>
        <v>0</v>
      </c>
      <c r="J27" s="556"/>
      <c r="K27" s="557">
        <f t="shared" si="1"/>
        <v>0</v>
      </c>
    </row>
    <row r="28" spans="1:11" ht="18" customHeight="1" x14ac:dyDescent="0.4">
      <c r="A28" s="183" t="s">
        <v>82</v>
      </c>
      <c r="B28" s="189" t="s">
        <v>47</v>
      </c>
      <c r="F28" s="555">
        <v>4080</v>
      </c>
      <c r="G28" s="555">
        <v>5318</v>
      </c>
      <c r="H28" s="556">
        <v>220382</v>
      </c>
      <c r="I28" s="144">
        <f t="shared" si="0"/>
        <v>144482.43919999999</v>
      </c>
      <c r="J28" s="556">
        <v>80000</v>
      </c>
      <c r="K28" s="557">
        <f t="shared" si="1"/>
        <v>284864.43920000002</v>
      </c>
    </row>
    <row r="29" spans="1:11" ht="18" customHeight="1" x14ac:dyDescent="0.4">
      <c r="A29" s="183" t="s">
        <v>83</v>
      </c>
      <c r="B29" s="189" t="s">
        <v>48</v>
      </c>
      <c r="F29" s="555"/>
      <c r="G29" s="555"/>
      <c r="H29" s="556"/>
      <c r="I29" s="144">
        <f t="shared" si="0"/>
        <v>0</v>
      </c>
      <c r="J29" s="556"/>
      <c r="K29" s="557">
        <f t="shared" si="1"/>
        <v>0</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12179</v>
      </c>
      <c r="G36" s="560">
        <f t="shared" si="2"/>
        <v>23647</v>
      </c>
      <c r="H36" s="560">
        <f t="shared" si="2"/>
        <v>1536733</v>
      </c>
      <c r="I36" s="557">
        <f t="shared" si="2"/>
        <v>1007482.1548</v>
      </c>
      <c r="J36" s="557">
        <f t="shared" si="2"/>
        <v>186000</v>
      </c>
      <c r="K36" s="557">
        <f t="shared" si="2"/>
        <v>2358215.1548000001</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c r="G40" s="555"/>
      <c r="H40" s="556"/>
      <c r="I40" s="144">
        <v>0</v>
      </c>
      <c r="J40" s="556"/>
      <c r="K40" s="557">
        <f t="shared" ref="K40:K47" si="3">(H40+I40)-J40</f>
        <v>0</v>
      </c>
    </row>
    <row r="41" spans="1:11" ht="18" customHeight="1" x14ac:dyDescent="0.4">
      <c r="A41" s="183" t="s">
        <v>88</v>
      </c>
      <c r="B41" s="956" t="s">
        <v>50</v>
      </c>
      <c r="C41" s="957"/>
      <c r="F41" s="555">
        <v>37496</v>
      </c>
      <c r="G41" s="555">
        <v>464</v>
      </c>
      <c r="H41" s="556">
        <v>1724816</v>
      </c>
      <c r="I41" s="144">
        <v>0</v>
      </c>
      <c r="J41" s="556"/>
      <c r="K41" s="557">
        <f t="shared" si="3"/>
        <v>1724816</v>
      </c>
    </row>
    <row r="42" spans="1:11" ht="18" customHeight="1" x14ac:dyDescent="0.4">
      <c r="A42" s="183" t="s">
        <v>89</v>
      </c>
      <c r="B42" s="116" t="s">
        <v>11</v>
      </c>
      <c r="F42" s="555">
        <v>13490</v>
      </c>
      <c r="G42" s="555">
        <v>1985</v>
      </c>
      <c r="H42" s="556">
        <v>392530</v>
      </c>
      <c r="I42" s="144">
        <v>0</v>
      </c>
      <c r="J42" s="556"/>
      <c r="K42" s="557">
        <f t="shared" si="3"/>
        <v>392530</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50986</v>
      </c>
      <c r="G49" s="563">
        <f t="shared" si="4"/>
        <v>2449</v>
      </c>
      <c r="H49" s="557">
        <f t="shared" si="4"/>
        <v>2117346</v>
      </c>
      <c r="I49" s="557">
        <f t="shared" si="4"/>
        <v>0</v>
      </c>
      <c r="J49" s="557">
        <f t="shared" si="4"/>
        <v>0</v>
      </c>
      <c r="K49" s="557">
        <f t="shared" si="4"/>
        <v>2117346</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c r="C53" s="979"/>
      <c r="D53" s="975"/>
      <c r="F53" s="555"/>
      <c r="G53" s="555"/>
      <c r="H53" s="556"/>
      <c r="I53" s="144">
        <v>0</v>
      </c>
      <c r="J53" s="556"/>
      <c r="K53" s="557">
        <f t="shared" ref="K53:K62" si="5">(H53+I53)-J53</f>
        <v>0</v>
      </c>
    </row>
    <row r="54" spans="1:11" ht="18" customHeight="1" x14ac:dyDescent="0.4">
      <c r="A54" s="183" t="s">
        <v>93</v>
      </c>
      <c r="B54" s="503"/>
      <c r="C54" s="504"/>
      <c r="D54" s="505"/>
      <c r="F54" s="555"/>
      <c r="G54" s="555"/>
      <c r="H54" s="556"/>
      <c r="I54" s="144">
        <v>0</v>
      </c>
      <c r="J54" s="556"/>
      <c r="K54" s="557">
        <f t="shared" si="5"/>
        <v>0</v>
      </c>
    </row>
    <row r="55" spans="1:11" ht="18" customHeight="1" x14ac:dyDescent="0.4">
      <c r="A55" s="183" t="s">
        <v>94</v>
      </c>
      <c r="B55" s="980"/>
      <c r="C55" s="974"/>
      <c r="D55" s="975"/>
      <c r="F55" s="555"/>
      <c r="G55" s="555"/>
      <c r="H55" s="556"/>
      <c r="I55" s="144">
        <v>0</v>
      </c>
      <c r="J55" s="556"/>
      <c r="K55" s="557">
        <f t="shared" si="5"/>
        <v>0</v>
      </c>
    </row>
    <row r="56" spans="1:11" ht="18" customHeight="1" x14ac:dyDescent="0.4">
      <c r="A56" s="183" t="s">
        <v>95</v>
      </c>
      <c r="B56" s="980"/>
      <c r="C56" s="974"/>
      <c r="D56" s="975"/>
      <c r="F56" s="555"/>
      <c r="G56" s="555"/>
      <c r="H56" s="556"/>
      <c r="I56" s="144">
        <v>0</v>
      </c>
      <c r="J56" s="556"/>
      <c r="K56" s="557">
        <f t="shared" si="5"/>
        <v>0</v>
      </c>
    </row>
    <row r="57" spans="1:11" ht="18" customHeight="1" x14ac:dyDescent="0.4">
      <c r="A57" s="183" t="s">
        <v>96</v>
      </c>
      <c r="B57" s="980"/>
      <c r="C57" s="974"/>
      <c r="D57" s="975"/>
      <c r="F57" s="555"/>
      <c r="G57" s="555"/>
      <c r="H57" s="556"/>
      <c r="I57" s="144">
        <v>0</v>
      </c>
      <c r="J57" s="556"/>
      <c r="K57" s="557">
        <f t="shared" si="5"/>
        <v>0</v>
      </c>
    </row>
    <row r="58" spans="1:11" ht="18" customHeight="1" x14ac:dyDescent="0.4">
      <c r="A58" s="183" t="s">
        <v>97</v>
      </c>
      <c r="B58" s="503"/>
      <c r="C58" s="504"/>
      <c r="D58" s="505"/>
      <c r="F58" s="555"/>
      <c r="G58" s="555"/>
      <c r="H58" s="556"/>
      <c r="I58" s="144">
        <v>0</v>
      </c>
      <c r="J58" s="556"/>
      <c r="K58" s="557">
        <f t="shared" si="5"/>
        <v>0</v>
      </c>
    </row>
    <row r="59" spans="1:11" ht="18" customHeight="1" x14ac:dyDescent="0.4">
      <c r="A59" s="183" t="s">
        <v>98</v>
      </c>
      <c r="B59" s="980"/>
      <c r="C59" s="974"/>
      <c r="D59" s="975"/>
      <c r="F59" s="555"/>
      <c r="G59" s="555"/>
      <c r="H59" s="556"/>
      <c r="I59" s="144">
        <v>0</v>
      </c>
      <c r="J59" s="556"/>
      <c r="K59" s="557">
        <f t="shared" si="5"/>
        <v>0</v>
      </c>
    </row>
    <row r="60" spans="1:11" ht="18" customHeight="1" x14ac:dyDescent="0.4">
      <c r="A60" s="183" t="s">
        <v>99</v>
      </c>
      <c r="B60" s="503"/>
      <c r="C60" s="504"/>
      <c r="D60" s="505"/>
      <c r="F60" s="555"/>
      <c r="G60" s="555"/>
      <c r="H60" s="556"/>
      <c r="I60" s="144">
        <v>0</v>
      </c>
      <c r="J60" s="556"/>
      <c r="K60" s="557">
        <f t="shared" si="5"/>
        <v>0</v>
      </c>
    </row>
    <row r="61" spans="1:11" ht="18" customHeight="1" x14ac:dyDescent="0.4">
      <c r="A61" s="183" t="s">
        <v>100</v>
      </c>
      <c r="B61" s="503"/>
      <c r="C61" s="504"/>
      <c r="D61" s="505"/>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0</v>
      </c>
      <c r="G64" s="560">
        <f t="shared" si="6"/>
        <v>0</v>
      </c>
      <c r="H64" s="557">
        <f t="shared" si="6"/>
        <v>0</v>
      </c>
      <c r="I64" s="557">
        <f t="shared" si="6"/>
        <v>0</v>
      </c>
      <c r="J64" s="557">
        <f t="shared" si="6"/>
        <v>0</v>
      </c>
      <c r="K64" s="557">
        <f t="shared" si="6"/>
        <v>0</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f>(H68+I68)-J68</f>
        <v>0</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0</v>
      </c>
      <c r="G74" s="566">
        <f t="shared" si="7"/>
        <v>0</v>
      </c>
      <c r="H74" s="566">
        <f t="shared" si="7"/>
        <v>0</v>
      </c>
      <c r="I74" s="145">
        <f t="shared" si="7"/>
        <v>0</v>
      </c>
      <c r="J74" s="566">
        <f t="shared" si="7"/>
        <v>0</v>
      </c>
      <c r="K74" s="567">
        <f t="shared" si="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267700</v>
      </c>
      <c r="I77" s="144">
        <v>0</v>
      </c>
      <c r="J77" s="556"/>
      <c r="K77" s="557">
        <f>(H77+I77)-J77</f>
        <v>267700</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927</v>
      </c>
      <c r="G79" s="555">
        <v>11045</v>
      </c>
      <c r="H79" s="556">
        <v>43817</v>
      </c>
      <c r="I79" s="144">
        <v>0</v>
      </c>
      <c r="J79" s="556"/>
      <c r="K79" s="557">
        <f>(H79+I79)-J79</f>
        <v>43817</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639">
        <f>SUM(F77:F80)</f>
        <v>927</v>
      </c>
      <c r="G82" s="566">
        <f t="shared" ref="G82:K82" si="8">SUM(G77:G80)</f>
        <v>11045</v>
      </c>
      <c r="H82" s="567">
        <f t="shared" si="8"/>
        <v>311517</v>
      </c>
      <c r="I82" s="567">
        <f t="shared" si="8"/>
        <v>0</v>
      </c>
      <c r="J82" s="567">
        <f t="shared" si="8"/>
        <v>0</v>
      </c>
      <c r="K82" s="567">
        <f t="shared" si="8"/>
        <v>311517</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9">H86*F$114</f>
        <v>0</v>
      </c>
      <c r="J86" s="556"/>
      <c r="K86" s="557">
        <f t="shared" ref="K86:K96" si="10">(H86+I86)-J86</f>
        <v>0</v>
      </c>
    </row>
    <row r="87" spans="1:11" ht="18" customHeight="1" x14ac:dyDescent="0.4">
      <c r="A87" s="183" t="s">
        <v>114</v>
      </c>
      <c r="B87" s="116" t="s">
        <v>14</v>
      </c>
      <c r="F87" s="555"/>
      <c r="G87" s="555"/>
      <c r="H87" s="556"/>
      <c r="I87" s="144">
        <f t="shared" si="9"/>
        <v>0</v>
      </c>
      <c r="J87" s="556"/>
      <c r="K87" s="557">
        <f t="shared" si="10"/>
        <v>0</v>
      </c>
    </row>
    <row r="88" spans="1:11" ht="18" customHeight="1" x14ac:dyDescent="0.4">
      <c r="A88" s="183" t="s">
        <v>115</v>
      </c>
      <c r="B88" s="116" t="s">
        <v>116</v>
      </c>
      <c r="F88" s="555"/>
      <c r="G88" s="555"/>
      <c r="H88" s="556"/>
      <c r="I88" s="144">
        <f t="shared" si="9"/>
        <v>0</v>
      </c>
      <c r="J88" s="556"/>
      <c r="K88" s="557">
        <f t="shared" si="10"/>
        <v>0</v>
      </c>
    </row>
    <row r="89" spans="1:11" ht="18" customHeight="1" x14ac:dyDescent="0.4">
      <c r="A89" s="183" t="s">
        <v>117</v>
      </c>
      <c r="B89" s="116" t="s">
        <v>58</v>
      </c>
      <c r="F89" s="555"/>
      <c r="G89" s="555"/>
      <c r="H89" s="556"/>
      <c r="I89" s="144">
        <f t="shared" si="9"/>
        <v>0</v>
      </c>
      <c r="J89" s="556"/>
      <c r="K89" s="557">
        <f t="shared" si="10"/>
        <v>0</v>
      </c>
    </row>
    <row r="90" spans="1:11" ht="18" customHeight="1" x14ac:dyDescent="0.4">
      <c r="A90" s="183" t="s">
        <v>118</v>
      </c>
      <c r="B90" s="956" t="s">
        <v>59</v>
      </c>
      <c r="C90" s="957"/>
      <c r="F90" s="555"/>
      <c r="G90" s="555"/>
      <c r="H90" s="556"/>
      <c r="I90" s="144">
        <f t="shared" si="9"/>
        <v>0</v>
      </c>
      <c r="J90" s="556"/>
      <c r="K90" s="557">
        <f t="shared" si="10"/>
        <v>0</v>
      </c>
    </row>
    <row r="91" spans="1:11" ht="18" customHeight="1" x14ac:dyDescent="0.4">
      <c r="A91" s="183" t="s">
        <v>119</v>
      </c>
      <c r="B91" s="116" t="s">
        <v>60</v>
      </c>
      <c r="F91" s="555"/>
      <c r="G91" s="555"/>
      <c r="H91" s="556"/>
      <c r="I91" s="144">
        <f t="shared" si="9"/>
        <v>0</v>
      </c>
      <c r="J91" s="556"/>
      <c r="K91" s="557">
        <f t="shared" si="10"/>
        <v>0</v>
      </c>
    </row>
    <row r="92" spans="1:11" ht="18" customHeight="1" x14ac:dyDescent="0.4">
      <c r="A92" s="183" t="s">
        <v>120</v>
      </c>
      <c r="B92" s="116" t="s">
        <v>121</v>
      </c>
      <c r="F92" s="134"/>
      <c r="G92" s="134"/>
      <c r="H92" s="135"/>
      <c r="I92" s="144">
        <f t="shared" si="9"/>
        <v>0</v>
      </c>
      <c r="J92" s="135"/>
      <c r="K92" s="557">
        <f t="shared" si="10"/>
        <v>0</v>
      </c>
    </row>
    <row r="93" spans="1:11" ht="18" customHeight="1" x14ac:dyDescent="0.4">
      <c r="A93" s="183" t="s">
        <v>122</v>
      </c>
      <c r="B93" s="116" t="s">
        <v>123</v>
      </c>
      <c r="F93" s="555"/>
      <c r="G93" s="555"/>
      <c r="H93" s="556"/>
      <c r="I93" s="144">
        <f t="shared" si="9"/>
        <v>0</v>
      </c>
      <c r="J93" s="556"/>
      <c r="K93" s="557">
        <f t="shared" si="10"/>
        <v>0</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0</v>
      </c>
      <c r="G98" s="560">
        <f t="shared" si="11"/>
        <v>0</v>
      </c>
      <c r="H98" s="560">
        <f t="shared" si="11"/>
        <v>0</v>
      </c>
      <c r="I98" s="560">
        <f t="shared" si="11"/>
        <v>0</v>
      </c>
      <c r="J98" s="560">
        <f t="shared" si="11"/>
        <v>0</v>
      </c>
      <c r="K98" s="560">
        <f t="shared" si="11"/>
        <v>0</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1540</v>
      </c>
      <c r="G102" s="555"/>
      <c r="H102" s="556">
        <v>65520</v>
      </c>
      <c r="I102" s="144">
        <f>H102*F$114</f>
        <v>42954.911999999997</v>
      </c>
      <c r="J102" s="556"/>
      <c r="K102" s="557">
        <f>(H102+I102)-J102</f>
        <v>108474.912</v>
      </c>
    </row>
    <row r="103" spans="1:11" ht="18" customHeight="1" x14ac:dyDescent="0.4">
      <c r="A103" s="183" t="s">
        <v>132</v>
      </c>
      <c r="B103" s="956" t="s">
        <v>62</v>
      </c>
      <c r="C103" s="956"/>
      <c r="F103" s="555">
        <v>2572</v>
      </c>
      <c r="G103" s="555"/>
      <c r="H103" s="556">
        <v>45540</v>
      </c>
      <c r="I103" s="144">
        <f>H103*F$114</f>
        <v>29856.023999999998</v>
      </c>
      <c r="J103" s="556"/>
      <c r="K103" s="557">
        <f>(H103+I103)-J103</f>
        <v>75396.024000000005</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4112</v>
      </c>
      <c r="G108" s="560">
        <f t="shared" si="12"/>
        <v>0</v>
      </c>
      <c r="H108" s="557">
        <f t="shared" si="12"/>
        <v>111060</v>
      </c>
      <c r="I108" s="557">
        <f t="shared" si="12"/>
        <v>72810.935999999987</v>
      </c>
      <c r="J108" s="557">
        <f t="shared" si="12"/>
        <v>0</v>
      </c>
      <c r="K108" s="557">
        <f t="shared" si="12"/>
        <v>183870.93599999999</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8425301</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0.65559999999999996</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211342357</v>
      </c>
    </row>
    <row r="118" spans="1:6" ht="18" customHeight="1" x14ac:dyDescent="0.4">
      <c r="A118" s="183" t="s">
        <v>173</v>
      </c>
      <c r="B118" s="189" t="s">
        <v>18</v>
      </c>
      <c r="F118" s="556">
        <v>3700875</v>
      </c>
    </row>
    <row r="119" spans="1:6" ht="18" customHeight="1" x14ac:dyDescent="0.4">
      <c r="A119" s="183" t="s">
        <v>174</v>
      </c>
      <c r="B119" s="117" t="s">
        <v>19</v>
      </c>
      <c r="F119" s="567">
        <f>SUM(F117:F118)</f>
        <v>215043232</v>
      </c>
    </row>
    <row r="120" spans="1:6" ht="18" customHeight="1" x14ac:dyDescent="0.4">
      <c r="A120" s="183"/>
      <c r="B120" s="117"/>
    </row>
    <row r="121" spans="1:6" ht="18" customHeight="1" x14ac:dyDescent="0.4">
      <c r="A121" s="183" t="s">
        <v>167</v>
      </c>
      <c r="B121" s="117" t="s">
        <v>36</v>
      </c>
      <c r="F121" s="556">
        <v>200232626</v>
      </c>
    </row>
    <row r="122" spans="1:6" ht="18" customHeight="1" x14ac:dyDescent="0.4">
      <c r="A122" s="183"/>
    </row>
    <row r="123" spans="1:6" ht="18" customHeight="1" x14ac:dyDescent="0.4">
      <c r="A123" s="183" t="s">
        <v>175</v>
      </c>
      <c r="B123" s="117" t="s">
        <v>20</v>
      </c>
      <c r="F123" s="556">
        <v>14810606</v>
      </c>
    </row>
    <row r="124" spans="1:6" ht="18" customHeight="1" x14ac:dyDescent="0.4">
      <c r="A124" s="183"/>
    </row>
    <row r="125" spans="1:6" ht="18" customHeight="1" x14ac:dyDescent="0.4">
      <c r="A125" s="183" t="s">
        <v>176</v>
      </c>
      <c r="B125" s="117" t="s">
        <v>21</v>
      </c>
      <c r="F125" s="556">
        <v>-811059</v>
      </c>
    </row>
    <row r="126" spans="1:6" ht="18" customHeight="1" x14ac:dyDescent="0.4">
      <c r="A126" s="183"/>
    </row>
    <row r="127" spans="1:6" ht="18" customHeight="1" x14ac:dyDescent="0.4">
      <c r="A127" s="183" t="s">
        <v>177</v>
      </c>
      <c r="B127" s="117" t="s">
        <v>22</v>
      </c>
      <c r="F127" s="556">
        <v>13999547</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12179</v>
      </c>
      <c r="G141" s="136">
        <f t="shared" si="14"/>
        <v>23647</v>
      </c>
      <c r="H141" s="136">
        <f t="shared" si="14"/>
        <v>1536733</v>
      </c>
      <c r="I141" s="136">
        <f t="shared" si="14"/>
        <v>1007482.1548</v>
      </c>
      <c r="J141" s="136">
        <f t="shared" si="14"/>
        <v>186000</v>
      </c>
      <c r="K141" s="136">
        <f t="shared" si="14"/>
        <v>2358215.1548000001</v>
      </c>
    </row>
    <row r="142" spans="1:11" ht="18" customHeight="1" x14ac:dyDescent="0.4">
      <c r="A142" s="183" t="s">
        <v>142</v>
      </c>
      <c r="B142" s="117" t="s">
        <v>65</v>
      </c>
      <c r="F142" s="136">
        <f t="shared" ref="F142:K142" si="15">F49</f>
        <v>50986</v>
      </c>
      <c r="G142" s="136">
        <f t="shared" si="15"/>
        <v>2449</v>
      </c>
      <c r="H142" s="136">
        <f t="shared" si="15"/>
        <v>2117346</v>
      </c>
      <c r="I142" s="136">
        <f t="shared" si="15"/>
        <v>0</v>
      </c>
      <c r="J142" s="136">
        <f t="shared" si="15"/>
        <v>0</v>
      </c>
      <c r="K142" s="136">
        <f t="shared" si="15"/>
        <v>2117346</v>
      </c>
    </row>
    <row r="143" spans="1:11" ht="18" customHeight="1" x14ac:dyDescent="0.4">
      <c r="A143" s="183" t="s">
        <v>144</v>
      </c>
      <c r="B143" s="117" t="s">
        <v>66</v>
      </c>
      <c r="F143" s="136">
        <f t="shared" ref="F143:K143" si="16">F64</f>
        <v>0</v>
      </c>
      <c r="G143" s="136">
        <f t="shared" si="16"/>
        <v>0</v>
      </c>
      <c r="H143" s="136">
        <f t="shared" si="16"/>
        <v>0</v>
      </c>
      <c r="I143" s="136">
        <f t="shared" si="16"/>
        <v>0</v>
      </c>
      <c r="J143" s="136">
        <f t="shared" si="16"/>
        <v>0</v>
      </c>
      <c r="K143" s="136">
        <f t="shared" si="16"/>
        <v>0</v>
      </c>
    </row>
    <row r="144" spans="1:11" ht="18" customHeight="1" x14ac:dyDescent="0.4">
      <c r="A144" s="183" t="s">
        <v>146</v>
      </c>
      <c r="B144" s="117" t="s">
        <v>67</v>
      </c>
      <c r="F144" s="136">
        <f t="shared" ref="F144:K144" si="17">F74</f>
        <v>0</v>
      </c>
      <c r="G144" s="136">
        <f t="shared" si="17"/>
        <v>0</v>
      </c>
      <c r="H144" s="136">
        <f t="shared" si="17"/>
        <v>0</v>
      </c>
      <c r="I144" s="136">
        <f t="shared" si="17"/>
        <v>0</v>
      </c>
      <c r="J144" s="136">
        <f t="shared" si="17"/>
        <v>0</v>
      </c>
      <c r="K144" s="136">
        <f t="shared" si="17"/>
        <v>0</v>
      </c>
    </row>
    <row r="145" spans="1:11" ht="18" customHeight="1" x14ac:dyDescent="0.4">
      <c r="A145" s="183" t="s">
        <v>148</v>
      </c>
      <c r="B145" s="117" t="s">
        <v>68</v>
      </c>
      <c r="F145" s="136">
        <f t="shared" ref="F145:K145" si="18">F82</f>
        <v>927</v>
      </c>
      <c r="G145" s="136">
        <f t="shared" si="18"/>
        <v>11045</v>
      </c>
      <c r="H145" s="136">
        <f t="shared" si="18"/>
        <v>311517</v>
      </c>
      <c r="I145" s="136">
        <f t="shared" si="18"/>
        <v>0</v>
      </c>
      <c r="J145" s="136">
        <f t="shared" si="18"/>
        <v>0</v>
      </c>
      <c r="K145" s="136">
        <f t="shared" si="18"/>
        <v>311517</v>
      </c>
    </row>
    <row r="146" spans="1:11" ht="18" customHeight="1" x14ac:dyDescent="0.4">
      <c r="A146" s="183" t="s">
        <v>150</v>
      </c>
      <c r="B146" s="117" t="s">
        <v>69</v>
      </c>
      <c r="F146" s="136">
        <f t="shared" ref="F146:K146" si="19">F98</f>
        <v>0</v>
      </c>
      <c r="G146" s="136">
        <f t="shared" si="19"/>
        <v>0</v>
      </c>
      <c r="H146" s="136">
        <f t="shared" si="19"/>
        <v>0</v>
      </c>
      <c r="I146" s="136">
        <f t="shared" si="19"/>
        <v>0</v>
      </c>
      <c r="J146" s="136">
        <f t="shared" si="19"/>
        <v>0</v>
      </c>
      <c r="K146" s="136">
        <f t="shared" si="19"/>
        <v>0</v>
      </c>
    </row>
    <row r="147" spans="1:11" ht="18" customHeight="1" x14ac:dyDescent="0.4">
      <c r="A147" s="183" t="s">
        <v>153</v>
      </c>
      <c r="B147" s="117" t="s">
        <v>61</v>
      </c>
      <c r="F147" s="560">
        <f t="shared" ref="F147:K147" si="20">F108</f>
        <v>4112</v>
      </c>
      <c r="G147" s="560">
        <f t="shared" si="20"/>
        <v>0</v>
      </c>
      <c r="H147" s="560">
        <f t="shared" si="20"/>
        <v>111060</v>
      </c>
      <c r="I147" s="560">
        <f t="shared" si="20"/>
        <v>72810.935999999987</v>
      </c>
      <c r="J147" s="560">
        <f t="shared" si="20"/>
        <v>0</v>
      </c>
      <c r="K147" s="560">
        <f t="shared" si="20"/>
        <v>183870.93599999999</v>
      </c>
    </row>
    <row r="148" spans="1:11" ht="18" customHeight="1" x14ac:dyDescent="0.4">
      <c r="A148" s="183" t="s">
        <v>155</v>
      </c>
      <c r="B148" s="117" t="s">
        <v>70</v>
      </c>
      <c r="F148" s="137" t="s">
        <v>73</v>
      </c>
      <c r="G148" s="137" t="s">
        <v>73</v>
      </c>
      <c r="H148" s="138" t="s">
        <v>73</v>
      </c>
      <c r="I148" s="138" t="s">
        <v>73</v>
      </c>
      <c r="J148" s="138" t="s">
        <v>73</v>
      </c>
      <c r="K148" s="133">
        <f>F111</f>
        <v>8425301</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4906497</v>
      </c>
      <c r="I150" s="560">
        <f>I18</f>
        <v>0</v>
      </c>
      <c r="J150" s="560">
        <f>J18</f>
        <v>4078904</v>
      </c>
      <c r="K150" s="560">
        <f>K18</f>
        <v>827593</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68204</v>
      </c>
      <c r="G152" s="143">
        <f t="shared" si="22"/>
        <v>37141</v>
      </c>
      <c r="H152" s="143">
        <f t="shared" si="22"/>
        <v>8983153</v>
      </c>
      <c r="I152" s="143">
        <f t="shared" si="22"/>
        <v>1080293.0907999999</v>
      </c>
      <c r="J152" s="143">
        <f t="shared" si="22"/>
        <v>4264904</v>
      </c>
      <c r="K152" s="143">
        <f t="shared" si="22"/>
        <v>14223843.090799998</v>
      </c>
    </row>
    <row r="154" spans="1:11" ht="18" customHeight="1" x14ac:dyDescent="0.4">
      <c r="A154" s="120" t="s">
        <v>168</v>
      </c>
      <c r="B154" s="117" t="s">
        <v>28</v>
      </c>
      <c r="F154" s="571">
        <f>K152/F121</f>
        <v>7.1036590664300625E-2</v>
      </c>
    </row>
    <row r="155" spans="1:11" ht="18" customHeight="1" x14ac:dyDescent="0.4">
      <c r="A155" s="120" t="s">
        <v>169</v>
      </c>
      <c r="B155" s="117" t="s">
        <v>72</v>
      </c>
      <c r="F155" s="571">
        <f>K152/F127</f>
        <v>1.0160216677582494</v>
      </c>
      <c r="G155" s="117"/>
    </row>
    <row r="156" spans="1:11" ht="18" customHeight="1" x14ac:dyDescent="0.4">
      <c r="G156" s="117"/>
    </row>
  </sheetData>
  <mergeCells count="34">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L156"/>
  <sheetViews>
    <sheetView showGridLines="0" topLeftCell="A99" zoomScale="110" zoomScaleNormal="110" zoomScaleSheetLayoutView="70" workbookViewId="0">
      <selection activeCell="A121" sqref="A121"/>
    </sheetView>
  </sheetViews>
  <sheetFormatPr defaultRowHeight="18" customHeight="1" x14ac:dyDescent="0.35"/>
  <cols>
    <col min="1" max="1" width="6.3984375" style="1160" customWidth="1"/>
    <col min="2" max="2" width="39.19921875" style="1160" customWidth="1"/>
    <col min="3" max="4" width="6.3984375" style="1160" customWidth="1"/>
    <col min="5" max="5" width="8.73046875" style="1160" customWidth="1"/>
    <col min="6" max="6" width="13.06640625" style="1160" customWidth="1"/>
    <col min="7" max="7" width="17.3984375" style="1160" customWidth="1"/>
    <col min="8" max="8" width="11.796875" style="1160" customWidth="1"/>
    <col min="9" max="9" width="15.1328125" style="1160" customWidth="1"/>
    <col min="10" max="10" width="14.1328125" style="1160" customWidth="1"/>
    <col min="11" max="11" width="11.796875" style="1160" customWidth="1"/>
    <col min="12" max="12" width="6.3984375" style="1160" customWidth="1"/>
    <col min="13" max="16384" width="9.06640625" style="1160"/>
  </cols>
  <sheetData>
    <row r="1" spans="1:12" ht="10.5" customHeight="1" x14ac:dyDescent="0.35">
      <c r="A1" s="1159"/>
      <c r="B1" s="1159"/>
      <c r="C1" s="1159"/>
      <c r="D1" s="1159"/>
      <c r="E1" s="1159"/>
      <c r="F1" s="1159"/>
      <c r="G1" s="1159"/>
      <c r="H1" s="1159"/>
      <c r="I1" s="1159"/>
      <c r="J1" s="1159"/>
      <c r="K1" s="1159"/>
      <c r="L1" s="1159"/>
    </row>
    <row r="2" spans="1:12" ht="10.25" customHeight="1" x14ac:dyDescent="0.35">
      <c r="A2" s="1159"/>
      <c r="B2" s="1159"/>
      <c r="C2" s="1159"/>
      <c r="D2" s="1161" t="s">
        <v>826</v>
      </c>
      <c r="E2" s="1162"/>
      <c r="F2" s="1162"/>
      <c r="G2" s="1162"/>
      <c r="H2" s="1163"/>
      <c r="I2" s="1159"/>
      <c r="J2" s="1159"/>
      <c r="K2" s="1159"/>
      <c r="L2" s="1159"/>
    </row>
    <row r="3" spans="1:12" ht="10.25" customHeight="1" x14ac:dyDescent="0.35">
      <c r="A3" s="1159"/>
      <c r="B3" s="1164" t="s">
        <v>827</v>
      </c>
      <c r="C3" s="1159"/>
      <c r="D3" s="1159"/>
      <c r="E3" s="1159"/>
      <c r="F3" s="1159"/>
      <c r="G3" s="1159"/>
      <c r="H3" s="1159"/>
      <c r="I3" s="1159"/>
      <c r="J3" s="1159"/>
      <c r="K3" s="1159"/>
      <c r="L3" s="1159"/>
    </row>
    <row r="4" spans="1:12" ht="10.25" customHeight="1" x14ac:dyDescent="0.35">
      <c r="A4" s="1159"/>
      <c r="B4" s="1159"/>
      <c r="C4" s="1159"/>
      <c r="D4" s="1159"/>
      <c r="E4" s="1159"/>
      <c r="F4" s="1159"/>
      <c r="G4" s="1159"/>
      <c r="H4" s="1159"/>
      <c r="I4" s="1159"/>
      <c r="J4" s="1159"/>
      <c r="K4" s="1159"/>
      <c r="L4" s="1159"/>
    </row>
    <row r="5" spans="1:12" ht="10.25" customHeight="1" x14ac:dyDescent="0.35">
      <c r="A5" s="1159"/>
      <c r="B5" s="1165" t="s">
        <v>828</v>
      </c>
      <c r="C5" s="1166" t="s">
        <v>829</v>
      </c>
      <c r="D5" s="1167"/>
      <c r="E5" s="1167"/>
      <c r="F5" s="1167"/>
      <c r="G5" s="1168"/>
      <c r="H5" s="1159"/>
      <c r="I5" s="1159"/>
      <c r="J5" s="1159"/>
      <c r="K5" s="1159"/>
      <c r="L5" s="1159"/>
    </row>
    <row r="6" spans="1:12" ht="10.25" customHeight="1" x14ac:dyDescent="0.35">
      <c r="A6" s="1159"/>
      <c r="B6" s="1165" t="s">
        <v>830</v>
      </c>
      <c r="C6" s="1169">
        <v>60</v>
      </c>
      <c r="D6" s="1170"/>
      <c r="E6" s="1170"/>
      <c r="F6" s="1170"/>
      <c r="G6" s="1171"/>
      <c r="H6" s="1159"/>
      <c r="I6" s="1159"/>
      <c r="J6" s="1159"/>
      <c r="K6" s="1159"/>
      <c r="L6" s="1159"/>
    </row>
    <row r="7" spans="1:12" ht="10.25" customHeight="1" x14ac:dyDescent="0.35">
      <c r="A7" s="1159"/>
      <c r="B7" s="1165" t="s">
        <v>831</v>
      </c>
      <c r="C7" s="1169">
        <v>410</v>
      </c>
      <c r="D7" s="1170"/>
      <c r="E7" s="1170"/>
      <c r="F7" s="1170"/>
      <c r="G7" s="1171"/>
      <c r="H7" s="1159"/>
      <c r="I7" s="1159"/>
      <c r="J7" s="1159"/>
      <c r="K7" s="1159"/>
      <c r="L7" s="1159"/>
    </row>
    <row r="8" spans="1:12" ht="10.25" customHeight="1" x14ac:dyDescent="0.35">
      <c r="A8" s="1159"/>
      <c r="B8" s="1159"/>
      <c r="C8" s="1159"/>
      <c r="D8" s="1159"/>
      <c r="E8" s="1159"/>
      <c r="F8" s="1159"/>
      <c r="G8" s="1159"/>
      <c r="H8" s="1159"/>
      <c r="I8" s="1159"/>
      <c r="J8" s="1159"/>
      <c r="K8" s="1159"/>
      <c r="L8" s="1159"/>
    </row>
    <row r="9" spans="1:12" ht="10.25" customHeight="1" x14ac:dyDescent="0.35">
      <c r="A9" s="1159"/>
      <c r="B9" s="1165" t="s">
        <v>832</v>
      </c>
      <c r="C9" s="1166" t="s">
        <v>833</v>
      </c>
      <c r="D9" s="1167"/>
      <c r="E9" s="1167"/>
      <c r="F9" s="1167"/>
      <c r="G9" s="1168"/>
      <c r="H9" s="1159"/>
      <c r="I9" s="1159"/>
      <c r="J9" s="1159"/>
      <c r="K9" s="1159"/>
      <c r="L9" s="1159"/>
    </row>
    <row r="10" spans="1:12" ht="10.25" customHeight="1" x14ac:dyDescent="0.35">
      <c r="A10" s="1159"/>
      <c r="B10" s="1165" t="s">
        <v>834</v>
      </c>
      <c r="C10" s="1166" t="s">
        <v>835</v>
      </c>
      <c r="D10" s="1167"/>
      <c r="E10" s="1167"/>
      <c r="F10" s="1167"/>
      <c r="G10" s="1168"/>
      <c r="H10" s="1159"/>
      <c r="I10" s="1159"/>
      <c r="J10" s="1159"/>
      <c r="K10" s="1159"/>
      <c r="L10" s="1159"/>
    </row>
    <row r="11" spans="1:12" ht="10.25" customHeight="1" x14ac:dyDescent="0.35">
      <c r="A11" s="1159"/>
      <c r="B11" s="1165" t="s">
        <v>836</v>
      </c>
      <c r="C11" s="1166" t="s">
        <v>837</v>
      </c>
      <c r="D11" s="1167"/>
      <c r="E11" s="1167"/>
      <c r="F11" s="1167"/>
      <c r="G11" s="1167"/>
      <c r="H11" s="1172"/>
      <c r="I11" s="1159"/>
      <c r="J11" s="1159"/>
      <c r="K11" s="1159"/>
      <c r="L11" s="1159"/>
    </row>
    <row r="12" spans="1:12" ht="10.25" customHeight="1" x14ac:dyDescent="0.35">
      <c r="A12" s="1159"/>
      <c r="B12" s="1159"/>
      <c r="C12" s="1159"/>
      <c r="D12" s="1159"/>
      <c r="E12" s="1159"/>
      <c r="F12" s="1159"/>
      <c r="G12" s="1159"/>
      <c r="H12" s="1159"/>
      <c r="I12" s="1159"/>
      <c r="J12" s="1159"/>
      <c r="K12" s="1159"/>
      <c r="L12" s="1159"/>
    </row>
    <row r="13" spans="1:12" ht="16.5" customHeight="1" x14ac:dyDescent="0.35">
      <c r="A13" s="1173"/>
      <c r="B13" s="1174"/>
      <c r="C13" s="1175"/>
      <c r="D13" s="1175"/>
      <c r="E13" s="1175"/>
      <c r="F13" s="1175"/>
      <c r="G13" s="1175"/>
      <c r="H13" s="1176"/>
      <c r="I13" s="1173"/>
      <c r="J13" s="1173"/>
      <c r="K13" s="1173"/>
      <c r="L13" s="1173"/>
    </row>
    <row r="14" spans="1:12" ht="10.25" customHeight="1" x14ac:dyDescent="0.35">
      <c r="A14" s="1159"/>
      <c r="B14" s="1159"/>
      <c r="C14" s="1159"/>
      <c r="D14" s="1159"/>
      <c r="E14" s="1159"/>
      <c r="F14" s="1159"/>
      <c r="G14" s="1159"/>
      <c r="H14" s="1159"/>
      <c r="I14" s="1159"/>
      <c r="J14" s="1159"/>
      <c r="K14" s="1159"/>
      <c r="L14" s="1159"/>
    </row>
    <row r="15" spans="1:12" ht="10.25" customHeight="1" x14ac:dyDescent="0.35">
      <c r="A15" s="1159"/>
      <c r="B15" s="1159"/>
      <c r="C15" s="1159"/>
      <c r="D15" s="1159"/>
      <c r="E15" s="1159"/>
      <c r="F15" s="1159"/>
      <c r="G15" s="1159"/>
      <c r="H15" s="1159"/>
      <c r="I15" s="1159"/>
      <c r="J15" s="1159"/>
      <c r="K15" s="1159"/>
      <c r="L15" s="1159"/>
    </row>
    <row r="16" spans="1:12" ht="25.8" customHeight="1" x14ac:dyDescent="0.35">
      <c r="A16" s="1177" t="s">
        <v>838</v>
      </c>
      <c r="B16" s="1178"/>
      <c r="C16" s="1178"/>
      <c r="D16" s="1178"/>
      <c r="E16" s="1179"/>
      <c r="F16" s="1180" t="s">
        <v>839</v>
      </c>
      <c r="G16" s="1181" t="s">
        <v>840</v>
      </c>
      <c r="H16" s="1180" t="s">
        <v>841</v>
      </c>
      <c r="I16" s="1181" t="s">
        <v>842</v>
      </c>
      <c r="J16" s="1182" t="s">
        <v>843</v>
      </c>
      <c r="K16" s="1180" t="s">
        <v>844</v>
      </c>
      <c r="L16" s="1183"/>
    </row>
    <row r="17" spans="1:12" ht="10.25" customHeight="1" x14ac:dyDescent="0.35">
      <c r="A17" s="1164" t="s">
        <v>845</v>
      </c>
      <c r="B17" s="1164" t="s">
        <v>846</v>
      </c>
      <c r="C17" s="1159"/>
      <c r="D17" s="1159"/>
      <c r="E17" s="1159"/>
      <c r="F17" s="1159"/>
      <c r="G17" s="1159"/>
      <c r="H17" s="1159"/>
      <c r="I17" s="1159"/>
      <c r="J17" s="1159"/>
      <c r="K17" s="1159"/>
      <c r="L17" s="1159"/>
    </row>
    <row r="18" spans="1:12" ht="10.25" customHeight="1" x14ac:dyDescent="0.35">
      <c r="A18" s="1165" t="s">
        <v>847</v>
      </c>
      <c r="B18" s="1184" t="s">
        <v>848</v>
      </c>
      <c r="C18" s="1159"/>
      <c r="D18" s="1159"/>
      <c r="E18" s="1159"/>
      <c r="F18" s="1185" t="s">
        <v>849</v>
      </c>
      <c r="G18" s="1185" t="s">
        <v>849</v>
      </c>
      <c r="H18" s="1186">
        <v>1000245</v>
      </c>
      <c r="I18" s="1187">
        <v>0</v>
      </c>
      <c r="J18" s="1186">
        <v>831531</v>
      </c>
      <c r="K18" s="1186">
        <v>168714</v>
      </c>
      <c r="L18" s="1159"/>
    </row>
    <row r="19" spans="1:12" ht="25.8" customHeight="1" x14ac:dyDescent="0.35">
      <c r="A19" s="1177" t="s">
        <v>850</v>
      </c>
      <c r="B19" s="1178"/>
      <c r="C19" s="1178"/>
      <c r="D19" s="1178"/>
      <c r="E19" s="1179"/>
      <c r="F19" s="1180" t="s">
        <v>839</v>
      </c>
      <c r="G19" s="1181" t="s">
        <v>840</v>
      </c>
      <c r="H19" s="1180" t="s">
        <v>841</v>
      </c>
      <c r="I19" s="1181" t="s">
        <v>842</v>
      </c>
      <c r="J19" s="1182" t="s">
        <v>843</v>
      </c>
      <c r="K19" s="1180" t="s">
        <v>844</v>
      </c>
      <c r="L19" s="1183"/>
    </row>
    <row r="20" spans="1:12" ht="10.25" customHeight="1" x14ac:dyDescent="0.35">
      <c r="A20" s="1164" t="s">
        <v>851</v>
      </c>
      <c r="B20" s="1164" t="s">
        <v>852</v>
      </c>
      <c r="C20" s="1159"/>
      <c r="D20" s="1159"/>
      <c r="E20" s="1159"/>
      <c r="F20" s="1159"/>
      <c r="G20" s="1159"/>
      <c r="H20" s="1159"/>
      <c r="I20" s="1159"/>
      <c r="J20" s="1159"/>
      <c r="K20" s="1159"/>
      <c r="L20" s="1159"/>
    </row>
    <row r="21" spans="1:12" ht="10.25" customHeight="1" x14ac:dyDescent="0.35">
      <c r="A21" s="1165" t="s">
        <v>853</v>
      </c>
      <c r="B21" s="1184" t="s">
        <v>854</v>
      </c>
      <c r="C21" s="1159"/>
      <c r="D21" s="1159"/>
      <c r="E21" s="1159"/>
      <c r="F21" s="1188"/>
      <c r="G21" s="1188"/>
      <c r="H21" s="1188"/>
      <c r="I21" s="1187">
        <v>0</v>
      </c>
      <c r="J21" s="1188"/>
      <c r="K21" s="1187">
        <v>0</v>
      </c>
      <c r="L21" s="1159"/>
    </row>
    <row r="22" spans="1:12" ht="10.25" customHeight="1" x14ac:dyDescent="0.35">
      <c r="A22" s="1165" t="s">
        <v>855</v>
      </c>
      <c r="B22" s="1184" t="s">
        <v>856</v>
      </c>
      <c r="C22" s="1159"/>
      <c r="D22" s="1159"/>
      <c r="E22" s="1159"/>
      <c r="F22" s="1188"/>
      <c r="G22" s="1188"/>
      <c r="H22" s="1188"/>
      <c r="I22" s="1187">
        <v>0</v>
      </c>
      <c r="J22" s="1188"/>
      <c r="K22" s="1187">
        <v>0</v>
      </c>
      <c r="L22" s="1159"/>
    </row>
    <row r="23" spans="1:12" ht="10.25" customHeight="1" x14ac:dyDescent="0.35">
      <c r="A23" s="1165" t="s">
        <v>857</v>
      </c>
      <c r="B23" s="1184" t="s">
        <v>858</v>
      </c>
      <c r="C23" s="1159"/>
      <c r="D23" s="1159"/>
      <c r="E23" s="1159"/>
      <c r="F23" s="1188"/>
      <c r="G23" s="1188"/>
      <c r="H23" s="1188"/>
      <c r="I23" s="1187">
        <v>0</v>
      </c>
      <c r="J23" s="1188"/>
      <c r="K23" s="1187">
        <v>0</v>
      </c>
      <c r="L23" s="1159"/>
    </row>
    <row r="24" spans="1:12" ht="10.25" customHeight="1" x14ac:dyDescent="0.35">
      <c r="A24" s="1165" t="s">
        <v>859</v>
      </c>
      <c r="B24" s="1184" t="s">
        <v>860</v>
      </c>
      <c r="C24" s="1159"/>
      <c r="D24" s="1159"/>
      <c r="E24" s="1159"/>
      <c r="F24" s="1188"/>
      <c r="G24" s="1188"/>
      <c r="H24" s="1188"/>
      <c r="I24" s="1187">
        <v>0</v>
      </c>
      <c r="J24" s="1188"/>
      <c r="K24" s="1187">
        <v>0</v>
      </c>
      <c r="L24" s="1159"/>
    </row>
    <row r="25" spans="1:12" ht="10.25" customHeight="1" x14ac:dyDescent="0.35">
      <c r="A25" s="1165" t="s">
        <v>861</v>
      </c>
      <c r="B25" s="1184" t="s">
        <v>862</v>
      </c>
      <c r="C25" s="1159"/>
      <c r="D25" s="1159"/>
      <c r="E25" s="1159"/>
      <c r="F25" s="1189">
        <v>277</v>
      </c>
      <c r="G25" s="1190">
        <v>1128</v>
      </c>
      <c r="H25" s="1186">
        <v>12577.5</v>
      </c>
      <c r="I25" s="1187">
        <v>670</v>
      </c>
      <c r="J25" s="1188"/>
      <c r="K25" s="1186">
        <v>13247.5</v>
      </c>
      <c r="L25" s="1159"/>
    </row>
    <row r="26" spans="1:12" ht="10.25" customHeight="1" x14ac:dyDescent="0.35">
      <c r="A26" s="1165" t="s">
        <v>863</v>
      </c>
      <c r="B26" s="1184" t="s">
        <v>864</v>
      </c>
      <c r="C26" s="1159"/>
      <c r="D26" s="1159"/>
      <c r="E26" s="1159"/>
      <c r="F26" s="1188"/>
      <c r="G26" s="1188"/>
      <c r="H26" s="1188"/>
      <c r="I26" s="1187">
        <v>0</v>
      </c>
      <c r="J26" s="1188"/>
      <c r="K26" s="1187">
        <v>0</v>
      </c>
      <c r="L26" s="1159"/>
    </row>
    <row r="27" spans="1:12" ht="10.25" customHeight="1" x14ac:dyDescent="0.35">
      <c r="A27" s="1165" t="s">
        <v>865</v>
      </c>
      <c r="B27" s="1184" t="s">
        <v>866</v>
      </c>
      <c r="C27" s="1159"/>
      <c r="D27" s="1159"/>
      <c r="E27" s="1159"/>
      <c r="F27" s="1188"/>
      <c r="G27" s="1188"/>
      <c r="H27" s="1188"/>
      <c r="I27" s="1187">
        <v>0</v>
      </c>
      <c r="J27" s="1188"/>
      <c r="K27" s="1187">
        <v>0</v>
      </c>
      <c r="L27" s="1159"/>
    </row>
    <row r="28" spans="1:12" ht="10.25" customHeight="1" x14ac:dyDescent="0.35">
      <c r="A28" s="1165" t="s">
        <v>867</v>
      </c>
      <c r="B28" s="1184" t="s">
        <v>868</v>
      </c>
      <c r="C28" s="1159"/>
      <c r="D28" s="1159"/>
      <c r="E28" s="1159"/>
      <c r="F28" s="1188"/>
      <c r="G28" s="1188"/>
      <c r="H28" s="1188"/>
      <c r="I28" s="1187">
        <v>0</v>
      </c>
      <c r="J28" s="1188"/>
      <c r="K28" s="1187">
        <v>0</v>
      </c>
      <c r="L28" s="1159"/>
    </row>
    <row r="29" spans="1:12" ht="10.25" customHeight="1" x14ac:dyDescent="0.35">
      <c r="A29" s="1165" t="s">
        <v>869</v>
      </c>
      <c r="B29" s="1184" t="s">
        <v>870</v>
      </c>
      <c r="C29" s="1159"/>
      <c r="D29" s="1159"/>
      <c r="E29" s="1159"/>
      <c r="F29" s="1188"/>
      <c r="G29" s="1188"/>
      <c r="H29" s="1188"/>
      <c r="I29" s="1187">
        <v>0</v>
      </c>
      <c r="J29" s="1188"/>
      <c r="K29" s="1187">
        <v>0</v>
      </c>
      <c r="L29" s="1159"/>
    </row>
    <row r="30" spans="1:12" ht="10.25" customHeight="1" x14ac:dyDescent="0.35">
      <c r="A30" s="1165" t="s">
        <v>871</v>
      </c>
      <c r="B30" s="1191" t="s">
        <v>872</v>
      </c>
      <c r="C30" s="1192"/>
      <c r="D30" s="1193"/>
      <c r="E30" s="1159"/>
      <c r="F30" s="1190">
        <v>2080</v>
      </c>
      <c r="G30" s="1190">
        <v>2300</v>
      </c>
      <c r="H30" s="1186">
        <v>88516.47</v>
      </c>
      <c r="I30" s="1186">
        <v>13277.47</v>
      </c>
      <c r="J30" s="1188"/>
      <c r="K30" s="1186">
        <v>101793.94</v>
      </c>
      <c r="L30" s="1159"/>
    </row>
    <row r="31" spans="1:12" ht="10.25" customHeight="1" x14ac:dyDescent="0.35">
      <c r="A31" s="1165" t="s">
        <v>873</v>
      </c>
      <c r="B31" s="1194"/>
      <c r="C31" s="1195"/>
      <c r="D31" s="1196"/>
      <c r="E31" s="1159"/>
      <c r="F31" s="1188"/>
      <c r="G31" s="1188"/>
      <c r="H31" s="1188"/>
      <c r="I31" s="1187">
        <v>0</v>
      </c>
      <c r="J31" s="1188"/>
      <c r="K31" s="1187">
        <v>0</v>
      </c>
      <c r="L31" s="1159"/>
    </row>
    <row r="32" spans="1:12" ht="10.25" customHeight="1" x14ac:dyDescent="0.35">
      <c r="A32" s="1165" t="s">
        <v>874</v>
      </c>
      <c r="B32" s="1194"/>
      <c r="C32" s="1195"/>
      <c r="D32" s="1196"/>
      <c r="E32" s="1159"/>
      <c r="F32" s="1188"/>
      <c r="G32" s="1188"/>
      <c r="H32" s="1188"/>
      <c r="I32" s="1187">
        <v>0</v>
      </c>
      <c r="J32" s="1188"/>
      <c r="K32" s="1187">
        <v>0</v>
      </c>
      <c r="L32" s="1159"/>
    </row>
    <row r="33" spans="1:12" ht="10.25" customHeight="1" x14ac:dyDescent="0.35">
      <c r="A33" s="1165" t="s">
        <v>875</v>
      </c>
      <c r="B33" s="1194"/>
      <c r="C33" s="1195"/>
      <c r="D33" s="1196"/>
      <c r="E33" s="1159"/>
      <c r="F33" s="1188"/>
      <c r="G33" s="1188"/>
      <c r="H33" s="1188"/>
      <c r="I33" s="1187">
        <v>0</v>
      </c>
      <c r="J33" s="1188"/>
      <c r="K33" s="1187">
        <v>0</v>
      </c>
      <c r="L33" s="1159"/>
    </row>
    <row r="34" spans="1:12" ht="10.25" customHeight="1" x14ac:dyDescent="0.35">
      <c r="A34" s="1165" t="s">
        <v>876</v>
      </c>
      <c r="B34" s="1194"/>
      <c r="C34" s="1195"/>
      <c r="D34" s="1196"/>
      <c r="E34" s="1159"/>
      <c r="F34" s="1188"/>
      <c r="G34" s="1188"/>
      <c r="H34" s="1188"/>
      <c r="I34" s="1187">
        <v>0</v>
      </c>
      <c r="J34" s="1188"/>
      <c r="K34" s="1187">
        <v>0</v>
      </c>
      <c r="L34" s="1159"/>
    </row>
    <row r="35" spans="1:12" ht="10.25" customHeight="1" x14ac:dyDescent="0.35">
      <c r="A35" s="1159"/>
      <c r="B35" s="1159"/>
      <c r="C35" s="1159"/>
      <c r="D35" s="1159"/>
      <c r="E35" s="1159"/>
      <c r="F35" s="1159"/>
      <c r="G35" s="1159"/>
      <c r="H35" s="1159"/>
      <c r="I35" s="1159"/>
      <c r="J35" s="1159"/>
      <c r="K35" s="1159"/>
      <c r="L35" s="1159"/>
    </row>
    <row r="36" spans="1:12" ht="10.25" customHeight="1" x14ac:dyDescent="0.35">
      <c r="A36" s="1164" t="s">
        <v>877</v>
      </c>
      <c r="B36" s="1164" t="s">
        <v>878</v>
      </c>
      <c r="C36" s="1159"/>
      <c r="D36" s="1159"/>
      <c r="E36" s="1197" t="s">
        <v>879</v>
      </c>
      <c r="F36" s="1190">
        <v>2357</v>
      </c>
      <c r="G36" s="1190">
        <v>3428</v>
      </c>
      <c r="H36" s="1190">
        <v>101094</v>
      </c>
      <c r="I36" s="1186">
        <v>13947.47</v>
      </c>
      <c r="J36" s="1187">
        <v>0</v>
      </c>
      <c r="K36" s="1186">
        <v>115041.44</v>
      </c>
      <c r="L36" s="1159"/>
    </row>
    <row r="37" spans="1:12" ht="10.25" customHeight="1" x14ac:dyDescent="0.35">
      <c r="A37" s="1159"/>
      <c r="B37" s="1159"/>
      <c r="C37" s="1159"/>
      <c r="D37" s="1159"/>
      <c r="E37" s="1159"/>
      <c r="F37" s="1159"/>
      <c r="G37" s="1159"/>
      <c r="H37" s="1159"/>
      <c r="I37" s="1159"/>
      <c r="J37" s="1159"/>
      <c r="K37" s="1159"/>
      <c r="L37" s="1159"/>
    </row>
    <row r="38" spans="1:12" ht="28.5" customHeight="1" x14ac:dyDescent="0.25">
      <c r="A38" s="1183"/>
      <c r="B38" s="1183"/>
      <c r="C38" s="1183"/>
      <c r="D38" s="1183"/>
      <c r="E38" s="1183"/>
      <c r="F38" s="1198" t="s">
        <v>839</v>
      </c>
      <c r="G38" s="1199" t="s">
        <v>840</v>
      </c>
      <c r="H38" s="1200" t="s">
        <v>841</v>
      </c>
      <c r="I38" s="1199" t="s">
        <v>842</v>
      </c>
      <c r="J38" s="1201" t="s">
        <v>843</v>
      </c>
      <c r="K38" s="1164" t="s">
        <v>844</v>
      </c>
      <c r="L38" s="1183"/>
    </row>
    <row r="39" spans="1:12" ht="10.8" customHeight="1" x14ac:dyDescent="0.35">
      <c r="A39" s="1164" t="s">
        <v>880</v>
      </c>
      <c r="B39" s="1164" t="s">
        <v>881</v>
      </c>
      <c r="C39" s="1159"/>
      <c r="D39" s="1159"/>
      <c r="E39" s="1159"/>
      <c r="F39" s="1159"/>
      <c r="G39" s="1159"/>
      <c r="H39" s="1159"/>
      <c r="I39" s="1159"/>
      <c r="J39" s="1159"/>
      <c r="K39" s="1159"/>
      <c r="L39" s="1159"/>
    </row>
    <row r="40" spans="1:12" ht="10.25" customHeight="1" x14ac:dyDescent="0.35">
      <c r="A40" s="1165" t="s">
        <v>882</v>
      </c>
      <c r="B40" s="1184" t="s">
        <v>883</v>
      </c>
      <c r="C40" s="1159"/>
      <c r="D40" s="1159"/>
      <c r="E40" s="1159"/>
      <c r="F40" s="1188"/>
      <c r="G40" s="1188"/>
      <c r="H40" s="1188"/>
      <c r="I40" s="1187">
        <v>0</v>
      </c>
      <c r="J40" s="1188"/>
      <c r="K40" s="1187">
        <v>0</v>
      </c>
      <c r="L40" s="1159"/>
    </row>
    <row r="41" spans="1:12" ht="10.25" customHeight="1" x14ac:dyDescent="0.35">
      <c r="A41" s="1165" t="s">
        <v>884</v>
      </c>
      <c r="B41" s="1202" t="s">
        <v>885</v>
      </c>
      <c r="C41" s="1203"/>
      <c r="D41" s="1159"/>
      <c r="E41" s="1159"/>
      <c r="F41" s="1190">
        <v>2700</v>
      </c>
      <c r="G41" s="1189">
        <v>36</v>
      </c>
      <c r="H41" s="1186">
        <v>125770.9</v>
      </c>
      <c r="I41" s="1186">
        <v>18865.63</v>
      </c>
      <c r="J41" s="1188"/>
      <c r="K41" s="1186">
        <v>144636.53</v>
      </c>
      <c r="L41" s="1159"/>
    </row>
    <row r="42" spans="1:12" ht="10.25" customHeight="1" x14ac:dyDescent="0.35">
      <c r="A42" s="1165" t="s">
        <v>886</v>
      </c>
      <c r="B42" s="1184" t="s">
        <v>887</v>
      </c>
      <c r="C42" s="1159"/>
      <c r="D42" s="1159"/>
      <c r="E42" s="1159"/>
      <c r="F42" s="1188"/>
      <c r="G42" s="1188"/>
      <c r="H42" s="1188"/>
      <c r="I42" s="1187">
        <v>0</v>
      </c>
      <c r="J42" s="1188"/>
      <c r="K42" s="1187">
        <v>0</v>
      </c>
      <c r="L42" s="1159"/>
    </row>
    <row r="43" spans="1:12" ht="10.25" customHeight="1" x14ac:dyDescent="0.35">
      <c r="A43" s="1165" t="s">
        <v>888</v>
      </c>
      <c r="B43" s="1184" t="s">
        <v>889</v>
      </c>
      <c r="C43" s="1159"/>
      <c r="D43" s="1159"/>
      <c r="E43" s="1159"/>
      <c r="F43" s="1188"/>
      <c r="G43" s="1188"/>
      <c r="H43" s="1188"/>
      <c r="I43" s="1187">
        <v>0</v>
      </c>
      <c r="J43" s="1188"/>
      <c r="K43" s="1187">
        <v>0</v>
      </c>
      <c r="L43" s="1159"/>
    </row>
    <row r="44" spans="1:12" ht="10.25" customHeight="1" x14ac:dyDescent="0.35">
      <c r="A44" s="1165" t="s">
        <v>890</v>
      </c>
      <c r="B44" s="1194"/>
      <c r="C44" s="1195"/>
      <c r="D44" s="1196"/>
      <c r="E44" s="1159"/>
      <c r="F44" s="1188"/>
      <c r="G44" s="1188"/>
      <c r="H44" s="1188"/>
      <c r="I44" s="1187">
        <v>0</v>
      </c>
      <c r="J44" s="1188"/>
      <c r="K44" s="1187">
        <v>0</v>
      </c>
      <c r="L44" s="1159"/>
    </row>
    <row r="45" spans="1:12" ht="10.25" customHeight="1" x14ac:dyDescent="0.35">
      <c r="A45" s="1165" t="s">
        <v>891</v>
      </c>
      <c r="B45" s="1194"/>
      <c r="C45" s="1195"/>
      <c r="D45" s="1196"/>
      <c r="E45" s="1159"/>
      <c r="F45" s="1188"/>
      <c r="G45" s="1188"/>
      <c r="H45" s="1188"/>
      <c r="I45" s="1187">
        <v>0</v>
      </c>
      <c r="J45" s="1188"/>
      <c r="K45" s="1187">
        <v>0</v>
      </c>
      <c r="L45" s="1159"/>
    </row>
    <row r="46" spans="1:12" ht="10.25" customHeight="1" x14ac:dyDescent="0.35">
      <c r="A46" s="1165" t="s">
        <v>892</v>
      </c>
      <c r="B46" s="1194"/>
      <c r="C46" s="1195"/>
      <c r="D46" s="1196"/>
      <c r="E46" s="1159"/>
      <c r="F46" s="1188"/>
      <c r="G46" s="1188"/>
      <c r="H46" s="1188"/>
      <c r="I46" s="1187">
        <v>0</v>
      </c>
      <c r="J46" s="1188"/>
      <c r="K46" s="1187">
        <v>0</v>
      </c>
      <c r="L46" s="1159"/>
    </row>
    <row r="47" spans="1:12" ht="10.25" customHeight="1" x14ac:dyDescent="0.35">
      <c r="A47" s="1165" t="s">
        <v>893</v>
      </c>
      <c r="B47" s="1194"/>
      <c r="C47" s="1195"/>
      <c r="D47" s="1196"/>
      <c r="E47" s="1159"/>
      <c r="F47" s="1188"/>
      <c r="G47" s="1188"/>
      <c r="H47" s="1188"/>
      <c r="I47" s="1187">
        <v>0</v>
      </c>
      <c r="J47" s="1188"/>
      <c r="K47" s="1187">
        <v>0</v>
      </c>
      <c r="L47" s="1159"/>
    </row>
    <row r="48" spans="1:12" ht="10.25" customHeight="1" x14ac:dyDescent="0.35">
      <c r="A48" s="1159"/>
      <c r="B48" s="1159"/>
      <c r="C48" s="1159"/>
      <c r="D48" s="1159"/>
      <c r="E48" s="1159"/>
      <c r="F48" s="1159"/>
      <c r="G48" s="1159"/>
      <c r="H48" s="1159"/>
      <c r="I48" s="1159"/>
      <c r="J48" s="1159"/>
      <c r="K48" s="1159"/>
      <c r="L48" s="1159"/>
    </row>
    <row r="49" spans="1:12" ht="10.25" customHeight="1" x14ac:dyDescent="0.35">
      <c r="A49" s="1164" t="s">
        <v>894</v>
      </c>
      <c r="B49" s="1164" t="s">
        <v>895</v>
      </c>
      <c r="C49" s="1159"/>
      <c r="D49" s="1159"/>
      <c r="E49" s="1197" t="s">
        <v>879</v>
      </c>
      <c r="F49" s="1189">
        <v>2700</v>
      </c>
      <c r="G49" s="1189">
        <v>36</v>
      </c>
      <c r="H49" s="1186">
        <v>125770.9</v>
      </c>
      <c r="I49" s="1186">
        <v>18865.63</v>
      </c>
      <c r="J49" s="1187">
        <v>0</v>
      </c>
      <c r="K49" s="1186">
        <v>144636.53</v>
      </c>
      <c r="L49" s="1159"/>
    </row>
    <row r="50" spans="1:12" ht="10.25" customHeight="1" x14ac:dyDescent="0.35">
      <c r="A50" s="1159"/>
      <c r="B50" s="1159"/>
      <c r="C50" s="1159"/>
      <c r="D50" s="1159"/>
      <c r="E50" s="1159"/>
      <c r="F50" s="1159"/>
      <c r="G50" s="1159"/>
      <c r="H50" s="1159"/>
      <c r="I50" s="1159"/>
      <c r="J50" s="1159"/>
      <c r="K50" s="1159"/>
      <c r="L50" s="1159"/>
    </row>
    <row r="51" spans="1:12" ht="28.5" customHeight="1" x14ac:dyDescent="0.25">
      <c r="A51" s="1183"/>
      <c r="B51" s="1183"/>
      <c r="C51" s="1183"/>
      <c r="D51" s="1183"/>
      <c r="E51" s="1183"/>
      <c r="F51" s="1204" t="s">
        <v>839</v>
      </c>
      <c r="G51" s="1199" t="s">
        <v>840</v>
      </c>
      <c r="H51" s="1200" t="s">
        <v>841</v>
      </c>
      <c r="I51" s="1199" t="s">
        <v>842</v>
      </c>
      <c r="J51" s="1201" t="s">
        <v>843</v>
      </c>
      <c r="K51" s="1164" t="s">
        <v>844</v>
      </c>
      <c r="L51" s="1183"/>
    </row>
    <row r="52" spans="1:12" ht="10.25" customHeight="1" x14ac:dyDescent="0.35">
      <c r="A52" s="1164" t="s">
        <v>896</v>
      </c>
      <c r="B52" s="1205" t="s">
        <v>897</v>
      </c>
      <c r="C52" s="1206"/>
      <c r="D52" s="1159"/>
      <c r="E52" s="1159"/>
      <c r="F52" s="1159"/>
      <c r="G52" s="1159"/>
      <c r="H52" s="1159"/>
      <c r="I52" s="1159"/>
      <c r="J52" s="1159"/>
      <c r="K52" s="1159"/>
      <c r="L52" s="1159"/>
    </row>
    <row r="53" spans="1:12" ht="10.25" customHeight="1" x14ac:dyDescent="0.35">
      <c r="A53" s="1165" t="s">
        <v>898</v>
      </c>
      <c r="B53" s="1207" t="s">
        <v>899</v>
      </c>
      <c r="C53" s="1208"/>
      <c r="D53" s="1209"/>
      <c r="E53" s="1159"/>
      <c r="F53" s="1190">
        <v>4424</v>
      </c>
      <c r="G53" s="1190">
        <v>11498</v>
      </c>
      <c r="H53" s="1186">
        <v>1591206</v>
      </c>
      <c r="I53" s="1186">
        <v>10360</v>
      </c>
      <c r="J53" s="1186">
        <v>229823</v>
      </c>
      <c r="K53" s="1186">
        <v>1371743</v>
      </c>
      <c r="L53" s="1159"/>
    </row>
    <row r="54" spans="1:12" ht="10.25" customHeight="1" x14ac:dyDescent="0.35">
      <c r="A54" s="1165" t="s">
        <v>900</v>
      </c>
      <c r="B54" s="1194"/>
      <c r="C54" s="1195"/>
      <c r="D54" s="1196"/>
      <c r="E54" s="1159"/>
      <c r="F54" s="1188"/>
      <c r="G54" s="1188"/>
      <c r="H54" s="1188"/>
      <c r="I54" s="1187">
        <v>0</v>
      </c>
      <c r="J54" s="1188"/>
      <c r="K54" s="1187">
        <v>0</v>
      </c>
      <c r="L54" s="1159"/>
    </row>
    <row r="55" spans="1:12" ht="10.25" customHeight="1" x14ac:dyDescent="0.35">
      <c r="A55" s="1165" t="s">
        <v>901</v>
      </c>
      <c r="B55" s="1194"/>
      <c r="C55" s="1195"/>
      <c r="D55" s="1196"/>
      <c r="E55" s="1159"/>
      <c r="F55" s="1188"/>
      <c r="G55" s="1188"/>
      <c r="H55" s="1188"/>
      <c r="I55" s="1187">
        <v>0</v>
      </c>
      <c r="J55" s="1188"/>
      <c r="K55" s="1187">
        <v>0</v>
      </c>
      <c r="L55" s="1159"/>
    </row>
    <row r="56" spans="1:12" ht="10.25" customHeight="1" x14ac:dyDescent="0.35">
      <c r="A56" s="1165" t="s">
        <v>902</v>
      </c>
      <c r="B56" s="1194"/>
      <c r="C56" s="1195"/>
      <c r="D56" s="1196"/>
      <c r="E56" s="1159"/>
      <c r="F56" s="1188"/>
      <c r="G56" s="1188"/>
      <c r="H56" s="1188"/>
      <c r="I56" s="1187">
        <v>0</v>
      </c>
      <c r="J56" s="1188"/>
      <c r="K56" s="1187">
        <v>0</v>
      </c>
      <c r="L56" s="1159"/>
    </row>
    <row r="57" spans="1:12" ht="10.25" customHeight="1" x14ac:dyDescent="0.35">
      <c r="A57" s="1165" t="s">
        <v>903</v>
      </c>
      <c r="B57" s="1194"/>
      <c r="C57" s="1195"/>
      <c r="D57" s="1196"/>
      <c r="E57" s="1159"/>
      <c r="F57" s="1188"/>
      <c r="G57" s="1188"/>
      <c r="H57" s="1188"/>
      <c r="I57" s="1187">
        <v>0</v>
      </c>
      <c r="J57" s="1188"/>
      <c r="K57" s="1187">
        <v>0</v>
      </c>
      <c r="L57" s="1159"/>
    </row>
    <row r="58" spans="1:12" ht="10.25" customHeight="1" x14ac:dyDescent="0.35">
      <c r="A58" s="1165" t="s">
        <v>904</v>
      </c>
      <c r="B58" s="1194"/>
      <c r="C58" s="1195"/>
      <c r="D58" s="1196"/>
      <c r="E58" s="1159"/>
      <c r="F58" s="1188"/>
      <c r="G58" s="1188"/>
      <c r="H58" s="1188"/>
      <c r="I58" s="1187">
        <v>0</v>
      </c>
      <c r="J58" s="1188"/>
      <c r="K58" s="1187">
        <v>0</v>
      </c>
      <c r="L58" s="1159"/>
    </row>
    <row r="59" spans="1:12" ht="10.25" customHeight="1" x14ac:dyDescent="0.35">
      <c r="A59" s="1165" t="s">
        <v>905</v>
      </c>
      <c r="B59" s="1194"/>
      <c r="C59" s="1195"/>
      <c r="D59" s="1196"/>
      <c r="E59" s="1159"/>
      <c r="F59" s="1188"/>
      <c r="G59" s="1188"/>
      <c r="H59" s="1188"/>
      <c r="I59" s="1187">
        <v>0</v>
      </c>
      <c r="J59" s="1188"/>
      <c r="K59" s="1187">
        <v>0</v>
      </c>
      <c r="L59" s="1159"/>
    </row>
    <row r="60" spans="1:12" ht="10.25" customHeight="1" x14ac:dyDescent="0.35">
      <c r="A60" s="1165" t="s">
        <v>906</v>
      </c>
      <c r="B60" s="1194"/>
      <c r="C60" s="1195"/>
      <c r="D60" s="1196"/>
      <c r="E60" s="1159"/>
      <c r="F60" s="1188"/>
      <c r="G60" s="1188"/>
      <c r="H60" s="1188"/>
      <c r="I60" s="1187">
        <v>0</v>
      </c>
      <c r="J60" s="1188"/>
      <c r="K60" s="1187">
        <v>0</v>
      </c>
      <c r="L60" s="1159"/>
    </row>
    <row r="61" spans="1:12" ht="10.25" customHeight="1" x14ac:dyDescent="0.35">
      <c r="A61" s="1165" t="s">
        <v>907</v>
      </c>
      <c r="B61" s="1194"/>
      <c r="C61" s="1195"/>
      <c r="D61" s="1196"/>
      <c r="E61" s="1159"/>
      <c r="F61" s="1188"/>
      <c r="G61" s="1188"/>
      <c r="H61" s="1188"/>
      <c r="I61" s="1187">
        <v>0</v>
      </c>
      <c r="J61" s="1188"/>
      <c r="K61" s="1187">
        <v>0</v>
      </c>
      <c r="L61" s="1159"/>
    </row>
    <row r="62" spans="1:12" ht="10.25" customHeight="1" x14ac:dyDescent="0.35">
      <c r="A62" s="1165" t="s">
        <v>908</v>
      </c>
      <c r="B62" s="1194"/>
      <c r="C62" s="1195"/>
      <c r="D62" s="1196"/>
      <c r="E62" s="1159"/>
      <c r="F62" s="1188"/>
      <c r="G62" s="1188"/>
      <c r="H62" s="1188"/>
      <c r="I62" s="1187">
        <v>0</v>
      </c>
      <c r="J62" s="1188"/>
      <c r="K62" s="1187">
        <v>0</v>
      </c>
      <c r="L62" s="1159"/>
    </row>
    <row r="63" spans="1:12" ht="10.25" customHeight="1" x14ac:dyDescent="0.35">
      <c r="A63" s="1159"/>
      <c r="B63" s="1159"/>
      <c r="C63" s="1159"/>
      <c r="D63" s="1159"/>
      <c r="E63" s="1159"/>
      <c r="F63" s="1159"/>
      <c r="G63" s="1159"/>
      <c r="H63" s="1159"/>
      <c r="I63" s="1210"/>
      <c r="J63" s="1211"/>
      <c r="K63" s="1159"/>
      <c r="L63" s="1159"/>
    </row>
    <row r="64" spans="1:12" ht="10.25" customHeight="1" x14ac:dyDescent="0.35">
      <c r="A64" s="1165" t="s">
        <v>909</v>
      </c>
      <c r="B64" s="1164" t="s">
        <v>910</v>
      </c>
      <c r="C64" s="1159"/>
      <c r="D64" s="1159"/>
      <c r="E64" s="1197" t="s">
        <v>879</v>
      </c>
      <c r="F64" s="1190">
        <v>4424</v>
      </c>
      <c r="G64" s="1190">
        <v>11498</v>
      </c>
      <c r="H64" s="1186">
        <v>1591206</v>
      </c>
      <c r="I64" s="1186">
        <v>10360</v>
      </c>
      <c r="J64" s="1186">
        <v>229823</v>
      </c>
      <c r="K64" s="1186">
        <v>1371743</v>
      </c>
      <c r="L64" s="1159"/>
    </row>
    <row r="65" spans="1:12" ht="10.25" customHeight="1" x14ac:dyDescent="0.35">
      <c r="A65" s="1159"/>
      <c r="B65" s="1159"/>
      <c r="C65" s="1159"/>
      <c r="D65" s="1159"/>
      <c r="E65" s="1159"/>
      <c r="F65" s="1159"/>
      <c r="G65" s="1159"/>
      <c r="H65" s="1159"/>
      <c r="I65" s="1159"/>
      <c r="J65" s="1159"/>
      <c r="K65" s="1159"/>
      <c r="L65" s="1159"/>
    </row>
    <row r="66" spans="1:12" ht="28.5" customHeight="1" x14ac:dyDescent="0.35">
      <c r="A66" s="1183"/>
      <c r="B66" s="1183"/>
      <c r="C66" s="1183"/>
      <c r="D66" s="1183"/>
      <c r="E66" s="1183"/>
      <c r="F66" s="1212" t="s">
        <v>839</v>
      </c>
      <c r="G66" s="1213" t="s">
        <v>840</v>
      </c>
      <c r="H66" s="1214" t="s">
        <v>841</v>
      </c>
      <c r="I66" s="1213" t="s">
        <v>842</v>
      </c>
      <c r="J66" s="1215" t="s">
        <v>843</v>
      </c>
      <c r="K66" s="1214" t="s">
        <v>844</v>
      </c>
      <c r="L66" s="1183"/>
    </row>
    <row r="67" spans="1:12" ht="10.25" customHeight="1" x14ac:dyDescent="0.35">
      <c r="A67" s="1164" t="s">
        <v>911</v>
      </c>
      <c r="B67" s="1164" t="s">
        <v>912</v>
      </c>
      <c r="C67" s="1159"/>
      <c r="D67" s="1159"/>
      <c r="E67" s="1210"/>
      <c r="F67" s="1216"/>
      <c r="G67" s="1216"/>
      <c r="H67" s="1216"/>
      <c r="I67" s="1216"/>
      <c r="J67" s="1216"/>
      <c r="K67" s="1216"/>
      <c r="L67" s="1211"/>
    </row>
    <row r="68" spans="1:12" ht="10.25" customHeight="1" x14ac:dyDescent="0.35">
      <c r="A68" s="1165" t="s">
        <v>913</v>
      </c>
      <c r="B68" s="1184" t="s">
        <v>914</v>
      </c>
      <c r="C68" s="1159"/>
      <c r="D68" s="1159"/>
      <c r="E68" s="1159"/>
      <c r="F68" s="1188"/>
      <c r="G68" s="1188"/>
      <c r="H68" s="1188"/>
      <c r="I68" s="1187">
        <v>0</v>
      </c>
      <c r="J68" s="1188"/>
      <c r="K68" s="1187">
        <v>0</v>
      </c>
      <c r="L68" s="1159"/>
    </row>
    <row r="69" spans="1:12" ht="10.25" customHeight="1" x14ac:dyDescent="0.35">
      <c r="A69" s="1165" t="s">
        <v>915</v>
      </c>
      <c r="B69" s="1184" t="s">
        <v>916</v>
      </c>
      <c r="C69" s="1159"/>
      <c r="D69" s="1159"/>
      <c r="E69" s="1159"/>
      <c r="F69" s="1188"/>
      <c r="G69" s="1188"/>
      <c r="H69" s="1188"/>
      <c r="I69" s="1187">
        <v>0</v>
      </c>
      <c r="J69" s="1188"/>
      <c r="K69" s="1187">
        <v>0</v>
      </c>
      <c r="L69" s="1159"/>
    </row>
    <row r="70" spans="1:12" ht="10.25" customHeight="1" x14ac:dyDescent="0.35">
      <c r="A70" s="1165" t="s">
        <v>917</v>
      </c>
      <c r="B70" s="1194"/>
      <c r="C70" s="1195"/>
      <c r="D70" s="1196"/>
      <c r="E70" s="1159"/>
      <c r="F70" s="1188"/>
      <c r="G70" s="1188"/>
      <c r="H70" s="1188"/>
      <c r="I70" s="1187">
        <v>0</v>
      </c>
      <c r="J70" s="1188"/>
      <c r="K70" s="1187">
        <v>0</v>
      </c>
      <c r="L70" s="1159"/>
    </row>
    <row r="71" spans="1:12" ht="10.25" customHeight="1" x14ac:dyDescent="0.35">
      <c r="A71" s="1165" t="s">
        <v>918</v>
      </c>
      <c r="B71" s="1194"/>
      <c r="C71" s="1195"/>
      <c r="D71" s="1196"/>
      <c r="E71" s="1159"/>
      <c r="F71" s="1188"/>
      <c r="G71" s="1188"/>
      <c r="H71" s="1188"/>
      <c r="I71" s="1187">
        <v>0</v>
      </c>
      <c r="J71" s="1188"/>
      <c r="K71" s="1187">
        <v>0</v>
      </c>
      <c r="L71" s="1159"/>
    </row>
    <row r="72" spans="1:12" ht="10.25" customHeight="1" x14ac:dyDescent="0.35">
      <c r="A72" s="1165" t="s">
        <v>919</v>
      </c>
      <c r="B72" s="1194"/>
      <c r="C72" s="1195"/>
      <c r="D72" s="1196"/>
      <c r="E72" s="1159"/>
      <c r="F72" s="1188"/>
      <c r="G72" s="1188"/>
      <c r="H72" s="1188"/>
      <c r="I72" s="1187">
        <v>0</v>
      </c>
      <c r="J72" s="1188"/>
      <c r="K72" s="1187">
        <v>0</v>
      </c>
      <c r="L72" s="1159"/>
    </row>
    <row r="73" spans="1:12" ht="10.25" customHeight="1" x14ac:dyDescent="0.35">
      <c r="A73" s="1159"/>
      <c r="B73" s="1159"/>
      <c r="C73" s="1159"/>
      <c r="D73" s="1159"/>
      <c r="E73" s="1210"/>
      <c r="F73" s="1216"/>
      <c r="G73" s="1216"/>
      <c r="H73" s="1216"/>
      <c r="I73" s="1216"/>
      <c r="J73" s="1216"/>
      <c r="K73" s="1216"/>
      <c r="L73" s="1211"/>
    </row>
    <row r="74" spans="1:12" ht="10.25" customHeight="1" x14ac:dyDescent="0.35">
      <c r="A74" s="1164" t="s">
        <v>920</v>
      </c>
      <c r="B74" s="1164" t="s">
        <v>921</v>
      </c>
      <c r="C74" s="1159"/>
      <c r="D74" s="1159"/>
      <c r="E74" s="1197" t="s">
        <v>879</v>
      </c>
      <c r="F74" s="1189">
        <v>0</v>
      </c>
      <c r="G74" s="1189">
        <v>0</v>
      </c>
      <c r="H74" s="1189">
        <v>0</v>
      </c>
      <c r="I74" s="1187">
        <v>0</v>
      </c>
      <c r="J74" s="1189">
        <v>0</v>
      </c>
      <c r="K74" s="1187">
        <v>0</v>
      </c>
      <c r="L74" s="1159"/>
    </row>
    <row r="75" spans="1:12" ht="28.5" customHeight="1" x14ac:dyDescent="0.25">
      <c r="A75" s="1183"/>
      <c r="B75" s="1183"/>
      <c r="C75" s="1183"/>
      <c r="D75" s="1183"/>
      <c r="E75" s="1183"/>
      <c r="F75" s="1198" t="s">
        <v>839</v>
      </c>
      <c r="G75" s="1199" t="s">
        <v>840</v>
      </c>
      <c r="H75" s="1200" t="s">
        <v>841</v>
      </c>
      <c r="I75" s="1199" t="s">
        <v>842</v>
      </c>
      <c r="J75" s="1201" t="s">
        <v>843</v>
      </c>
      <c r="K75" s="1164" t="s">
        <v>844</v>
      </c>
      <c r="L75" s="1183"/>
    </row>
    <row r="76" spans="1:12" ht="10.25" customHeight="1" x14ac:dyDescent="0.35">
      <c r="A76" s="1164" t="s">
        <v>922</v>
      </c>
      <c r="B76" s="1164" t="s">
        <v>923</v>
      </c>
      <c r="C76" s="1159"/>
      <c r="D76" s="1159"/>
      <c r="E76" s="1159"/>
      <c r="F76" s="1159"/>
      <c r="G76" s="1159"/>
      <c r="H76" s="1159"/>
      <c r="I76" s="1159"/>
      <c r="J76" s="1159"/>
      <c r="K76" s="1159"/>
      <c r="L76" s="1159"/>
    </row>
    <row r="77" spans="1:12" ht="10.25" customHeight="1" x14ac:dyDescent="0.35">
      <c r="A77" s="1165" t="s">
        <v>924</v>
      </c>
      <c r="B77" s="1184" t="s">
        <v>925</v>
      </c>
      <c r="C77" s="1159"/>
      <c r="D77" s="1159"/>
      <c r="E77" s="1159"/>
      <c r="F77" s="1188"/>
      <c r="G77" s="1188"/>
      <c r="H77" s="1188"/>
      <c r="I77" s="1187">
        <v>0</v>
      </c>
      <c r="J77" s="1188"/>
      <c r="K77" s="1187">
        <v>0</v>
      </c>
      <c r="L77" s="1159"/>
    </row>
    <row r="78" spans="1:12" ht="10.25" customHeight="1" x14ac:dyDescent="0.35">
      <c r="A78" s="1165" t="s">
        <v>926</v>
      </c>
      <c r="B78" s="1184" t="s">
        <v>927</v>
      </c>
      <c r="C78" s="1159"/>
      <c r="D78" s="1159"/>
      <c r="E78" s="1159"/>
      <c r="F78" s="1188"/>
      <c r="G78" s="1188"/>
      <c r="H78" s="1188"/>
      <c r="I78" s="1187">
        <v>0</v>
      </c>
      <c r="J78" s="1188"/>
      <c r="K78" s="1187">
        <v>0</v>
      </c>
      <c r="L78" s="1159"/>
    </row>
    <row r="79" spans="1:12" ht="10.25" customHeight="1" x14ac:dyDescent="0.35">
      <c r="A79" s="1165" t="s">
        <v>928</v>
      </c>
      <c r="B79" s="1184" t="s">
        <v>929</v>
      </c>
      <c r="C79" s="1159"/>
      <c r="D79" s="1159"/>
      <c r="E79" s="1159"/>
      <c r="F79" s="1188"/>
      <c r="G79" s="1188"/>
      <c r="H79" s="1188"/>
      <c r="I79" s="1187">
        <v>0</v>
      </c>
      <c r="J79" s="1188"/>
      <c r="K79" s="1187">
        <v>0</v>
      </c>
      <c r="L79" s="1159"/>
    </row>
    <row r="80" spans="1:12" ht="10.25" customHeight="1" x14ac:dyDescent="0.35">
      <c r="A80" s="1165" t="s">
        <v>930</v>
      </c>
      <c r="B80" s="1184" t="s">
        <v>931</v>
      </c>
      <c r="C80" s="1159"/>
      <c r="D80" s="1159"/>
      <c r="E80" s="1159"/>
      <c r="F80" s="1188"/>
      <c r="G80" s="1188"/>
      <c r="H80" s="1188"/>
      <c r="I80" s="1187">
        <v>0</v>
      </c>
      <c r="J80" s="1188"/>
      <c r="K80" s="1187">
        <v>0</v>
      </c>
      <c r="L80" s="1159"/>
    </row>
    <row r="81" spans="1:12" ht="10.25" customHeight="1" x14ac:dyDescent="0.35">
      <c r="A81" s="1159"/>
      <c r="B81" s="1159"/>
      <c r="C81" s="1159"/>
      <c r="D81" s="1159"/>
      <c r="E81" s="1159"/>
      <c r="F81" s="1159"/>
      <c r="G81" s="1159"/>
      <c r="H81" s="1159"/>
      <c r="I81" s="1159"/>
      <c r="J81" s="1159"/>
      <c r="K81" s="1159"/>
      <c r="L81" s="1159"/>
    </row>
    <row r="82" spans="1:12" ht="10.25" customHeight="1" x14ac:dyDescent="0.35">
      <c r="A82" s="1165" t="s">
        <v>932</v>
      </c>
      <c r="B82" s="1164" t="s">
        <v>933</v>
      </c>
      <c r="C82" s="1159"/>
      <c r="D82" s="1159"/>
      <c r="E82" s="1197" t="s">
        <v>879</v>
      </c>
      <c r="F82" s="1189">
        <v>0</v>
      </c>
      <c r="G82" s="1189">
        <v>0</v>
      </c>
      <c r="H82" s="1187">
        <v>0</v>
      </c>
      <c r="I82" s="1187">
        <v>0</v>
      </c>
      <c r="J82" s="1187">
        <v>0</v>
      </c>
      <c r="K82" s="1187">
        <v>0</v>
      </c>
      <c r="L82" s="1159"/>
    </row>
    <row r="83" spans="1:12" ht="10.25" customHeight="1" x14ac:dyDescent="0.35">
      <c r="A83" s="1159"/>
      <c r="B83" s="1159"/>
      <c r="C83" s="1159"/>
      <c r="D83" s="1159"/>
      <c r="E83" s="1159"/>
      <c r="F83" s="1159"/>
      <c r="G83" s="1159"/>
      <c r="H83" s="1159"/>
      <c r="I83" s="1159"/>
      <c r="J83" s="1159"/>
      <c r="K83" s="1159"/>
      <c r="L83" s="1159"/>
    </row>
    <row r="84" spans="1:12" ht="28.5" customHeight="1" x14ac:dyDescent="0.25">
      <c r="A84" s="1183"/>
      <c r="B84" s="1183"/>
      <c r="C84" s="1183"/>
      <c r="D84" s="1183"/>
      <c r="E84" s="1183"/>
      <c r="F84" s="1198" t="s">
        <v>839</v>
      </c>
      <c r="G84" s="1199" t="s">
        <v>840</v>
      </c>
      <c r="H84" s="1200" t="s">
        <v>841</v>
      </c>
      <c r="I84" s="1199" t="s">
        <v>842</v>
      </c>
      <c r="J84" s="1201" t="s">
        <v>843</v>
      </c>
      <c r="K84" s="1164" t="s">
        <v>844</v>
      </c>
      <c r="L84" s="1183"/>
    </row>
    <row r="85" spans="1:12" ht="10.25" customHeight="1" x14ac:dyDescent="0.35">
      <c r="A85" s="1164" t="s">
        <v>934</v>
      </c>
      <c r="B85" s="1164" t="s">
        <v>935</v>
      </c>
      <c r="C85" s="1159"/>
      <c r="D85" s="1159"/>
      <c r="E85" s="1159"/>
      <c r="F85" s="1159"/>
      <c r="G85" s="1159"/>
      <c r="H85" s="1159"/>
      <c r="I85" s="1159"/>
      <c r="J85" s="1159"/>
      <c r="K85" s="1159"/>
      <c r="L85" s="1159"/>
    </row>
    <row r="86" spans="1:12" ht="10.25" customHeight="1" x14ac:dyDescent="0.35">
      <c r="A86" s="1165" t="s">
        <v>936</v>
      </c>
      <c r="B86" s="1184" t="s">
        <v>937</v>
      </c>
      <c r="C86" s="1159"/>
      <c r="D86" s="1159"/>
      <c r="E86" s="1159"/>
      <c r="F86" s="1188"/>
      <c r="G86" s="1188"/>
      <c r="H86" s="1188"/>
      <c r="I86" s="1187">
        <v>0</v>
      </c>
      <c r="J86" s="1188"/>
      <c r="K86" s="1187">
        <v>0</v>
      </c>
      <c r="L86" s="1159"/>
    </row>
    <row r="87" spans="1:12" ht="10.25" customHeight="1" x14ac:dyDescent="0.35">
      <c r="A87" s="1165" t="s">
        <v>938</v>
      </c>
      <c r="B87" s="1184" t="s">
        <v>939</v>
      </c>
      <c r="C87" s="1159"/>
      <c r="D87" s="1159"/>
      <c r="E87" s="1159"/>
      <c r="F87" s="1188"/>
      <c r="G87" s="1188"/>
      <c r="H87" s="1188"/>
      <c r="I87" s="1187">
        <v>0</v>
      </c>
      <c r="J87" s="1188"/>
      <c r="K87" s="1187">
        <v>0</v>
      </c>
      <c r="L87" s="1159"/>
    </row>
    <row r="88" spans="1:12" ht="10.25" customHeight="1" x14ac:dyDescent="0.35">
      <c r="A88" s="1165" t="s">
        <v>940</v>
      </c>
      <c r="B88" s="1184" t="s">
        <v>941</v>
      </c>
      <c r="C88" s="1159"/>
      <c r="D88" s="1159"/>
      <c r="E88" s="1159"/>
      <c r="F88" s="1188"/>
      <c r="G88" s="1188"/>
      <c r="H88" s="1188"/>
      <c r="I88" s="1187">
        <v>0</v>
      </c>
      <c r="J88" s="1188"/>
      <c r="K88" s="1187">
        <v>0</v>
      </c>
      <c r="L88" s="1159"/>
    </row>
    <row r="89" spans="1:12" ht="10.25" customHeight="1" x14ac:dyDescent="0.35">
      <c r="A89" s="1165" t="s">
        <v>942</v>
      </c>
      <c r="B89" s="1184" t="s">
        <v>943</v>
      </c>
      <c r="C89" s="1159"/>
      <c r="D89" s="1159"/>
      <c r="E89" s="1159"/>
      <c r="F89" s="1188"/>
      <c r="G89" s="1188"/>
      <c r="H89" s="1188"/>
      <c r="I89" s="1187">
        <v>0</v>
      </c>
      <c r="J89" s="1188"/>
      <c r="K89" s="1187">
        <v>0</v>
      </c>
      <c r="L89" s="1159"/>
    </row>
    <row r="90" spans="1:12" ht="10.25" customHeight="1" x14ac:dyDescent="0.35">
      <c r="A90" s="1165" t="s">
        <v>944</v>
      </c>
      <c r="B90" s="1202" t="s">
        <v>945</v>
      </c>
      <c r="C90" s="1203"/>
      <c r="D90" s="1159"/>
      <c r="E90" s="1159"/>
      <c r="F90" s="1188"/>
      <c r="G90" s="1188"/>
      <c r="H90" s="1188"/>
      <c r="I90" s="1187">
        <v>0</v>
      </c>
      <c r="J90" s="1188"/>
      <c r="K90" s="1187">
        <v>0</v>
      </c>
      <c r="L90" s="1159"/>
    </row>
    <row r="91" spans="1:12" ht="10.25" customHeight="1" x14ac:dyDescent="0.35">
      <c r="A91" s="1165" t="s">
        <v>946</v>
      </c>
      <c r="B91" s="1184" t="s">
        <v>947</v>
      </c>
      <c r="C91" s="1159"/>
      <c r="D91" s="1159"/>
      <c r="E91" s="1159"/>
      <c r="F91" s="1188"/>
      <c r="G91" s="1188"/>
      <c r="H91" s="1188"/>
      <c r="I91" s="1187">
        <v>0</v>
      </c>
      <c r="J91" s="1188"/>
      <c r="K91" s="1187">
        <v>0</v>
      </c>
      <c r="L91" s="1159"/>
    </row>
    <row r="92" spans="1:12" ht="10.25" customHeight="1" x14ac:dyDescent="0.35">
      <c r="A92" s="1165" t="s">
        <v>948</v>
      </c>
      <c r="B92" s="1184" t="s">
        <v>949</v>
      </c>
      <c r="C92" s="1159"/>
      <c r="D92" s="1159"/>
      <c r="E92" s="1159"/>
      <c r="F92" s="1188"/>
      <c r="G92" s="1188"/>
      <c r="H92" s="1188"/>
      <c r="I92" s="1187">
        <v>0</v>
      </c>
      <c r="J92" s="1188"/>
      <c r="K92" s="1187">
        <v>0</v>
      </c>
      <c r="L92" s="1159"/>
    </row>
    <row r="93" spans="1:12" ht="10.25" customHeight="1" x14ac:dyDescent="0.35">
      <c r="A93" s="1165" t="s">
        <v>950</v>
      </c>
      <c r="B93" s="1184" t="s">
        <v>951</v>
      </c>
      <c r="C93" s="1159"/>
      <c r="D93" s="1159"/>
      <c r="E93" s="1159"/>
      <c r="F93" s="1188"/>
      <c r="G93" s="1188"/>
      <c r="H93" s="1188"/>
      <c r="I93" s="1187">
        <v>0</v>
      </c>
      <c r="J93" s="1188"/>
      <c r="K93" s="1187">
        <v>0</v>
      </c>
      <c r="L93" s="1159"/>
    </row>
    <row r="94" spans="1:12" ht="10.25" customHeight="1" x14ac:dyDescent="0.35">
      <c r="A94" s="1165" t="s">
        <v>952</v>
      </c>
      <c r="B94" s="1194"/>
      <c r="C94" s="1195"/>
      <c r="D94" s="1196"/>
      <c r="E94" s="1159"/>
      <c r="F94" s="1188"/>
      <c r="G94" s="1188"/>
      <c r="H94" s="1188"/>
      <c r="I94" s="1187">
        <v>0</v>
      </c>
      <c r="J94" s="1188"/>
      <c r="K94" s="1187">
        <v>0</v>
      </c>
      <c r="L94" s="1159"/>
    </row>
    <row r="95" spans="1:12" ht="10.25" customHeight="1" x14ac:dyDescent="0.35">
      <c r="A95" s="1165" t="s">
        <v>953</v>
      </c>
      <c r="B95" s="1194"/>
      <c r="C95" s="1195"/>
      <c r="D95" s="1196"/>
      <c r="E95" s="1159"/>
      <c r="F95" s="1188"/>
      <c r="G95" s="1188"/>
      <c r="H95" s="1188"/>
      <c r="I95" s="1187">
        <v>0</v>
      </c>
      <c r="J95" s="1188"/>
      <c r="K95" s="1187">
        <v>0</v>
      </c>
      <c r="L95" s="1159"/>
    </row>
    <row r="96" spans="1:12" ht="10.25" customHeight="1" x14ac:dyDescent="0.35">
      <c r="A96" s="1165" t="s">
        <v>954</v>
      </c>
      <c r="B96" s="1194"/>
      <c r="C96" s="1195"/>
      <c r="D96" s="1196"/>
      <c r="E96" s="1159"/>
      <c r="F96" s="1188"/>
      <c r="G96" s="1188"/>
      <c r="H96" s="1188"/>
      <c r="I96" s="1187">
        <v>0</v>
      </c>
      <c r="J96" s="1188"/>
      <c r="K96" s="1187">
        <v>0</v>
      </c>
      <c r="L96" s="1159"/>
    </row>
    <row r="97" spans="1:12" ht="10.25" customHeight="1" x14ac:dyDescent="0.35">
      <c r="A97" s="1159"/>
      <c r="B97" s="1159"/>
      <c r="C97" s="1159"/>
      <c r="D97" s="1159"/>
      <c r="E97" s="1159"/>
      <c r="F97" s="1159"/>
      <c r="G97" s="1159"/>
      <c r="H97" s="1159"/>
      <c r="I97" s="1159"/>
      <c r="J97" s="1159"/>
      <c r="K97" s="1159"/>
      <c r="L97" s="1159"/>
    </row>
    <row r="98" spans="1:12" ht="10.25" customHeight="1" x14ac:dyDescent="0.35">
      <c r="A98" s="1164" t="s">
        <v>955</v>
      </c>
      <c r="B98" s="1164" t="s">
        <v>956</v>
      </c>
      <c r="C98" s="1159"/>
      <c r="D98" s="1159"/>
      <c r="E98" s="1197" t="s">
        <v>879</v>
      </c>
      <c r="F98" s="1189">
        <v>0</v>
      </c>
      <c r="G98" s="1189">
        <v>0</v>
      </c>
      <c r="H98" s="1189">
        <v>0</v>
      </c>
      <c r="I98" s="1189">
        <v>0</v>
      </c>
      <c r="J98" s="1189">
        <v>0</v>
      </c>
      <c r="K98" s="1189">
        <v>0</v>
      </c>
      <c r="L98" s="1159"/>
    </row>
    <row r="99" spans="1:12" ht="10.25" customHeight="1" x14ac:dyDescent="0.35">
      <c r="A99" s="1159"/>
      <c r="B99" s="1159"/>
      <c r="C99" s="1159"/>
      <c r="D99" s="1159"/>
      <c r="E99" s="1159"/>
      <c r="F99" s="1159"/>
      <c r="G99" s="1159"/>
      <c r="H99" s="1159"/>
      <c r="I99" s="1159"/>
      <c r="J99" s="1159"/>
      <c r="K99" s="1159"/>
      <c r="L99" s="1159"/>
    </row>
    <row r="100" spans="1:12" ht="28.5" customHeight="1" x14ac:dyDescent="0.25">
      <c r="A100" s="1183"/>
      <c r="B100" s="1183"/>
      <c r="C100" s="1183"/>
      <c r="D100" s="1183"/>
      <c r="E100" s="1183"/>
      <c r="F100" s="1198" t="s">
        <v>839</v>
      </c>
      <c r="G100" s="1199" t="s">
        <v>840</v>
      </c>
      <c r="H100" s="1200" t="s">
        <v>841</v>
      </c>
      <c r="I100" s="1199" t="s">
        <v>842</v>
      </c>
      <c r="J100" s="1201" t="s">
        <v>843</v>
      </c>
      <c r="K100" s="1164" t="s">
        <v>844</v>
      </c>
      <c r="L100" s="1183"/>
    </row>
    <row r="101" spans="1:12" ht="10.25" customHeight="1" x14ac:dyDescent="0.35">
      <c r="A101" s="1164" t="s">
        <v>957</v>
      </c>
      <c r="B101" s="1164" t="s">
        <v>958</v>
      </c>
      <c r="C101" s="1159"/>
      <c r="D101" s="1159"/>
      <c r="E101" s="1159"/>
      <c r="F101" s="1159"/>
      <c r="G101" s="1159"/>
      <c r="H101" s="1159"/>
      <c r="I101" s="1159"/>
      <c r="J101" s="1159"/>
      <c r="K101" s="1159"/>
      <c r="L101" s="1159"/>
    </row>
    <row r="102" spans="1:12" ht="10.25" customHeight="1" x14ac:dyDescent="0.35">
      <c r="A102" s="1165" t="s">
        <v>959</v>
      </c>
      <c r="B102" s="1184" t="s">
        <v>960</v>
      </c>
      <c r="C102" s="1159"/>
      <c r="D102" s="1159"/>
      <c r="E102" s="1159"/>
      <c r="F102" s="1189">
        <v>232</v>
      </c>
      <c r="G102" s="1188"/>
      <c r="H102" s="1186">
        <v>13394.22</v>
      </c>
      <c r="I102" s="1186">
        <v>2009.13</v>
      </c>
      <c r="J102" s="1188"/>
      <c r="K102" s="1186">
        <v>15403.35</v>
      </c>
      <c r="L102" s="1159"/>
    </row>
    <row r="103" spans="1:12" ht="10.25" customHeight="1" x14ac:dyDescent="0.35">
      <c r="A103" s="1165" t="s">
        <v>961</v>
      </c>
      <c r="B103" s="1202" t="s">
        <v>962</v>
      </c>
      <c r="C103" s="1203"/>
      <c r="D103" s="1159"/>
      <c r="E103" s="1159"/>
      <c r="F103" s="1188"/>
      <c r="G103" s="1188"/>
      <c r="H103" s="1188"/>
      <c r="I103" s="1187">
        <v>0</v>
      </c>
      <c r="J103" s="1188"/>
      <c r="K103" s="1187">
        <v>0</v>
      </c>
      <c r="L103" s="1159"/>
    </row>
    <row r="104" spans="1:12" ht="10.25" customHeight="1" x14ac:dyDescent="0.35">
      <c r="A104" s="1165" t="s">
        <v>963</v>
      </c>
      <c r="B104" s="1194"/>
      <c r="C104" s="1195"/>
      <c r="D104" s="1196"/>
      <c r="E104" s="1159"/>
      <c r="F104" s="1188"/>
      <c r="G104" s="1188"/>
      <c r="H104" s="1188"/>
      <c r="I104" s="1187">
        <v>0</v>
      </c>
      <c r="J104" s="1188"/>
      <c r="K104" s="1187">
        <v>0</v>
      </c>
      <c r="L104" s="1159"/>
    </row>
    <row r="105" spans="1:12" ht="10.25" customHeight="1" x14ac:dyDescent="0.35">
      <c r="A105" s="1165" t="s">
        <v>964</v>
      </c>
      <c r="B105" s="1194"/>
      <c r="C105" s="1195"/>
      <c r="D105" s="1196"/>
      <c r="E105" s="1159"/>
      <c r="F105" s="1188"/>
      <c r="G105" s="1188"/>
      <c r="H105" s="1188"/>
      <c r="I105" s="1187">
        <v>0</v>
      </c>
      <c r="J105" s="1188"/>
      <c r="K105" s="1187">
        <v>0</v>
      </c>
      <c r="L105" s="1159"/>
    </row>
    <row r="106" spans="1:12" ht="10.25" customHeight="1" x14ac:dyDescent="0.35">
      <c r="A106" s="1165" t="s">
        <v>965</v>
      </c>
      <c r="B106" s="1194"/>
      <c r="C106" s="1195"/>
      <c r="D106" s="1196"/>
      <c r="E106" s="1159"/>
      <c r="F106" s="1188"/>
      <c r="G106" s="1188"/>
      <c r="H106" s="1188"/>
      <c r="I106" s="1187">
        <v>0</v>
      </c>
      <c r="J106" s="1188"/>
      <c r="K106" s="1187">
        <v>0</v>
      </c>
      <c r="L106" s="1159"/>
    </row>
    <row r="107" spans="1:12" ht="10.25" customHeight="1" x14ac:dyDescent="0.35">
      <c r="A107" s="1159"/>
      <c r="B107" s="1159"/>
      <c r="C107" s="1159"/>
      <c r="D107" s="1159"/>
      <c r="E107" s="1159"/>
      <c r="F107" s="1159"/>
      <c r="G107" s="1159"/>
      <c r="H107" s="1159"/>
      <c r="I107" s="1159"/>
      <c r="J107" s="1159"/>
      <c r="K107" s="1159"/>
      <c r="L107" s="1159"/>
    </row>
    <row r="108" spans="1:12" ht="10.25" customHeight="1" x14ac:dyDescent="0.35">
      <c r="A108" s="1164" t="s">
        <v>966</v>
      </c>
      <c r="B108" s="1164" t="s">
        <v>967</v>
      </c>
      <c r="C108" s="1159"/>
      <c r="D108" s="1159"/>
      <c r="E108" s="1197" t="s">
        <v>879</v>
      </c>
      <c r="F108" s="1189">
        <v>232</v>
      </c>
      <c r="G108" s="1189">
        <v>0</v>
      </c>
      <c r="H108" s="1186">
        <v>13394.22</v>
      </c>
      <c r="I108" s="1186">
        <v>2009.13</v>
      </c>
      <c r="J108" s="1187">
        <v>0</v>
      </c>
      <c r="K108" s="1186">
        <v>15403.35</v>
      </c>
      <c r="L108" s="1159"/>
    </row>
    <row r="109" spans="1:12" ht="10.25" customHeight="1" x14ac:dyDescent="0.35">
      <c r="A109" s="1159"/>
      <c r="B109" s="1159"/>
      <c r="C109" s="1159"/>
      <c r="D109" s="1159"/>
      <c r="E109" s="1159"/>
      <c r="F109" s="1159"/>
      <c r="G109" s="1159"/>
      <c r="H109" s="1159"/>
      <c r="I109" s="1159"/>
      <c r="J109" s="1159"/>
      <c r="K109" s="1159"/>
      <c r="L109" s="1159"/>
    </row>
    <row r="110" spans="1:12" ht="10.5" customHeight="1" x14ac:dyDescent="0.35">
      <c r="A110" s="1164" t="s">
        <v>968</v>
      </c>
      <c r="B110" s="1164" t="s">
        <v>969</v>
      </c>
      <c r="C110" s="1159"/>
      <c r="D110" s="1159"/>
      <c r="E110" s="1159"/>
      <c r="F110" s="1159"/>
      <c r="G110" s="1159"/>
      <c r="H110" s="1159"/>
      <c r="I110" s="1159"/>
      <c r="J110" s="1159"/>
      <c r="K110" s="1159"/>
      <c r="L110" s="1159"/>
    </row>
    <row r="111" spans="1:12" ht="10.25" customHeight="1" x14ac:dyDescent="0.35">
      <c r="A111" s="1164" t="s">
        <v>970</v>
      </c>
      <c r="B111" s="1164" t="s">
        <v>971</v>
      </c>
      <c r="C111" s="1159"/>
      <c r="D111" s="1159"/>
      <c r="E111" s="1197" t="s">
        <v>879</v>
      </c>
      <c r="F111" s="1186">
        <v>1042403</v>
      </c>
      <c r="G111" s="1159"/>
      <c r="H111" s="1159"/>
      <c r="I111" s="1159"/>
      <c r="J111" s="1159"/>
      <c r="K111" s="1159"/>
      <c r="L111" s="1159"/>
    </row>
    <row r="112" spans="1:12" ht="10.25" customHeight="1" x14ac:dyDescent="0.35">
      <c r="A112" s="1159"/>
      <c r="B112" s="1159"/>
      <c r="C112" s="1159"/>
      <c r="D112" s="1159"/>
      <c r="E112" s="1159"/>
      <c r="F112" s="1159"/>
      <c r="G112" s="1159"/>
      <c r="H112" s="1159"/>
      <c r="I112" s="1159"/>
      <c r="J112" s="1159"/>
      <c r="K112" s="1159"/>
      <c r="L112" s="1159"/>
    </row>
    <row r="113" spans="1:12" ht="10.25" customHeight="1" x14ac:dyDescent="0.35">
      <c r="A113" s="1159"/>
      <c r="B113" s="1164" t="s">
        <v>972</v>
      </c>
      <c r="C113" s="1159"/>
      <c r="D113" s="1159"/>
      <c r="E113" s="1159"/>
      <c r="F113" s="1159"/>
      <c r="G113" s="1159"/>
      <c r="H113" s="1159"/>
      <c r="I113" s="1159"/>
      <c r="J113" s="1159"/>
      <c r="K113" s="1159"/>
      <c r="L113" s="1159"/>
    </row>
    <row r="114" spans="1:12" ht="10.25" customHeight="1" x14ac:dyDescent="0.35">
      <c r="A114" s="1165" t="s">
        <v>973</v>
      </c>
      <c r="B114" s="1184" t="s">
        <v>974</v>
      </c>
      <c r="C114" s="1159"/>
      <c r="D114" s="1159"/>
      <c r="E114" s="1159"/>
      <c r="F114" s="1188"/>
      <c r="G114" s="1159"/>
      <c r="H114" s="1159"/>
      <c r="I114" s="1159"/>
      <c r="J114" s="1159"/>
      <c r="K114" s="1159"/>
      <c r="L114" s="1159"/>
    </row>
    <row r="115" spans="1:12" ht="10.25" customHeight="1" x14ac:dyDescent="0.35">
      <c r="A115" s="1159"/>
      <c r="B115" s="1159"/>
      <c r="C115" s="1159"/>
      <c r="D115" s="1159"/>
      <c r="E115" s="1159"/>
      <c r="F115" s="1159"/>
      <c r="G115" s="1159"/>
      <c r="H115" s="1159"/>
      <c r="I115" s="1159"/>
      <c r="J115" s="1159"/>
      <c r="K115" s="1159"/>
      <c r="L115" s="1159"/>
    </row>
    <row r="116" spans="1:12" ht="10.25" customHeight="1" x14ac:dyDescent="0.35">
      <c r="A116" s="1165" t="s">
        <v>975</v>
      </c>
      <c r="B116" s="1164" t="s">
        <v>976</v>
      </c>
      <c r="C116" s="1159"/>
      <c r="D116" s="1159"/>
      <c r="E116" s="1159"/>
      <c r="F116" s="1159"/>
      <c r="G116" s="1159"/>
      <c r="H116" s="1159"/>
      <c r="I116" s="1159"/>
      <c r="J116" s="1159"/>
      <c r="K116" s="1159"/>
      <c r="L116" s="1159"/>
    </row>
    <row r="117" spans="1:12" ht="10.25" customHeight="1" x14ac:dyDescent="0.35">
      <c r="A117" s="1165" t="s">
        <v>977</v>
      </c>
      <c r="B117" s="1184" t="s">
        <v>978</v>
      </c>
      <c r="C117" s="1159"/>
      <c r="D117" s="1159"/>
      <c r="E117" s="1159"/>
      <c r="F117" s="1186">
        <v>45206679</v>
      </c>
      <c r="G117" s="1159"/>
      <c r="H117" s="1159"/>
      <c r="I117" s="1159"/>
      <c r="J117" s="1159"/>
      <c r="K117" s="1159"/>
      <c r="L117" s="1159"/>
    </row>
    <row r="118" spans="1:12" ht="10.25" customHeight="1" x14ac:dyDescent="0.35">
      <c r="A118" s="1165" t="s">
        <v>979</v>
      </c>
      <c r="B118" s="1184" t="s">
        <v>980</v>
      </c>
      <c r="C118" s="1159"/>
      <c r="D118" s="1159"/>
      <c r="E118" s="1159"/>
      <c r="F118" s="1186">
        <v>590003</v>
      </c>
      <c r="G118" s="1159"/>
      <c r="H118" s="1159"/>
      <c r="I118" s="1159"/>
      <c r="J118" s="1159"/>
      <c r="K118" s="1159"/>
      <c r="L118" s="1159"/>
    </row>
    <row r="119" spans="1:12" ht="10.25" customHeight="1" x14ac:dyDescent="0.35">
      <c r="A119" s="1165" t="s">
        <v>981</v>
      </c>
      <c r="B119" s="1164" t="s">
        <v>982</v>
      </c>
      <c r="C119" s="1159"/>
      <c r="D119" s="1159"/>
      <c r="E119" s="1159"/>
      <c r="F119" s="1186">
        <v>45796682</v>
      </c>
      <c r="G119" s="1159"/>
      <c r="H119" s="1159"/>
      <c r="I119" s="1159"/>
      <c r="J119" s="1159"/>
      <c r="K119" s="1159"/>
      <c r="L119" s="1159"/>
    </row>
    <row r="120" spans="1:12" ht="10.25" customHeight="1" x14ac:dyDescent="0.35">
      <c r="A120" s="1159"/>
      <c r="B120" s="1159"/>
      <c r="C120" s="1159"/>
      <c r="D120" s="1159"/>
      <c r="E120" s="1159"/>
      <c r="F120" s="1159"/>
      <c r="G120" s="1159"/>
      <c r="H120" s="1159"/>
      <c r="I120" s="1159"/>
      <c r="J120" s="1159"/>
      <c r="K120" s="1159"/>
      <c r="L120" s="1159"/>
    </row>
    <row r="121" spans="1:12" ht="10.25" customHeight="1" x14ac:dyDescent="0.35">
      <c r="A121" s="1165" t="s">
        <v>983</v>
      </c>
      <c r="B121" s="1164" t="s">
        <v>984</v>
      </c>
      <c r="C121" s="1159"/>
      <c r="D121" s="1159"/>
      <c r="E121" s="1159"/>
      <c r="F121" s="1186">
        <v>44440761</v>
      </c>
      <c r="G121" s="1159"/>
      <c r="H121" s="1159"/>
      <c r="I121" s="1159"/>
      <c r="J121" s="1159"/>
      <c r="K121" s="1159"/>
      <c r="L121" s="1159"/>
    </row>
    <row r="122" spans="1:12" ht="10.25" customHeight="1" x14ac:dyDescent="0.35">
      <c r="A122" s="1159"/>
      <c r="B122" s="1159"/>
      <c r="C122" s="1159"/>
      <c r="D122" s="1159"/>
      <c r="E122" s="1159"/>
      <c r="F122" s="1159"/>
      <c r="G122" s="1159"/>
      <c r="H122" s="1159"/>
      <c r="I122" s="1159"/>
      <c r="J122" s="1159"/>
      <c r="K122" s="1159"/>
      <c r="L122" s="1159"/>
    </row>
    <row r="123" spans="1:12" ht="10.25" customHeight="1" x14ac:dyDescent="0.35">
      <c r="A123" s="1165" t="s">
        <v>985</v>
      </c>
      <c r="B123" s="1164" t="s">
        <v>986</v>
      </c>
      <c r="C123" s="1159"/>
      <c r="D123" s="1159"/>
      <c r="E123" s="1159"/>
      <c r="F123" s="1186">
        <v>1355921</v>
      </c>
      <c r="G123" s="1159"/>
      <c r="H123" s="1159"/>
      <c r="I123" s="1159"/>
      <c r="J123" s="1159"/>
      <c r="K123" s="1159"/>
      <c r="L123" s="1159"/>
    </row>
    <row r="124" spans="1:12" ht="10.25" customHeight="1" x14ac:dyDescent="0.35">
      <c r="A124" s="1159"/>
      <c r="B124" s="1159"/>
      <c r="C124" s="1159"/>
      <c r="D124" s="1159"/>
      <c r="E124" s="1159"/>
      <c r="F124" s="1159"/>
      <c r="G124" s="1159"/>
      <c r="H124" s="1159"/>
      <c r="I124" s="1159"/>
      <c r="J124" s="1159"/>
      <c r="K124" s="1159"/>
      <c r="L124" s="1159"/>
    </row>
    <row r="125" spans="1:12" ht="10.25" customHeight="1" x14ac:dyDescent="0.35">
      <c r="A125" s="1165" t="s">
        <v>987</v>
      </c>
      <c r="B125" s="1164" t="s">
        <v>988</v>
      </c>
      <c r="C125" s="1159"/>
      <c r="D125" s="1159"/>
      <c r="E125" s="1159"/>
      <c r="F125" s="1186">
        <v>34017</v>
      </c>
      <c r="G125" s="1159"/>
      <c r="H125" s="1159"/>
      <c r="I125" s="1159"/>
      <c r="J125" s="1159"/>
      <c r="K125" s="1159"/>
      <c r="L125" s="1159"/>
    </row>
    <row r="126" spans="1:12" ht="10.25" customHeight="1" x14ac:dyDescent="0.35">
      <c r="A126" s="1159"/>
      <c r="B126" s="1159"/>
      <c r="C126" s="1159"/>
      <c r="D126" s="1159"/>
      <c r="E126" s="1159"/>
      <c r="F126" s="1159"/>
      <c r="G126" s="1159"/>
      <c r="H126" s="1159"/>
      <c r="I126" s="1159"/>
      <c r="J126" s="1159"/>
      <c r="K126" s="1159"/>
      <c r="L126" s="1159"/>
    </row>
    <row r="127" spans="1:12" ht="10.25" customHeight="1" x14ac:dyDescent="0.35">
      <c r="A127" s="1165" t="s">
        <v>989</v>
      </c>
      <c r="B127" s="1164" t="s">
        <v>990</v>
      </c>
      <c r="C127" s="1159"/>
      <c r="D127" s="1159"/>
      <c r="E127" s="1159"/>
      <c r="F127" s="1186">
        <v>1389938</v>
      </c>
      <c r="G127" s="1159"/>
      <c r="H127" s="1159"/>
      <c r="I127" s="1159"/>
      <c r="J127" s="1159"/>
      <c r="K127" s="1159"/>
      <c r="L127" s="1159"/>
    </row>
    <row r="128" spans="1:12" ht="10.25" customHeight="1" x14ac:dyDescent="0.35">
      <c r="A128" s="1159"/>
      <c r="B128" s="1159"/>
      <c r="C128" s="1159"/>
      <c r="D128" s="1159"/>
      <c r="E128" s="1159"/>
      <c r="F128" s="1159"/>
      <c r="G128" s="1159"/>
      <c r="H128" s="1159"/>
      <c r="I128" s="1159"/>
      <c r="J128" s="1159"/>
      <c r="K128" s="1159"/>
      <c r="L128" s="1159"/>
    </row>
    <row r="129" spans="1:12" ht="28.5" customHeight="1" x14ac:dyDescent="0.35">
      <c r="A129" s="1183"/>
      <c r="B129" s="1183"/>
      <c r="C129" s="1183"/>
      <c r="D129" s="1183"/>
      <c r="E129" s="1183"/>
      <c r="F129" s="1204" t="s">
        <v>839</v>
      </c>
      <c r="G129" s="1181" t="s">
        <v>840</v>
      </c>
      <c r="H129" s="1180" t="s">
        <v>841</v>
      </c>
      <c r="I129" s="1181" t="s">
        <v>842</v>
      </c>
      <c r="J129" s="1182" t="s">
        <v>843</v>
      </c>
      <c r="K129" s="1180" t="s">
        <v>844</v>
      </c>
      <c r="L129" s="1183"/>
    </row>
    <row r="130" spans="1:12" ht="10.25" customHeight="1" x14ac:dyDescent="0.35">
      <c r="A130" s="1164" t="s">
        <v>991</v>
      </c>
      <c r="B130" s="1164" t="s">
        <v>992</v>
      </c>
      <c r="C130" s="1159"/>
      <c r="D130" s="1159"/>
      <c r="E130" s="1159"/>
      <c r="F130" s="1159"/>
      <c r="G130" s="1159"/>
      <c r="H130" s="1159"/>
      <c r="I130" s="1159"/>
      <c r="J130" s="1159"/>
      <c r="K130" s="1159"/>
      <c r="L130" s="1159"/>
    </row>
    <row r="131" spans="1:12" ht="10.25" customHeight="1" x14ac:dyDescent="0.35">
      <c r="A131" s="1165" t="s">
        <v>993</v>
      </c>
      <c r="B131" s="1184" t="s">
        <v>994</v>
      </c>
      <c r="C131" s="1159"/>
      <c r="D131" s="1159"/>
      <c r="E131" s="1159"/>
      <c r="F131" s="1188"/>
      <c r="G131" s="1188"/>
      <c r="H131" s="1188"/>
      <c r="I131" s="1187">
        <v>0</v>
      </c>
      <c r="J131" s="1188"/>
      <c r="K131" s="1187">
        <v>0</v>
      </c>
      <c r="L131" s="1159"/>
    </row>
    <row r="132" spans="1:12" ht="10.25" customHeight="1" x14ac:dyDescent="0.35">
      <c r="A132" s="1165" t="s">
        <v>995</v>
      </c>
      <c r="B132" s="1184" t="s">
        <v>996</v>
      </c>
      <c r="C132" s="1159"/>
      <c r="D132" s="1159"/>
      <c r="E132" s="1159"/>
      <c r="F132" s="1188"/>
      <c r="G132" s="1188"/>
      <c r="H132" s="1188"/>
      <c r="I132" s="1187">
        <v>0</v>
      </c>
      <c r="J132" s="1188"/>
      <c r="K132" s="1187">
        <v>0</v>
      </c>
      <c r="L132" s="1159"/>
    </row>
    <row r="133" spans="1:12" ht="10.25" customHeight="1" x14ac:dyDescent="0.35">
      <c r="A133" s="1165" t="s">
        <v>997</v>
      </c>
      <c r="B133" s="1194"/>
      <c r="C133" s="1195"/>
      <c r="D133" s="1196"/>
      <c r="E133" s="1159"/>
      <c r="F133" s="1188"/>
      <c r="G133" s="1188"/>
      <c r="H133" s="1188"/>
      <c r="I133" s="1187">
        <v>0</v>
      </c>
      <c r="J133" s="1188"/>
      <c r="K133" s="1187">
        <v>0</v>
      </c>
      <c r="L133" s="1159"/>
    </row>
    <row r="134" spans="1:12" ht="10.25" customHeight="1" x14ac:dyDescent="0.35">
      <c r="A134" s="1165" t="s">
        <v>998</v>
      </c>
      <c r="B134" s="1194"/>
      <c r="C134" s="1195"/>
      <c r="D134" s="1196"/>
      <c r="E134" s="1159"/>
      <c r="F134" s="1188"/>
      <c r="G134" s="1188"/>
      <c r="H134" s="1188"/>
      <c r="I134" s="1187">
        <v>0</v>
      </c>
      <c r="J134" s="1188"/>
      <c r="K134" s="1187">
        <v>0</v>
      </c>
      <c r="L134" s="1159"/>
    </row>
    <row r="135" spans="1:12" ht="10.25" customHeight="1" x14ac:dyDescent="0.35">
      <c r="A135" s="1165" t="s">
        <v>999</v>
      </c>
      <c r="B135" s="1194"/>
      <c r="C135" s="1195"/>
      <c r="D135" s="1196"/>
      <c r="E135" s="1159"/>
      <c r="F135" s="1188"/>
      <c r="G135" s="1188"/>
      <c r="H135" s="1188"/>
      <c r="I135" s="1187">
        <v>0</v>
      </c>
      <c r="J135" s="1188"/>
      <c r="K135" s="1187">
        <v>0</v>
      </c>
      <c r="L135" s="1159"/>
    </row>
    <row r="136" spans="1:12" ht="10.25" customHeight="1" x14ac:dyDescent="0.35">
      <c r="A136" s="1159"/>
      <c r="B136" s="1159"/>
      <c r="C136" s="1159"/>
      <c r="D136" s="1159"/>
      <c r="E136" s="1159"/>
      <c r="F136" s="1159"/>
      <c r="G136" s="1159"/>
      <c r="H136" s="1159"/>
      <c r="I136" s="1159"/>
      <c r="J136" s="1159"/>
      <c r="K136" s="1159"/>
      <c r="L136" s="1159"/>
    </row>
    <row r="137" spans="1:12" ht="10.25" customHeight="1" x14ac:dyDescent="0.35">
      <c r="A137" s="1164" t="s">
        <v>1000</v>
      </c>
      <c r="B137" s="1164" t="s">
        <v>1001</v>
      </c>
      <c r="C137" s="1159"/>
      <c r="D137" s="1159"/>
      <c r="E137" s="1159"/>
      <c r="F137" s="1189">
        <v>0</v>
      </c>
      <c r="G137" s="1189">
        <v>0</v>
      </c>
      <c r="H137" s="1187">
        <v>0</v>
      </c>
      <c r="I137" s="1187">
        <v>0</v>
      </c>
      <c r="J137" s="1187">
        <v>0</v>
      </c>
      <c r="K137" s="1187">
        <v>0</v>
      </c>
      <c r="L137" s="1159"/>
    </row>
    <row r="138" spans="1:12" ht="10.25" customHeight="1" x14ac:dyDescent="0.35">
      <c r="A138" s="1159"/>
      <c r="B138" s="1159"/>
      <c r="C138" s="1159"/>
      <c r="D138" s="1159"/>
      <c r="E138" s="1159"/>
      <c r="F138" s="1159"/>
      <c r="G138" s="1159"/>
      <c r="H138" s="1159"/>
      <c r="I138" s="1159"/>
      <c r="J138" s="1159"/>
      <c r="K138" s="1159"/>
      <c r="L138" s="1159"/>
    </row>
    <row r="139" spans="1:12" ht="28.5" customHeight="1" x14ac:dyDescent="0.25">
      <c r="A139" s="1183"/>
      <c r="B139" s="1183"/>
      <c r="C139" s="1183"/>
      <c r="D139" s="1183"/>
      <c r="E139" s="1183"/>
      <c r="F139" s="1200" t="s">
        <v>839</v>
      </c>
      <c r="G139" s="1199" t="s">
        <v>840</v>
      </c>
      <c r="H139" s="1200" t="s">
        <v>841</v>
      </c>
      <c r="I139" s="1199" t="s">
        <v>842</v>
      </c>
      <c r="J139" s="1201" t="s">
        <v>843</v>
      </c>
      <c r="K139" s="1164" t="s">
        <v>844</v>
      </c>
      <c r="L139" s="1183"/>
    </row>
    <row r="140" spans="1:12" ht="10.25" customHeight="1" x14ac:dyDescent="0.35">
      <c r="A140" s="1164" t="s">
        <v>1002</v>
      </c>
      <c r="B140" s="1164" t="s">
        <v>1003</v>
      </c>
      <c r="C140" s="1159"/>
      <c r="D140" s="1159"/>
      <c r="E140" s="1159"/>
      <c r="F140" s="1159"/>
      <c r="G140" s="1159"/>
      <c r="H140" s="1159"/>
      <c r="I140" s="1159"/>
      <c r="J140" s="1159"/>
      <c r="K140" s="1159"/>
      <c r="L140" s="1159"/>
    </row>
    <row r="141" spans="1:12" ht="10.25" customHeight="1" x14ac:dyDescent="0.35">
      <c r="A141" s="1165" t="s">
        <v>877</v>
      </c>
      <c r="B141" s="1164" t="s">
        <v>1004</v>
      </c>
      <c r="C141" s="1159"/>
      <c r="D141" s="1159"/>
      <c r="E141" s="1159"/>
      <c r="F141" s="1190">
        <v>2357</v>
      </c>
      <c r="G141" s="1190">
        <v>3428</v>
      </c>
      <c r="H141" s="1190">
        <v>101094</v>
      </c>
      <c r="I141" s="1190">
        <v>13947</v>
      </c>
      <c r="J141" s="1189">
        <v>0</v>
      </c>
      <c r="K141" s="1190">
        <v>115041</v>
      </c>
      <c r="L141" s="1159"/>
    </row>
    <row r="142" spans="1:12" ht="10.25" customHeight="1" x14ac:dyDescent="0.35">
      <c r="A142" s="1165" t="s">
        <v>894</v>
      </c>
      <c r="B142" s="1164" t="s">
        <v>1005</v>
      </c>
      <c r="C142" s="1159"/>
      <c r="D142" s="1159"/>
      <c r="E142" s="1159"/>
      <c r="F142" s="1190">
        <v>2700</v>
      </c>
      <c r="G142" s="1189">
        <v>36</v>
      </c>
      <c r="H142" s="1190">
        <v>125771</v>
      </c>
      <c r="I142" s="1190">
        <v>18866</v>
      </c>
      <c r="J142" s="1189">
        <v>0</v>
      </c>
      <c r="K142" s="1190">
        <v>144637</v>
      </c>
      <c r="L142" s="1159"/>
    </row>
    <row r="143" spans="1:12" ht="10.25" customHeight="1" x14ac:dyDescent="0.35">
      <c r="A143" s="1165" t="s">
        <v>909</v>
      </c>
      <c r="B143" s="1164" t="s">
        <v>1006</v>
      </c>
      <c r="C143" s="1159"/>
      <c r="D143" s="1159"/>
      <c r="E143" s="1159"/>
      <c r="F143" s="1190">
        <v>4424</v>
      </c>
      <c r="G143" s="1190">
        <v>11498</v>
      </c>
      <c r="H143" s="1190">
        <v>1591206</v>
      </c>
      <c r="I143" s="1190">
        <v>10360</v>
      </c>
      <c r="J143" s="1190">
        <v>229823</v>
      </c>
      <c r="K143" s="1190">
        <v>1371743</v>
      </c>
      <c r="L143" s="1159"/>
    </row>
    <row r="144" spans="1:12" ht="10.25" customHeight="1" x14ac:dyDescent="0.35">
      <c r="A144" s="1165" t="s">
        <v>920</v>
      </c>
      <c r="B144" s="1164" t="s">
        <v>1007</v>
      </c>
      <c r="C144" s="1159"/>
      <c r="D144" s="1159"/>
      <c r="E144" s="1159"/>
      <c r="F144" s="1189">
        <v>0</v>
      </c>
      <c r="G144" s="1189">
        <v>0</v>
      </c>
      <c r="H144" s="1189">
        <v>0</v>
      </c>
      <c r="I144" s="1189">
        <v>0</v>
      </c>
      <c r="J144" s="1189">
        <v>0</v>
      </c>
      <c r="K144" s="1189">
        <v>0</v>
      </c>
      <c r="L144" s="1159"/>
    </row>
    <row r="145" spans="1:12" ht="10.25" customHeight="1" x14ac:dyDescent="0.35">
      <c r="A145" s="1165" t="s">
        <v>932</v>
      </c>
      <c r="B145" s="1164" t="s">
        <v>1008</v>
      </c>
      <c r="C145" s="1159"/>
      <c r="D145" s="1159"/>
      <c r="E145" s="1159"/>
      <c r="F145" s="1189">
        <v>0</v>
      </c>
      <c r="G145" s="1189">
        <v>0</v>
      </c>
      <c r="H145" s="1189">
        <v>0</v>
      </c>
      <c r="I145" s="1189">
        <v>0</v>
      </c>
      <c r="J145" s="1189">
        <v>0</v>
      </c>
      <c r="K145" s="1189">
        <v>0</v>
      </c>
      <c r="L145" s="1159"/>
    </row>
    <row r="146" spans="1:12" ht="10.25" customHeight="1" x14ac:dyDescent="0.35">
      <c r="A146" s="1165" t="s">
        <v>955</v>
      </c>
      <c r="B146" s="1164" t="s">
        <v>1009</v>
      </c>
      <c r="C146" s="1159"/>
      <c r="D146" s="1159"/>
      <c r="E146" s="1159"/>
      <c r="F146" s="1189">
        <v>0</v>
      </c>
      <c r="G146" s="1189">
        <v>0</v>
      </c>
      <c r="H146" s="1189">
        <v>0</v>
      </c>
      <c r="I146" s="1189">
        <v>0</v>
      </c>
      <c r="J146" s="1189">
        <v>0</v>
      </c>
      <c r="K146" s="1189">
        <v>0</v>
      </c>
      <c r="L146" s="1159"/>
    </row>
    <row r="147" spans="1:12" ht="10.25" customHeight="1" x14ac:dyDescent="0.35">
      <c r="A147" s="1165" t="s">
        <v>966</v>
      </c>
      <c r="B147" s="1164" t="s">
        <v>1010</v>
      </c>
      <c r="C147" s="1159"/>
      <c r="D147" s="1159"/>
      <c r="E147" s="1159"/>
      <c r="F147" s="1189">
        <v>232</v>
      </c>
      <c r="G147" s="1189">
        <v>0</v>
      </c>
      <c r="H147" s="1190">
        <v>13394</v>
      </c>
      <c r="I147" s="1190">
        <v>2009</v>
      </c>
      <c r="J147" s="1189">
        <v>0</v>
      </c>
      <c r="K147" s="1190">
        <v>15403</v>
      </c>
      <c r="L147" s="1159"/>
    </row>
    <row r="148" spans="1:12" ht="10.25" customHeight="1" x14ac:dyDescent="0.35">
      <c r="A148" s="1165" t="s">
        <v>970</v>
      </c>
      <c r="B148" s="1164" t="s">
        <v>1011</v>
      </c>
      <c r="C148" s="1159"/>
      <c r="D148" s="1159"/>
      <c r="E148" s="1159"/>
      <c r="F148" s="1184" t="s">
        <v>849</v>
      </c>
      <c r="G148" s="1184" t="s">
        <v>849</v>
      </c>
      <c r="H148" s="1184" t="s">
        <v>849</v>
      </c>
      <c r="I148" s="1184" t="s">
        <v>849</v>
      </c>
      <c r="J148" s="1184" t="s">
        <v>849</v>
      </c>
      <c r="K148" s="1186">
        <v>1042403</v>
      </c>
      <c r="L148" s="1159"/>
    </row>
    <row r="149" spans="1:12" ht="10.25" customHeight="1" x14ac:dyDescent="0.35">
      <c r="A149" s="1165" t="s">
        <v>1000</v>
      </c>
      <c r="B149" s="1164" t="s">
        <v>1012</v>
      </c>
      <c r="C149" s="1159"/>
      <c r="D149" s="1159"/>
      <c r="E149" s="1159"/>
      <c r="F149" s="1189">
        <v>0</v>
      </c>
      <c r="G149" s="1189">
        <v>0</v>
      </c>
      <c r="H149" s="1189">
        <v>0</v>
      </c>
      <c r="I149" s="1189">
        <v>0</v>
      </c>
      <c r="J149" s="1189">
        <v>0</v>
      </c>
      <c r="K149" s="1189">
        <v>0</v>
      </c>
      <c r="L149" s="1159"/>
    </row>
    <row r="150" spans="1:12" ht="10.25" customHeight="1" x14ac:dyDescent="0.35">
      <c r="A150" s="1165" t="s">
        <v>847</v>
      </c>
      <c r="B150" s="1164" t="s">
        <v>1013</v>
      </c>
      <c r="C150" s="1159"/>
      <c r="D150" s="1159"/>
      <c r="E150" s="1159"/>
      <c r="F150" s="1184" t="s">
        <v>849</v>
      </c>
      <c r="G150" s="1184" t="s">
        <v>849</v>
      </c>
      <c r="H150" s="1190">
        <v>1000245</v>
      </c>
      <c r="I150" s="1189">
        <v>0</v>
      </c>
      <c r="J150" s="1190">
        <v>831531</v>
      </c>
      <c r="K150" s="1190">
        <v>168714</v>
      </c>
      <c r="L150" s="1159"/>
    </row>
    <row r="151" spans="1:12" ht="10.25" customHeight="1" x14ac:dyDescent="0.35">
      <c r="A151" s="1159"/>
      <c r="B151" s="1159"/>
      <c r="C151" s="1159"/>
      <c r="D151" s="1159"/>
      <c r="E151" s="1159"/>
      <c r="F151" s="1159"/>
      <c r="G151" s="1159"/>
      <c r="H151" s="1159"/>
      <c r="I151" s="1159"/>
      <c r="J151" s="1159"/>
      <c r="K151" s="1159"/>
      <c r="L151" s="1159"/>
    </row>
    <row r="152" spans="1:12" ht="10.25" customHeight="1" x14ac:dyDescent="0.35">
      <c r="A152" s="1164" t="s">
        <v>1014</v>
      </c>
      <c r="B152" s="1164" t="s">
        <v>1003</v>
      </c>
      <c r="C152" s="1159"/>
      <c r="D152" s="1159"/>
      <c r="E152" s="1159"/>
      <c r="F152" s="1190">
        <v>9713</v>
      </c>
      <c r="G152" s="1190">
        <v>14962</v>
      </c>
      <c r="H152" s="1190">
        <v>2831710</v>
      </c>
      <c r="I152" s="1190">
        <v>45182</v>
      </c>
      <c r="J152" s="1190">
        <v>1061354</v>
      </c>
      <c r="K152" s="1190">
        <v>2857941</v>
      </c>
      <c r="L152" s="1159"/>
    </row>
    <row r="153" spans="1:12" ht="10.25" customHeight="1" x14ac:dyDescent="0.35">
      <c r="A153" s="1159"/>
      <c r="B153" s="1159"/>
      <c r="C153" s="1159"/>
      <c r="D153" s="1159"/>
      <c r="E153" s="1159"/>
      <c r="F153" s="1159"/>
      <c r="G153" s="1159"/>
      <c r="H153" s="1159"/>
      <c r="I153" s="1159"/>
      <c r="J153" s="1159"/>
      <c r="K153" s="1159"/>
      <c r="L153" s="1159"/>
    </row>
    <row r="154" spans="1:12" ht="10.25" customHeight="1" x14ac:dyDescent="0.35">
      <c r="A154" s="1164" t="s">
        <v>1015</v>
      </c>
      <c r="B154" s="1164" t="s">
        <v>1016</v>
      </c>
      <c r="C154" s="1159"/>
      <c r="D154" s="1159"/>
      <c r="E154" s="1159"/>
      <c r="F154" s="1217">
        <v>6.4299999999999996E-2</v>
      </c>
      <c r="G154" s="1159"/>
      <c r="H154" s="1159"/>
      <c r="I154" s="1159"/>
      <c r="J154" s="1159"/>
      <c r="K154" s="1159"/>
      <c r="L154" s="1159"/>
    </row>
    <row r="155" spans="1:12" ht="10.25" customHeight="1" x14ac:dyDescent="0.35">
      <c r="A155" s="1164" t="s">
        <v>1017</v>
      </c>
      <c r="B155" s="1164" t="s">
        <v>1018</v>
      </c>
      <c r="C155" s="1159"/>
      <c r="D155" s="1159"/>
      <c r="E155" s="1159"/>
      <c r="F155" s="1217">
        <v>2.0562</v>
      </c>
      <c r="G155" s="1159"/>
      <c r="H155" s="1159"/>
      <c r="I155" s="1159"/>
      <c r="J155" s="1159"/>
      <c r="K155" s="1159"/>
      <c r="L155" s="1159"/>
    </row>
    <row r="156" spans="1:12" ht="10.25" customHeight="1" x14ac:dyDescent="0.35">
      <c r="A156" s="1159"/>
      <c r="B156" s="1159"/>
      <c r="C156" s="1159"/>
      <c r="D156" s="1159"/>
      <c r="E156" s="1159"/>
      <c r="F156" s="1159"/>
      <c r="G156" s="1159"/>
      <c r="H156" s="1159"/>
      <c r="I156" s="1159"/>
      <c r="J156" s="1159"/>
      <c r="K156" s="1159"/>
      <c r="L156" s="1159"/>
    </row>
  </sheetData>
  <mergeCells count="48">
    <mergeCell ref="E67:L67"/>
    <mergeCell ref="B70:D70"/>
    <mergeCell ref="B71:D71"/>
    <mergeCell ref="B72:D72"/>
    <mergeCell ref="E73:L73"/>
    <mergeCell ref="B54:D54"/>
    <mergeCell ref="B58:D58"/>
    <mergeCell ref="B60:D60"/>
    <mergeCell ref="B61:D61"/>
    <mergeCell ref="I63:J63"/>
    <mergeCell ref="B134:D134"/>
    <mergeCell ref="B135:D135"/>
    <mergeCell ref="B133:D133"/>
    <mergeCell ref="B104:D104"/>
    <mergeCell ref="B105:D105"/>
    <mergeCell ref="B106:D106"/>
    <mergeCell ref="D2:H2"/>
    <mergeCell ref="B34:D34"/>
    <mergeCell ref="C11:G11"/>
    <mergeCell ref="B41:C41"/>
    <mergeCell ref="B45:D45"/>
    <mergeCell ref="B44:D44"/>
    <mergeCell ref="B13:H13"/>
    <mergeCell ref="C5:G5"/>
    <mergeCell ref="C6:G6"/>
    <mergeCell ref="C7:G7"/>
    <mergeCell ref="C9:G9"/>
    <mergeCell ref="C10:G10"/>
    <mergeCell ref="B30:D30"/>
    <mergeCell ref="A16:E16"/>
    <mergeCell ref="A19:E19"/>
    <mergeCell ref="B32:D32"/>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B33:D33"/>
  </mergeCells>
  <hyperlinks>
    <hyperlink ref="C11" r:id="rId1" display="mailto:cmoye@adventisthealthcare.com"/>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K156"/>
  <sheetViews>
    <sheetView showGridLines="0" zoomScale="85" zoomScaleNormal="85" zoomScaleSheetLayoutView="80" workbookViewId="0">
      <selection activeCell="B6" sqref="B6"/>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1017" t="s">
        <v>805</v>
      </c>
      <c r="D5" s="962"/>
      <c r="E5" s="962"/>
      <c r="F5" s="962"/>
      <c r="G5" s="963"/>
    </row>
    <row r="6" spans="1:11" ht="18" customHeight="1" x14ac:dyDescent="0.4">
      <c r="B6" s="183" t="s">
        <v>3</v>
      </c>
      <c r="C6" s="964">
        <v>61</v>
      </c>
      <c r="D6" s="965"/>
      <c r="E6" s="965"/>
      <c r="F6" s="965"/>
      <c r="G6" s="966"/>
    </row>
    <row r="7" spans="1:11" ht="18" customHeight="1" x14ac:dyDescent="0.4">
      <c r="B7" s="183" t="s">
        <v>4</v>
      </c>
      <c r="C7" s="1014">
        <v>925</v>
      </c>
      <c r="D7" s="1015"/>
      <c r="E7" s="1015"/>
      <c r="F7" s="1015"/>
      <c r="G7" s="1016"/>
    </row>
    <row r="9" spans="1:11" ht="18" customHeight="1" x14ac:dyDescent="0.4">
      <c r="B9" s="183" t="s">
        <v>1</v>
      </c>
      <c r="C9" s="1017" t="s">
        <v>243</v>
      </c>
      <c r="D9" s="962"/>
      <c r="E9" s="962"/>
      <c r="F9" s="962"/>
      <c r="G9" s="963"/>
    </row>
    <row r="10" spans="1:11" ht="18" customHeight="1" x14ac:dyDescent="0.4">
      <c r="B10" s="183" t="s">
        <v>2</v>
      </c>
      <c r="C10" s="1018" t="s">
        <v>806</v>
      </c>
      <c r="D10" s="971"/>
      <c r="E10" s="971"/>
      <c r="F10" s="971"/>
      <c r="G10" s="972"/>
    </row>
    <row r="11" spans="1:11" ht="18" customHeight="1" x14ac:dyDescent="0.4">
      <c r="B11" s="183" t="s">
        <v>32</v>
      </c>
      <c r="C11" s="954" t="s">
        <v>244</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2125209.2369314781</v>
      </c>
      <c r="I18" s="144">
        <v>0</v>
      </c>
      <c r="J18" s="556">
        <v>1766744.157141526</v>
      </c>
      <c r="K18" s="557">
        <f>(H18+I18)-J18</f>
        <v>358465.07978995214</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1860</v>
      </c>
      <c r="G21" s="555">
        <v>25259</v>
      </c>
      <c r="H21" s="556">
        <v>122331</v>
      </c>
      <c r="I21" s="144">
        <f t="shared" ref="I21:I34" si="0">H21*F$114</f>
        <v>85888.991701794264</v>
      </c>
      <c r="J21" s="556">
        <v>5</v>
      </c>
      <c r="K21" s="557">
        <f t="shared" ref="K21:K34" si="1">(H21+I21)-J21</f>
        <v>208214.99170179426</v>
      </c>
    </row>
    <row r="22" spans="1:11" ht="18" customHeight="1" x14ac:dyDescent="0.4">
      <c r="A22" s="183" t="s">
        <v>76</v>
      </c>
      <c r="B22" s="189" t="s">
        <v>6</v>
      </c>
      <c r="F22" s="555">
        <v>132.5</v>
      </c>
      <c r="G22" s="555">
        <v>708</v>
      </c>
      <c r="H22" s="556">
        <v>6770</v>
      </c>
      <c r="I22" s="144">
        <f t="shared" si="0"/>
        <v>4753.2389485996782</v>
      </c>
      <c r="J22" s="556"/>
      <c r="K22" s="557">
        <f t="shared" si="1"/>
        <v>11523.238948599679</v>
      </c>
    </row>
    <row r="23" spans="1:11" ht="18" customHeight="1" x14ac:dyDescent="0.4">
      <c r="A23" s="183" t="s">
        <v>77</v>
      </c>
      <c r="B23" s="189" t="s">
        <v>43</v>
      </c>
      <c r="F23" s="555"/>
      <c r="G23" s="555"/>
      <c r="H23" s="556"/>
      <c r="I23" s="144">
        <f t="shared" si="0"/>
        <v>0</v>
      </c>
      <c r="J23" s="556"/>
      <c r="K23" s="557">
        <f t="shared" si="1"/>
        <v>0</v>
      </c>
    </row>
    <row r="24" spans="1:11" ht="18" customHeight="1" x14ac:dyDescent="0.4">
      <c r="A24" s="183" t="s">
        <v>78</v>
      </c>
      <c r="B24" s="189" t="s">
        <v>44</v>
      </c>
      <c r="F24" s="555">
        <v>224</v>
      </c>
      <c r="G24" s="555">
        <v>184</v>
      </c>
      <c r="H24" s="556">
        <v>8305</v>
      </c>
      <c r="I24" s="144">
        <f t="shared" si="0"/>
        <v>5830.967425128556</v>
      </c>
      <c r="J24" s="556">
        <v>36</v>
      </c>
      <c r="K24" s="557">
        <f t="shared" si="1"/>
        <v>14099.967425128556</v>
      </c>
    </row>
    <row r="25" spans="1:11" ht="18" customHeight="1" x14ac:dyDescent="0.4">
      <c r="A25" s="183" t="s">
        <v>79</v>
      </c>
      <c r="B25" s="189" t="s">
        <v>5</v>
      </c>
      <c r="F25" s="555">
        <v>316</v>
      </c>
      <c r="G25" s="555">
        <v>1901</v>
      </c>
      <c r="H25" s="556">
        <v>13072</v>
      </c>
      <c r="I25" s="144">
        <f t="shared" si="0"/>
        <v>9177.893579925405</v>
      </c>
      <c r="J25" s="556"/>
      <c r="K25" s="557">
        <f t="shared" si="1"/>
        <v>22249.893579925403</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v>155</v>
      </c>
      <c r="G27" s="555">
        <v>3694</v>
      </c>
      <c r="H27" s="556">
        <v>137011</v>
      </c>
      <c r="I27" s="144">
        <f t="shared" si="0"/>
        <v>96195.867294917349</v>
      </c>
      <c r="J27" s="556"/>
      <c r="K27" s="557">
        <f t="shared" si="1"/>
        <v>233206.86729491735</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5">
        <v>2191.4</v>
      </c>
      <c r="G29" s="555">
        <v>883</v>
      </c>
      <c r="H29" s="556">
        <v>41288</v>
      </c>
      <c r="I29" s="144">
        <f t="shared" si="0"/>
        <v>28988.43865727969</v>
      </c>
      <c r="J29" s="556"/>
      <c r="K29" s="557">
        <f t="shared" si="1"/>
        <v>70276.438657279694</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31"/>
      <c r="C32" s="532"/>
      <c r="D32" s="533"/>
      <c r="F32" s="555"/>
      <c r="G32" s="558" t="s">
        <v>85</v>
      </c>
      <c r="H32" s="556"/>
      <c r="I32" s="144">
        <f t="shared" si="0"/>
        <v>0</v>
      </c>
      <c r="J32" s="556"/>
      <c r="K32" s="557">
        <f t="shared" si="1"/>
        <v>0</v>
      </c>
    </row>
    <row r="33" spans="1:11" ht="18" customHeight="1" x14ac:dyDescent="0.4">
      <c r="A33" s="183" t="s">
        <v>135</v>
      </c>
      <c r="B33" s="531"/>
      <c r="C33" s="532"/>
      <c r="D33" s="533"/>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4878.8999999999996</v>
      </c>
      <c r="G36" s="560">
        <f t="shared" si="2"/>
        <v>32629</v>
      </c>
      <c r="H36" s="560">
        <f t="shared" si="2"/>
        <v>328777</v>
      </c>
      <c r="I36" s="557">
        <f t="shared" si="2"/>
        <v>230835.39760764493</v>
      </c>
      <c r="J36" s="557">
        <f t="shared" si="2"/>
        <v>41</v>
      </c>
      <c r="K36" s="557">
        <f t="shared" si="2"/>
        <v>559571.3976076449</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c r="G40" s="555"/>
      <c r="H40" s="556"/>
      <c r="I40" s="144">
        <v>0</v>
      </c>
      <c r="J40" s="556"/>
      <c r="K40" s="557">
        <f t="shared" ref="K40:K47" si="3">(H40+I40)-J40</f>
        <v>0</v>
      </c>
    </row>
    <row r="41" spans="1:11" ht="18" customHeight="1" x14ac:dyDescent="0.4">
      <c r="A41" s="183" t="s">
        <v>88</v>
      </c>
      <c r="B41" s="956" t="s">
        <v>50</v>
      </c>
      <c r="C41" s="957"/>
      <c r="F41" s="555">
        <v>3206</v>
      </c>
      <c r="G41" s="555">
        <v>1575</v>
      </c>
      <c r="H41" s="556">
        <v>119291</v>
      </c>
      <c r="I41" s="144">
        <v>0</v>
      </c>
      <c r="J41" s="556"/>
      <c r="K41" s="557">
        <f t="shared" si="3"/>
        <v>119291</v>
      </c>
    </row>
    <row r="42" spans="1:11" ht="18" customHeight="1" x14ac:dyDescent="0.4">
      <c r="A42" s="183" t="s">
        <v>89</v>
      </c>
      <c r="B42" s="116" t="s">
        <v>11</v>
      </c>
      <c r="F42" s="555">
        <v>6048.5</v>
      </c>
      <c r="G42" s="555">
        <v>3091</v>
      </c>
      <c r="H42" s="556">
        <v>198904</v>
      </c>
      <c r="I42" s="144">
        <v>0</v>
      </c>
      <c r="J42" s="556"/>
      <c r="K42" s="557">
        <f t="shared" si="3"/>
        <v>198904</v>
      </c>
    </row>
    <row r="43" spans="1:11" ht="18" customHeight="1" x14ac:dyDescent="0.4">
      <c r="A43" s="183" t="s">
        <v>90</v>
      </c>
      <c r="B43" s="141" t="s">
        <v>10</v>
      </c>
      <c r="C43" s="123"/>
      <c r="D43" s="123"/>
      <c r="F43" s="555">
        <v>7.5</v>
      </c>
      <c r="G43" s="555">
        <v>78</v>
      </c>
      <c r="H43" s="556">
        <f>763+44</f>
        <v>807</v>
      </c>
      <c r="I43" s="144">
        <v>0</v>
      </c>
      <c r="J43" s="556"/>
      <c r="K43" s="557">
        <f t="shared" si="3"/>
        <v>807</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9262</v>
      </c>
      <c r="G49" s="563">
        <f t="shared" si="4"/>
        <v>4744</v>
      </c>
      <c r="H49" s="557">
        <f t="shared" si="4"/>
        <v>319002</v>
      </c>
      <c r="I49" s="557">
        <f t="shared" si="4"/>
        <v>0</v>
      </c>
      <c r="J49" s="557">
        <f t="shared" si="4"/>
        <v>0</v>
      </c>
      <c r="K49" s="557">
        <f t="shared" si="4"/>
        <v>319002</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26" t="s">
        <v>564</v>
      </c>
      <c r="C53" s="1027"/>
      <c r="D53" s="1028"/>
      <c r="F53" s="555"/>
      <c r="G53" s="555"/>
      <c r="H53" s="556">
        <v>22256</v>
      </c>
      <c r="I53" s="144">
        <v>0</v>
      </c>
      <c r="J53" s="556"/>
      <c r="K53" s="557">
        <f t="shared" ref="K53:K62" si="5">(H53+I53)-J53</f>
        <v>22256</v>
      </c>
    </row>
    <row r="54" spans="1:11" ht="18" customHeight="1" x14ac:dyDescent="0.4">
      <c r="A54" s="183" t="s">
        <v>93</v>
      </c>
      <c r="B54" s="548" t="s">
        <v>563</v>
      </c>
      <c r="C54" s="537"/>
      <c r="D54" s="538"/>
      <c r="F54" s="555"/>
      <c r="G54" s="555"/>
      <c r="H54" s="556">
        <v>124485</v>
      </c>
      <c r="I54" s="144">
        <v>0</v>
      </c>
      <c r="J54" s="556"/>
      <c r="K54" s="557">
        <f t="shared" si="5"/>
        <v>124485</v>
      </c>
    </row>
    <row r="55" spans="1:11" ht="18" customHeight="1" x14ac:dyDescent="0.4">
      <c r="A55" s="183" t="s">
        <v>94</v>
      </c>
      <c r="B55" s="1026" t="s">
        <v>565</v>
      </c>
      <c r="C55" s="1027"/>
      <c r="D55" s="1028"/>
      <c r="F55" s="555"/>
      <c r="G55" s="555"/>
      <c r="H55" s="556">
        <v>12213351</v>
      </c>
      <c r="I55" s="144">
        <v>0</v>
      </c>
      <c r="J55" s="556"/>
      <c r="K55" s="557">
        <f t="shared" si="5"/>
        <v>12213351</v>
      </c>
    </row>
    <row r="56" spans="1:11" ht="18" customHeight="1" x14ac:dyDescent="0.4">
      <c r="A56" s="183" t="s">
        <v>95</v>
      </c>
      <c r="B56" s="980"/>
      <c r="C56" s="974"/>
      <c r="D56" s="975"/>
      <c r="F56" s="555"/>
      <c r="G56" s="555"/>
      <c r="H56" s="556"/>
      <c r="I56" s="144">
        <v>0</v>
      </c>
      <c r="J56" s="556"/>
      <c r="K56" s="557">
        <f t="shared" si="5"/>
        <v>0</v>
      </c>
    </row>
    <row r="57" spans="1:11" ht="18" customHeight="1" x14ac:dyDescent="0.4">
      <c r="A57" s="183" t="s">
        <v>96</v>
      </c>
      <c r="B57" s="980"/>
      <c r="C57" s="974"/>
      <c r="D57" s="975"/>
      <c r="F57" s="555"/>
      <c r="G57" s="555"/>
      <c r="H57" s="556"/>
      <c r="I57" s="144">
        <v>0</v>
      </c>
      <c r="J57" s="556"/>
      <c r="K57" s="557">
        <f t="shared" si="5"/>
        <v>0</v>
      </c>
    </row>
    <row r="58" spans="1:11" ht="18" customHeight="1" x14ac:dyDescent="0.4">
      <c r="A58" s="183" t="s">
        <v>97</v>
      </c>
      <c r="B58" s="536"/>
      <c r="C58" s="537"/>
      <c r="D58" s="538"/>
      <c r="F58" s="555"/>
      <c r="G58" s="555"/>
      <c r="H58" s="556"/>
      <c r="I58" s="144">
        <v>0</v>
      </c>
      <c r="J58" s="556"/>
      <c r="K58" s="557">
        <f t="shared" si="5"/>
        <v>0</v>
      </c>
    </row>
    <row r="59" spans="1:11" ht="18" customHeight="1" x14ac:dyDescent="0.4">
      <c r="A59" s="183" t="s">
        <v>98</v>
      </c>
      <c r="B59" s="980"/>
      <c r="C59" s="974"/>
      <c r="D59" s="975"/>
      <c r="F59" s="555"/>
      <c r="G59" s="555"/>
      <c r="H59" s="556"/>
      <c r="I59" s="144">
        <v>0</v>
      </c>
      <c r="J59" s="556"/>
      <c r="K59" s="557">
        <f t="shared" si="5"/>
        <v>0</v>
      </c>
    </row>
    <row r="60" spans="1:11" ht="18" customHeight="1" x14ac:dyDescent="0.4">
      <c r="A60" s="183" t="s">
        <v>99</v>
      </c>
      <c r="B60" s="536"/>
      <c r="C60" s="537"/>
      <c r="D60" s="538"/>
      <c r="F60" s="555"/>
      <c r="G60" s="555"/>
      <c r="H60" s="556"/>
      <c r="I60" s="144">
        <v>0</v>
      </c>
      <c r="J60" s="556"/>
      <c r="K60" s="557">
        <f t="shared" si="5"/>
        <v>0</v>
      </c>
    </row>
    <row r="61" spans="1:11" ht="18" customHeight="1" x14ac:dyDescent="0.4">
      <c r="A61" s="183" t="s">
        <v>100</v>
      </c>
      <c r="B61" s="536"/>
      <c r="C61" s="537"/>
      <c r="D61" s="538"/>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0</v>
      </c>
      <c r="G64" s="560">
        <f t="shared" si="6"/>
        <v>0</v>
      </c>
      <c r="H64" s="557">
        <f t="shared" si="6"/>
        <v>12360092</v>
      </c>
      <c r="I64" s="557">
        <f t="shared" si="6"/>
        <v>0</v>
      </c>
      <c r="J64" s="557">
        <f t="shared" si="6"/>
        <v>0</v>
      </c>
      <c r="K64" s="557">
        <f t="shared" si="6"/>
        <v>12360092</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f>(H68+I68)-J68</f>
        <v>0</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36"/>
      <c r="C70" s="537"/>
      <c r="D70" s="538"/>
      <c r="E70" s="117"/>
      <c r="F70" s="131"/>
      <c r="G70" s="131"/>
      <c r="H70" s="132"/>
      <c r="I70" s="144">
        <v>0</v>
      </c>
      <c r="J70" s="132"/>
      <c r="K70" s="557">
        <f>(H70+I70)-J70</f>
        <v>0</v>
      </c>
    </row>
    <row r="71" spans="1:11" ht="18" customHeight="1" x14ac:dyDescent="0.4">
      <c r="A71" s="183" t="s">
        <v>179</v>
      </c>
      <c r="B71" s="536"/>
      <c r="C71" s="537"/>
      <c r="D71" s="538"/>
      <c r="E71" s="117"/>
      <c r="F71" s="131"/>
      <c r="G71" s="131"/>
      <c r="H71" s="132"/>
      <c r="I71" s="144">
        <v>0</v>
      </c>
      <c r="J71" s="132"/>
      <c r="K71" s="557">
        <f>(H71+I71)-J71</f>
        <v>0</v>
      </c>
    </row>
    <row r="72" spans="1:11" ht="18" customHeight="1" x14ac:dyDescent="0.4">
      <c r="A72" s="183" t="s">
        <v>180</v>
      </c>
      <c r="B72" s="544"/>
      <c r="C72" s="543"/>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0</v>
      </c>
      <c r="G74" s="566">
        <f t="shared" si="7"/>
        <v>0</v>
      </c>
      <c r="H74" s="566">
        <f t="shared" si="7"/>
        <v>0</v>
      </c>
      <c r="I74" s="145">
        <f t="shared" si="7"/>
        <v>0</v>
      </c>
      <c r="J74" s="566">
        <f t="shared" si="7"/>
        <v>0</v>
      </c>
      <c r="K74" s="567">
        <f t="shared" si="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c r="I77" s="144">
        <v>0</v>
      </c>
      <c r="J77" s="556"/>
      <c r="K77" s="557">
        <f>(H77+I77)-J77</f>
        <v>0</v>
      </c>
    </row>
    <row r="78" spans="1:11" ht="18" customHeight="1" x14ac:dyDescent="0.4">
      <c r="A78" s="183" t="s">
        <v>108</v>
      </c>
      <c r="B78" s="116" t="s">
        <v>55</v>
      </c>
      <c r="F78" s="555">
        <v>85.5</v>
      </c>
      <c r="G78" s="555">
        <v>91</v>
      </c>
      <c r="H78" s="556">
        <v>4628</v>
      </c>
      <c r="I78" s="144">
        <v>0</v>
      </c>
      <c r="J78" s="556"/>
      <c r="K78" s="557">
        <f>(H78+I78)-J78</f>
        <v>4628</v>
      </c>
    </row>
    <row r="79" spans="1:11" ht="18" customHeight="1" x14ac:dyDescent="0.4">
      <c r="A79" s="183" t="s">
        <v>109</v>
      </c>
      <c r="B79" s="116" t="s">
        <v>13</v>
      </c>
      <c r="F79" s="555">
        <v>88</v>
      </c>
      <c r="G79" s="555">
        <v>1864</v>
      </c>
      <c r="H79" s="556">
        <v>53145</v>
      </c>
      <c r="I79" s="144">
        <v>0</v>
      </c>
      <c r="J79" s="556"/>
      <c r="K79" s="557">
        <f>(H79+I79)-J79</f>
        <v>53145</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173.5</v>
      </c>
      <c r="G82" s="566">
        <f t="shared" si="8"/>
        <v>1955</v>
      </c>
      <c r="H82" s="567">
        <f t="shared" si="8"/>
        <v>57773</v>
      </c>
      <c r="I82" s="567">
        <f t="shared" si="8"/>
        <v>0</v>
      </c>
      <c r="J82" s="567">
        <f t="shared" si="8"/>
        <v>0</v>
      </c>
      <c r="K82" s="567">
        <f t="shared" si="8"/>
        <v>57773</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7</v>
      </c>
      <c r="G86" s="555">
        <v>594</v>
      </c>
      <c r="H86" s="556">
        <v>541</v>
      </c>
      <c r="I86" s="144">
        <f t="shared" ref="I86:I96" si="9">H86*F$114</f>
        <v>379.83785394275122</v>
      </c>
      <c r="J86" s="556"/>
      <c r="K86" s="557">
        <f t="shared" ref="K86:K96" si="10">(H86+I86)-J86</f>
        <v>920.83785394275128</v>
      </c>
    </row>
    <row r="87" spans="1:11" ht="18" customHeight="1" x14ac:dyDescent="0.4">
      <c r="A87" s="183" t="s">
        <v>114</v>
      </c>
      <c r="B87" s="116" t="s">
        <v>14</v>
      </c>
      <c r="F87" s="555">
        <v>37.5</v>
      </c>
      <c r="G87" s="555">
        <v>1619</v>
      </c>
      <c r="H87" s="556">
        <v>1495</v>
      </c>
      <c r="I87" s="144">
        <f t="shared" si="9"/>
        <v>1049.644346847344</v>
      </c>
      <c r="J87" s="556"/>
      <c r="K87" s="557">
        <f t="shared" si="10"/>
        <v>2544.644346847344</v>
      </c>
    </row>
    <row r="88" spans="1:11" ht="18" customHeight="1" x14ac:dyDescent="0.4">
      <c r="A88" s="183" t="s">
        <v>115</v>
      </c>
      <c r="B88" s="116" t="s">
        <v>116</v>
      </c>
      <c r="F88" s="555">
        <v>520.9</v>
      </c>
      <c r="G88" s="555">
        <v>2339</v>
      </c>
      <c r="H88" s="556">
        <v>62781</v>
      </c>
      <c r="I88" s="144">
        <f t="shared" si="9"/>
        <v>44078.743638410102</v>
      </c>
      <c r="J88" s="556"/>
      <c r="K88" s="557">
        <f t="shared" si="10"/>
        <v>106859.7436384101</v>
      </c>
    </row>
    <row r="89" spans="1:11" ht="18" customHeight="1" x14ac:dyDescent="0.4">
      <c r="A89" s="183" t="s">
        <v>117</v>
      </c>
      <c r="B89" s="116" t="s">
        <v>58</v>
      </c>
      <c r="F89" s="555"/>
      <c r="G89" s="555"/>
      <c r="H89" s="556"/>
      <c r="I89" s="144">
        <f t="shared" si="9"/>
        <v>0</v>
      </c>
      <c r="J89" s="556"/>
      <c r="K89" s="557">
        <f t="shared" si="10"/>
        <v>0</v>
      </c>
    </row>
    <row r="90" spans="1:11" ht="18" customHeight="1" x14ac:dyDescent="0.4">
      <c r="A90" s="183" t="s">
        <v>118</v>
      </c>
      <c r="B90" s="956" t="s">
        <v>59</v>
      </c>
      <c r="C90" s="957"/>
      <c r="F90" s="555">
        <v>1</v>
      </c>
      <c r="G90" s="555"/>
      <c r="H90" s="556">
        <v>88</v>
      </c>
      <c r="I90" s="144">
        <f t="shared" si="9"/>
        <v>61.785085299375432</v>
      </c>
      <c r="J90" s="556"/>
      <c r="K90" s="557">
        <f t="shared" si="10"/>
        <v>149.78508529937542</v>
      </c>
    </row>
    <row r="91" spans="1:11" ht="18" customHeight="1" x14ac:dyDescent="0.4">
      <c r="A91" s="183" t="s">
        <v>119</v>
      </c>
      <c r="B91" s="116" t="s">
        <v>60</v>
      </c>
      <c r="F91" s="555">
        <v>235.5</v>
      </c>
      <c r="G91" s="555">
        <v>1322</v>
      </c>
      <c r="H91" s="556">
        <v>11787</v>
      </c>
      <c r="I91" s="144">
        <f t="shared" si="9"/>
        <v>8275.6909139061154</v>
      </c>
      <c r="J91" s="556">
        <v>9</v>
      </c>
      <c r="K91" s="557">
        <f t="shared" si="10"/>
        <v>20053.690913906117</v>
      </c>
    </row>
    <row r="92" spans="1:11" ht="18" customHeight="1" x14ac:dyDescent="0.4">
      <c r="A92" s="183" t="s">
        <v>120</v>
      </c>
      <c r="B92" s="116" t="s">
        <v>121</v>
      </c>
      <c r="F92" s="134">
        <v>37</v>
      </c>
      <c r="G92" s="134">
        <v>246</v>
      </c>
      <c r="H92" s="135">
        <v>1896</v>
      </c>
      <c r="I92" s="144">
        <f t="shared" si="9"/>
        <v>1331.1877469047251</v>
      </c>
      <c r="J92" s="135"/>
      <c r="K92" s="557">
        <f t="shared" si="10"/>
        <v>3227.1877469047249</v>
      </c>
    </row>
    <row r="93" spans="1:11" ht="18" customHeight="1" x14ac:dyDescent="0.4">
      <c r="A93" s="183" t="s">
        <v>122</v>
      </c>
      <c r="B93" s="116" t="s">
        <v>123</v>
      </c>
      <c r="F93" s="555">
        <v>152.80000000000001</v>
      </c>
      <c r="G93" s="555">
        <v>591</v>
      </c>
      <c r="H93" s="556">
        <v>12955</v>
      </c>
      <c r="I93" s="144">
        <f t="shared" si="9"/>
        <v>9095.7475006069162</v>
      </c>
      <c r="J93" s="556"/>
      <c r="K93" s="557">
        <f t="shared" si="10"/>
        <v>22050.747500606914</v>
      </c>
    </row>
    <row r="94" spans="1:11" ht="18" customHeight="1" x14ac:dyDescent="0.4">
      <c r="A94" s="183" t="s">
        <v>124</v>
      </c>
      <c r="B94" s="980" t="s">
        <v>233</v>
      </c>
      <c r="C94" s="974"/>
      <c r="D94" s="975"/>
      <c r="F94" s="555">
        <v>9001</v>
      </c>
      <c r="G94" s="555">
        <v>152</v>
      </c>
      <c r="H94" s="556">
        <v>64806</v>
      </c>
      <c r="I94" s="144">
        <f t="shared" si="9"/>
        <v>45500.502703537772</v>
      </c>
      <c r="J94" s="556">
        <v>500</v>
      </c>
      <c r="K94" s="557">
        <f t="shared" si="10"/>
        <v>109806.50270353777</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9992.7000000000007</v>
      </c>
      <c r="G98" s="560">
        <f t="shared" si="11"/>
        <v>6863</v>
      </c>
      <c r="H98" s="560">
        <f t="shared" si="11"/>
        <v>156349</v>
      </c>
      <c r="I98" s="560">
        <f t="shared" si="11"/>
        <v>109773.1397894551</v>
      </c>
      <c r="J98" s="560">
        <f t="shared" si="11"/>
        <v>509</v>
      </c>
      <c r="K98" s="560">
        <f t="shared" si="11"/>
        <v>265613.1397894551</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47</v>
      </c>
      <c r="G102" s="555">
        <v>50</v>
      </c>
      <c r="H102" s="556">
        <f>2351+194476</f>
        <v>196827</v>
      </c>
      <c r="I102" s="144">
        <f>H102*F$114</f>
        <v>138192.87482068373</v>
      </c>
      <c r="J102" s="556"/>
      <c r="K102" s="557">
        <f>(H102+I102)-J102</f>
        <v>335019.87482068373</v>
      </c>
    </row>
    <row r="103" spans="1:11" ht="18" customHeight="1" x14ac:dyDescent="0.4">
      <c r="A103" s="183" t="s">
        <v>132</v>
      </c>
      <c r="B103" s="956" t="s">
        <v>62</v>
      </c>
      <c r="C103" s="956"/>
      <c r="F103" s="555">
        <v>5</v>
      </c>
      <c r="G103" s="555">
        <v>51</v>
      </c>
      <c r="H103" s="556">
        <v>239</v>
      </c>
      <c r="I103" s="144">
        <f>H103*F$114</f>
        <v>167.80267484716737</v>
      </c>
      <c r="J103" s="556"/>
      <c r="K103" s="557">
        <f>(H103+I103)-J103</f>
        <v>406.8026748471674</v>
      </c>
    </row>
    <row r="104" spans="1:11" ht="18" customHeight="1" x14ac:dyDescent="0.4">
      <c r="A104" s="183" t="s">
        <v>128</v>
      </c>
      <c r="B104" s="980" t="s">
        <v>318</v>
      </c>
      <c r="C104" s="974"/>
      <c r="D104" s="975"/>
      <c r="F104" s="555">
        <v>50</v>
      </c>
      <c r="G104" s="555">
        <v>0</v>
      </c>
      <c r="H104" s="556">
        <v>1732</v>
      </c>
      <c r="I104" s="144">
        <f>H104*F$114</f>
        <v>1216.0428152104346</v>
      </c>
      <c r="J104" s="556"/>
      <c r="K104" s="557">
        <f>(H104+I104)-J104</f>
        <v>2948.0428152104346</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102</v>
      </c>
      <c r="G108" s="560">
        <f t="shared" si="12"/>
        <v>101</v>
      </c>
      <c r="H108" s="557">
        <f t="shared" si="12"/>
        <v>198798</v>
      </c>
      <c r="I108" s="557">
        <f t="shared" si="12"/>
        <v>139576.72031074134</v>
      </c>
      <c r="J108" s="557">
        <f t="shared" si="12"/>
        <v>0</v>
      </c>
      <c r="K108" s="557">
        <f t="shared" si="12"/>
        <v>338374.72031074134</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2388460</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844">
        <f>(31813/45311)</f>
        <v>0.70210324203835717</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124549444</v>
      </c>
    </row>
    <row r="118" spans="1:6" ht="18" customHeight="1" x14ac:dyDescent="0.4">
      <c r="A118" s="183" t="s">
        <v>173</v>
      </c>
      <c r="B118" s="189" t="s">
        <v>18</v>
      </c>
      <c r="F118" s="556">
        <v>5016562</v>
      </c>
    </row>
    <row r="119" spans="1:6" ht="18" customHeight="1" x14ac:dyDescent="0.4">
      <c r="A119" s="183" t="s">
        <v>174</v>
      </c>
      <c r="B119" s="117" t="s">
        <v>19</v>
      </c>
      <c r="F119" s="567">
        <f>SUM(F117:F118)</f>
        <v>129566006</v>
      </c>
    </row>
    <row r="120" spans="1:6" ht="18" customHeight="1" x14ac:dyDescent="0.4">
      <c r="A120" s="183"/>
      <c r="B120" s="117"/>
    </row>
    <row r="121" spans="1:6" ht="18" customHeight="1" x14ac:dyDescent="0.4">
      <c r="A121" s="183" t="s">
        <v>167</v>
      </c>
      <c r="B121" s="117" t="s">
        <v>36</v>
      </c>
      <c r="F121" s="556">
        <v>134838095</v>
      </c>
    </row>
    <row r="122" spans="1:6" ht="18" customHeight="1" x14ac:dyDescent="0.4">
      <c r="A122" s="183"/>
    </row>
    <row r="123" spans="1:6" ht="18" customHeight="1" x14ac:dyDescent="0.4">
      <c r="A123" s="183" t="s">
        <v>175</v>
      </c>
      <c r="B123" s="117" t="s">
        <v>20</v>
      </c>
      <c r="F123" s="556">
        <f>+F119-F121</f>
        <v>-5272089</v>
      </c>
    </row>
    <row r="124" spans="1:6" ht="18" customHeight="1" x14ac:dyDescent="0.4">
      <c r="A124" s="183"/>
    </row>
    <row r="125" spans="1:6" ht="18" customHeight="1" x14ac:dyDescent="0.4">
      <c r="A125" s="183" t="s">
        <v>176</v>
      </c>
      <c r="B125" s="117" t="s">
        <v>21</v>
      </c>
      <c r="F125" s="556">
        <v>-1764803</v>
      </c>
    </row>
    <row r="126" spans="1:6" ht="18" customHeight="1" x14ac:dyDescent="0.4">
      <c r="A126" s="183"/>
    </row>
    <row r="127" spans="1:6" ht="18" customHeight="1" x14ac:dyDescent="0.4">
      <c r="A127" s="183" t="s">
        <v>177</v>
      </c>
      <c r="B127" s="117" t="s">
        <v>22</v>
      </c>
      <c r="F127" s="556">
        <f>+F125+F123</f>
        <v>-7036892</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4878.8999999999996</v>
      </c>
      <c r="G141" s="136">
        <f t="shared" si="14"/>
        <v>32629</v>
      </c>
      <c r="H141" s="136">
        <f t="shared" si="14"/>
        <v>328777</v>
      </c>
      <c r="I141" s="136">
        <f t="shared" si="14"/>
        <v>230835.39760764493</v>
      </c>
      <c r="J141" s="136">
        <f t="shared" si="14"/>
        <v>41</v>
      </c>
      <c r="K141" s="136">
        <f t="shared" si="14"/>
        <v>559571.3976076449</v>
      </c>
    </row>
    <row r="142" spans="1:11" ht="18" customHeight="1" x14ac:dyDescent="0.4">
      <c r="A142" s="183" t="s">
        <v>142</v>
      </c>
      <c r="B142" s="117" t="s">
        <v>65</v>
      </c>
      <c r="F142" s="136">
        <f t="shared" ref="F142:K142" si="15">F49</f>
        <v>9262</v>
      </c>
      <c r="G142" s="136">
        <f t="shared" si="15"/>
        <v>4744</v>
      </c>
      <c r="H142" s="136">
        <f t="shared" si="15"/>
        <v>319002</v>
      </c>
      <c r="I142" s="136">
        <f t="shared" si="15"/>
        <v>0</v>
      </c>
      <c r="J142" s="136">
        <f t="shared" si="15"/>
        <v>0</v>
      </c>
      <c r="K142" s="136">
        <f t="shared" si="15"/>
        <v>319002</v>
      </c>
    </row>
    <row r="143" spans="1:11" ht="18" customHeight="1" x14ac:dyDescent="0.4">
      <c r="A143" s="183" t="s">
        <v>144</v>
      </c>
      <c r="B143" s="117" t="s">
        <v>66</v>
      </c>
      <c r="F143" s="136">
        <f t="shared" ref="F143:K143" si="16">F64</f>
        <v>0</v>
      </c>
      <c r="G143" s="136">
        <f t="shared" si="16"/>
        <v>0</v>
      </c>
      <c r="H143" s="136">
        <f t="shared" si="16"/>
        <v>12360092</v>
      </c>
      <c r="I143" s="136">
        <f t="shared" si="16"/>
        <v>0</v>
      </c>
      <c r="J143" s="136">
        <f t="shared" si="16"/>
        <v>0</v>
      </c>
      <c r="K143" s="136">
        <f t="shared" si="16"/>
        <v>12360092</v>
      </c>
    </row>
    <row r="144" spans="1:11" ht="18" customHeight="1" x14ac:dyDescent="0.4">
      <c r="A144" s="183" t="s">
        <v>146</v>
      </c>
      <c r="B144" s="117" t="s">
        <v>67</v>
      </c>
      <c r="F144" s="136">
        <f t="shared" ref="F144:K144" si="17">F74</f>
        <v>0</v>
      </c>
      <c r="G144" s="136">
        <f t="shared" si="17"/>
        <v>0</v>
      </c>
      <c r="H144" s="136">
        <f t="shared" si="17"/>
        <v>0</v>
      </c>
      <c r="I144" s="136">
        <f t="shared" si="17"/>
        <v>0</v>
      </c>
      <c r="J144" s="136">
        <f t="shared" si="17"/>
        <v>0</v>
      </c>
      <c r="K144" s="136">
        <f t="shared" si="17"/>
        <v>0</v>
      </c>
    </row>
    <row r="145" spans="1:11" ht="18" customHeight="1" x14ac:dyDescent="0.4">
      <c r="A145" s="183" t="s">
        <v>148</v>
      </c>
      <c r="B145" s="117" t="s">
        <v>68</v>
      </c>
      <c r="F145" s="136">
        <f t="shared" ref="F145:K145" si="18">F82</f>
        <v>173.5</v>
      </c>
      <c r="G145" s="136">
        <f t="shared" si="18"/>
        <v>1955</v>
      </c>
      <c r="H145" s="136">
        <f t="shared" si="18"/>
        <v>57773</v>
      </c>
      <c r="I145" s="136">
        <f t="shared" si="18"/>
        <v>0</v>
      </c>
      <c r="J145" s="136">
        <f t="shared" si="18"/>
        <v>0</v>
      </c>
      <c r="K145" s="136">
        <f t="shared" si="18"/>
        <v>57773</v>
      </c>
    </row>
    <row r="146" spans="1:11" ht="18" customHeight="1" x14ac:dyDescent="0.4">
      <c r="A146" s="183" t="s">
        <v>150</v>
      </c>
      <c r="B146" s="117" t="s">
        <v>69</v>
      </c>
      <c r="F146" s="136">
        <f t="shared" ref="F146:K146" si="19">F98</f>
        <v>9992.7000000000007</v>
      </c>
      <c r="G146" s="136">
        <f t="shared" si="19"/>
        <v>6863</v>
      </c>
      <c r="H146" s="136">
        <f t="shared" si="19"/>
        <v>156349</v>
      </c>
      <c r="I146" s="136">
        <f t="shared" si="19"/>
        <v>109773.1397894551</v>
      </c>
      <c r="J146" s="136">
        <f t="shared" si="19"/>
        <v>509</v>
      </c>
      <c r="K146" s="136">
        <f t="shared" si="19"/>
        <v>265613.1397894551</v>
      </c>
    </row>
    <row r="147" spans="1:11" ht="18" customHeight="1" x14ac:dyDescent="0.4">
      <c r="A147" s="183" t="s">
        <v>153</v>
      </c>
      <c r="B147" s="117" t="s">
        <v>61</v>
      </c>
      <c r="F147" s="560">
        <f t="shared" ref="F147:K147" si="20">F108</f>
        <v>102</v>
      </c>
      <c r="G147" s="560">
        <f t="shared" si="20"/>
        <v>101</v>
      </c>
      <c r="H147" s="560">
        <f t="shared" si="20"/>
        <v>198798</v>
      </c>
      <c r="I147" s="560">
        <f t="shared" si="20"/>
        <v>139576.72031074134</v>
      </c>
      <c r="J147" s="560">
        <f t="shared" si="20"/>
        <v>0</v>
      </c>
      <c r="K147" s="560">
        <f t="shared" si="20"/>
        <v>338374.72031074134</v>
      </c>
    </row>
    <row r="148" spans="1:11" ht="18" customHeight="1" x14ac:dyDescent="0.4">
      <c r="A148" s="183" t="s">
        <v>155</v>
      </c>
      <c r="B148" s="117" t="s">
        <v>70</v>
      </c>
      <c r="F148" s="137" t="s">
        <v>73</v>
      </c>
      <c r="G148" s="137" t="s">
        <v>73</v>
      </c>
      <c r="H148" s="138" t="s">
        <v>73</v>
      </c>
      <c r="I148" s="138" t="s">
        <v>73</v>
      </c>
      <c r="J148" s="138" t="s">
        <v>73</v>
      </c>
      <c r="K148" s="133">
        <f>F111</f>
        <v>2388460</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2125209.2369314781</v>
      </c>
      <c r="I150" s="560">
        <f>I18</f>
        <v>0</v>
      </c>
      <c r="J150" s="560">
        <f>J18</f>
        <v>1766744.157141526</v>
      </c>
      <c r="K150" s="560">
        <f>K18</f>
        <v>358465.07978995214</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24409.1</v>
      </c>
      <c r="G152" s="143">
        <f t="shared" si="22"/>
        <v>46292</v>
      </c>
      <c r="H152" s="143">
        <f t="shared" si="22"/>
        <v>15546000.236931479</v>
      </c>
      <c r="I152" s="143">
        <f t="shared" si="22"/>
        <v>480185.25770784135</v>
      </c>
      <c r="J152" s="143">
        <f t="shared" si="22"/>
        <v>1767294.157141526</v>
      </c>
      <c r="K152" s="143">
        <f t="shared" si="22"/>
        <v>16647351.337497793</v>
      </c>
    </row>
    <row r="154" spans="1:11" ht="18" customHeight="1" x14ac:dyDescent="0.4">
      <c r="A154" s="120" t="s">
        <v>168</v>
      </c>
      <c r="B154" s="117" t="s">
        <v>28</v>
      </c>
      <c r="F154" s="571">
        <f>K152/F121</f>
        <v>0.12346178086762345</v>
      </c>
    </row>
    <row r="155" spans="1:11" ht="18" customHeight="1" x14ac:dyDescent="0.4">
      <c r="A155" s="120" t="s">
        <v>169</v>
      </c>
      <c r="B155" s="117" t="s">
        <v>72</v>
      </c>
      <c r="F155" s="571">
        <f>K152/F127</f>
        <v>-2.3657250015344546</v>
      </c>
      <c r="G155" s="117"/>
    </row>
    <row r="156" spans="1:11" ht="18" customHeight="1" x14ac:dyDescent="0.4">
      <c r="G156" s="117"/>
    </row>
  </sheetData>
  <mergeCells count="34">
    <mergeCell ref="D2:H2"/>
    <mergeCell ref="B34:D34"/>
    <mergeCell ref="B41:C41"/>
    <mergeCell ref="B13:H13"/>
    <mergeCell ref="B134:D134"/>
    <mergeCell ref="B103:C103"/>
    <mergeCell ref="B96:D96"/>
    <mergeCell ref="B94:D94"/>
    <mergeCell ref="B52:C52"/>
    <mergeCell ref="B90:C90"/>
    <mergeCell ref="B59:D59"/>
    <mergeCell ref="B53:D53"/>
    <mergeCell ref="B55:D55"/>
    <mergeCell ref="B56:D56"/>
    <mergeCell ref="B95:D95"/>
    <mergeCell ref="C10:G10"/>
    <mergeCell ref="B135:D135"/>
    <mergeCell ref="B133:D133"/>
    <mergeCell ref="B104:D104"/>
    <mergeCell ref="B105:D105"/>
    <mergeCell ref="B106:D106"/>
    <mergeCell ref="B62:D62"/>
    <mergeCell ref="B31:D31"/>
    <mergeCell ref="B30:D30"/>
    <mergeCell ref="C5:G5"/>
    <mergeCell ref="C6:G6"/>
    <mergeCell ref="C7:G7"/>
    <mergeCell ref="C11:G11"/>
    <mergeCell ref="C9:G9"/>
    <mergeCell ref="B45:D45"/>
    <mergeCell ref="B46:D46"/>
    <mergeCell ref="B47:D47"/>
    <mergeCell ref="B44:D44"/>
    <mergeCell ref="B57:D57"/>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K156"/>
  <sheetViews>
    <sheetView showGridLines="0" topLeftCell="B136" zoomScale="80" zoomScaleNormal="80" zoomScaleSheetLayoutView="100" workbookViewId="0">
      <selection activeCell="H150" sqref="H150"/>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807</v>
      </c>
      <c r="D5" s="962"/>
      <c r="E5" s="962"/>
      <c r="F5" s="962"/>
      <c r="G5" s="963"/>
    </row>
    <row r="6" spans="1:11" ht="18" customHeight="1" x14ac:dyDescent="0.4">
      <c r="B6" s="183" t="s">
        <v>3</v>
      </c>
      <c r="C6" s="1058">
        <v>210062</v>
      </c>
      <c r="D6" s="1059"/>
      <c r="E6" s="1059"/>
      <c r="F6" s="1059"/>
      <c r="G6" s="1060"/>
    </row>
    <row r="7" spans="1:11" ht="18" customHeight="1" x14ac:dyDescent="0.4">
      <c r="B7" s="183" t="s">
        <v>4</v>
      </c>
      <c r="C7" s="967">
        <v>1169</v>
      </c>
      <c r="D7" s="968"/>
      <c r="E7" s="968"/>
      <c r="F7" s="968"/>
      <c r="G7" s="969"/>
    </row>
    <row r="9" spans="1:11" ht="18" customHeight="1" x14ac:dyDescent="0.4">
      <c r="B9" s="183" t="s">
        <v>1</v>
      </c>
      <c r="C9" s="961" t="s">
        <v>469</v>
      </c>
      <c r="D9" s="962"/>
      <c r="E9" s="962"/>
      <c r="F9" s="962"/>
      <c r="G9" s="963"/>
    </row>
    <row r="10" spans="1:11" ht="18" customHeight="1" x14ac:dyDescent="0.4">
      <c r="B10" s="183" t="s">
        <v>2</v>
      </c>
      <c r="C10" s="970" t="s">
        <v>470</v>
      </c>
      <c r="D10" s="971"/>
      <c r="E10" s="971"/>
      <c r="F10" s="971"/>
      <c r="G10" s="972"/>
    </row>
    <row r="11" spans="1:11" ht="18" customHeight="1" x14ac:dyDescent="0.4">
      <c r="B11" s="183" t="s">
        <v>32</v>
      </c>
      <c r="C11" s="961" t="s">
        <v>592</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5294281.4708071202</v>
      </c>
      <c r="I18" s="144">
        <v>0</v>
      </c>
      <c r="J18" s="556">
        <v>4401279.9738799129</v>
      </c>
      <c r="K18" s="557">
        <f>H18+I18-J18</f>
        <v>893001.49692720734</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6567</v>
      </c>
      <c r="G21" s="555">
        <v>32209</v>
      </c>
      <c r="H21" s="556">
        <v>255023</v>
      </c>
      <c r="I21" s="144">
        <v>127262</v>
      </c>
      <c r="J21" s="556"/>
      <c r="K21" s="557">
        <v>382285</v>
      </c>
    </row>
    <row r="22" spans="1:11" ht="18" customHeight="1" x14ac:dyDescent="0.4">
      <c r="A22" s="183" t="s">
        <v>76</v>
      </c>
      <c r="B22" s="189" t="s">
        <v>6</v>
      </c>
      <c r="F22" s="555"/>
      <c r="G22" s="555"/>
      <c r="H22" s="556"/>
      <c r="I22" s="144">
        <v>0</v>
      </c>
      <c r="J22" s="556"/>
      <c r="K22" s="557">
        <v>0</v>
      </c>
    </row>
    <row r="23" spans="1:11" ht="18" customHeight="1" x14ac:dyDescent="0.4">
      <c r="A23" s="183" t="s">
        <v>77</v>
      </c>
      <c r="B23" s="189" t="s">
        <v>43</v>
      </c>
      <c r="F23" s="555"/>
      <c r="G23" s="555"/>
      <c r="H23" s="556"/>
      <c r="I23" s="144">
        <v>0</v>
      </c>
      <c r="J23" s="556"/>
      <c r="K23" s="557">
        <v>0</v>
      </c>
    </row>
    <row r="24" spans="1:11" ht="18" customHeight="1" x14ac:dyDescent="0.4">
      <c r="A24" s="183" t="s">
        <v>78</v>
      </c>
      <c r="B24" s="189" t="s">
        <v>44</v>
      </c>
      <c r="F24" s="555">
        <v>196.5</v>
      </c>
      <c r="G24" s="555">
        <v>1336</v>
      </c>
      <c r="H24" s="556">
        <v>8974</v>
      </c>
      <c r="I24" s="144">
        <v>7408</v>
      </c>
      <c r="J24" s="556"/>
      <c r="K24" s="557">
        <v>16382</v>
      </c>
    </row>
    <row r="25" spans="1:11" ht="18" customHeight="1" x14ac:dyDescent="0.4">
      <c r="A25" s="183" t="s">
        <v>79</v>
      </c>
      <c r="B25" s="189" t="s">
        <v>5</v>
      </c>
      <c r="F25" s="555"/>
      <c r="G25" s="555"/>
      <c r="H25" s="556"/>
      <c r="I25" s="144">
        <v>0</v>
      </c>
      <c r="J25" s="556"/>
      <c r="K25" s="557">
        <v>0</v>
      </c>
    </row>
    <row r="26" spans="1:11" ht="18" customHeight="1" x14ac:dyDescent="0.4">
      <c r="A26" s="183" t="s">
        <v>80</v>
      </c>
      <c r="B26" s="189" t="s">
        <v>45</v>
      </c>
      <c r="F26" s="555"/>
      <c r="G26" s="555"/>
      <c r="H26" s="556"/>
      <c r="I26" s="144">
        <v>0</v>
      </c>
      <c r="J26" s="556"/>
      <c r="K26" s="557">
        <v>0</v>
      </c>
    </row>
    <row r="27" spans="1:11" ht="18" customHeight="1" x14ac:dyDescent="0.4">
      <c r="A27" s="183" t="s">
        <v>81</v>
      </c>
      <c r="B27" s="189" t="s">
        <v>498</v>
      </c>
      <c r="F27" s="555"/>
      <c r="G27" s="555"/>
      <c r="H27" s="556"/>
      <c r="I27" s="144">
        <v>0</v>
      </c>
      <c r="J27" s="556"/>
      <c r="K27" s="557">
        <v>0</v>
      </c>
    </row>
    <row r="28" spans="1:11" ht="18" customHeight="1" x14ac:dyDescent="0.4">
      <c r="A28" s="183" t="s">
        <v>82</v>
      </c>
      <c r="B28" s="189" t="s">
        <v>47</v>
      </c>
      <c r="F28" s="555"/>
      <c r="G28" s="555"/>
      <c r="H28" s="556"/>
      <c r="I28" s="144">
        <v>0</v>
      </c>
      <c r="J28" s="556"/>
      <c r="K28" s="557">
        <v>0</v>
      </c>
    </row>
    <row r="29" spans="1:11" ht="18" customHeight="1" x14ac:dyDescent="0.4">
      <c r="A29" s="183" t="s">
        <v>83</v>
      </c>
      <c r="B29" s="189" t="s">
        <v>48</v>
      </c>
      <c r="F29" s="555">
        <v>1914</v>
      </c>
      <c r="G29" s="555">
        <v>1204</v>
      </c>
      <c r="H29" s="556">
        <v>347001</v>
      </c>
      <c r="I29" s="144">
        <v>149354</v>
      </c>
      <c r="J29" s="556"/>
      <c r="K29" s="557">
        <v>496355</v>
      </c>
    </row>
    <row r="30" spans="1:11" ht="18" customHeight="1" x14ac:dyDescent="0.4">
      <c r="A30" s="183" t="s">
        <v>84</v>
      </c>
      <c r="B30" s="951"/>
      <c r="C30" s="952"/>
      <c r="D30" s="953"/>
      <c r="F30" s="555"/>
      <c r="G30" s="555"/>
      <c r="H30" s="556"/>
      <c r="I30" s="144"/>
      <c r="J30" s="556"/>
      <c r="K30" s="557">
        <v>0</v>
      </c>
    </row>
    <row r="31" spans="1:11" ht="18" customHeight="1" x14ac:dyDescent="0.4">
      <c r="A31" s="183" t="s">
        <v>133</v>
      </c>
      <c r="B31" s="951"/>
      <c r="C31" s="952"/>
      <c r="D31" s="953"/>
      <c r="F31" s="555"/>
      <c r="G31" s="555"/>
      <c r="H31" s="556"/>
      <c r="I31" s="144">
        <v>0</v>
      </c>
      <c r="J31" s="556"/>
      <c r="K31" s="557">
        <v>0</v>
      </c>
    </row>
    <row r="32" spans="1:11" ht="18" customHeight="1" x14ac:dyDescent="0.4">
      <c r="A32" s="183" t="s">
        <v>134</v>
      </c>
      <c r="B32" s="531"/>
      <c r="C32" s="532"/>
      <c r="D32" s="533"/>
      <c r="F32" s="555"/>
      <c r="G32" s="558" t="s">
        <v>85</v>
      </c>
      <c r="H32" s="556"/>
      <c r="I32" s="144">
        <v>0</v>
      </c>
      <c r="J32" s="556"/>
      <c r="K32" s="557">
        <v>0</v>
      </c>
    </row>
    <row r="33" spans="1:11" ht="18" customHeight="1" x14ac:dyDescent="0.4">
      <c r="A33" s="183" t="s">
        <v>135</v>
      </c>
      <c r="B33" s="531"/>
      <c r="C33" s="532"/>
      <c r="D33" s="533"/>
      <c r="F33" s="555"/>
      <c r="G33" s="558" t="s">
        <v>85</v>
      </c>
      <c r="H33" s="556"/>
      <c r="I33" s="144">
        <v>0</v>
      </c>
      <c r="J33" s="556"/>
      <c r="K33" s="557">
        <v>0</v>
      </c>
    </row>
    <row r="34" spans="1:11" ht="18" customHeight="1" x14ac:dyDescent="0.4">
      <c r="A34" s="183" t="s">
        <v>136</v>
      </c>
      <c r="B34" s="951"/>
      <c r="C34" s="952"/>
      <c r="D34" s="953"/>
      <c r="F34" s="555"/>
      <c r="G34" s="558" t="s">
        <v>85</v>
      </c>
      <c r="H34" s="556"/>
      <c r="I34" s="144">
        <v>0</v>
      </c>
      <c r="J34" s="556"/>
      <c r="K34" s="557">
        <v>0</v>
      </c>
    </row>
    <row r="35" spans="1:11" ht="18" customHeight="1" x14ac:dyDescent="0.35">
      <c r="K35" s="559"/>
    </row>
    <row r="36" spans="1:11" ht="18" customHeight="1" x14ac:dyDescent="0.4">
      <c r="A36" s="120" t="s">
        <v>137</v>
      </c>
      <c r="B36" s="117" t="s">
        <v>138</v>
      </c>
      <c r="E36" s="117" t="s">
        <v>7</v>
      </c>
      <c r="F36" s="560">
        <v>8677.5</v>
      </c>
      <c r="G36" s="560">
        <v>34749</v>
      </c>
      <c r="H36" s="560">
        <v>610998</v>
      </c>
      <c r="I36" s="557">
        <v>284024</v>
      </c>
      <c r="J36" s="557">
        <v>0</v>
      </c>
      <c r="K36" s="557">
        <v>895022</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2224</v>
      </c>
      <c r="G40" s="555">
        <v>79</v>
      </c>
      <c r="H40" s="556">
        <v>85862</v>
      </c>
      <c r="I40" s="144">
        <v>87408</v>
      </c>
      <c r="J40" s="556"/>
      <c r="K40" s="557">
        <v>173270</v>
      </c>
    </row>
    <row r="41" spans="1:11" ht="18" customHeight="1" x14ac:dyDescent="0.4">
      <c r="A41" s="183" t="s">
        <v>88</v>
      </c>
      <c r="B41" s="956" t="s">
        <v>50</v>
      </c>
      <c r="C41" s="957"/>
      <c r="F41" s="555">
        <v>9360</v>
      </c>
      <c r="G41" s="555">
        <v>195</v>
      </c>
      <c r="H41" s="556">
        <v>361360</v>
      </c>
      <c r="I41" s="144">
        <v>367864</v>
      </c>
      <c r="J41" s="556"/>
      <c r="K41" s="557">
        <v>729224</v>
      </c>
    </row>
    <row r="42" spans="1:11" ht="18" customHeight="1" x14ac:dyDescent="0.4">
      <c r="A42" s="183" t="s">
        <v>89</v>
      </c>
      <c r="B42" s="116" t="s">
        <v>11</v>
      </c>
      <c r="F42" s="555">
        <v>784</v>
      </c>
      <c r="G42" s="555">
        <v>16</v>
      </c>
      <c r="H42" s="556">
        <v>30267</v>
      </c>
      <c r="I42" s="144">
        <v>30811</v>
      </c>
      <c r="J42" s="556"/>
      <c r="K42" s="557">
        <v>61078</v>
      </c>
    </row>
    <row r="43" spans="1:11" ht="18" customHeight="1" x14ac:dyDescent="0.4">
      <c r="A43" s="183" t="s">
        <v>90</v>
      </c>
      <c r="B43" s="141" t="s">
        <v>10</v>
      </c>
      <c r="C43" s="123"/>
      <c r="D43" s="123"/>
      <c r="F43" s="555"/>
      <c r="G43" s="555"/>
      <c r="H43" s="556"/>
      <c r="I43" s="144">
        <v>0</v>
      </c>
      <c r="J43" s="556"/>
      <c r="K43" s="557">
        <v>0</v>
      </c>
    </row>
    <row r="44" spans="1:11" ht="18" customHeight="1" x14ac:dyDescent="0.4">
      <c r="A44" s="183" t="s">
        <v>91</v>
      </c>
      <c r="B44" s="951"/>
      <c r="C44" s="952"/>
      <c r="D44" s="953"/>
      <c r="F44" s="561"/>
      <c r="G44" s="561"/>
      <c r="H44" s="561"/>
      <c r="I44" s="146">
        <v>0</v>
      </c>
      <c r="J44" s="561"/>
      <c r="K44" s="562">
        <v>0</v>
      </c>
    </row>
    <row r="45" spans="1:11" ht="18" customHeight="1" x14ac:dyDescent="0.4">
      <c r="A45" s="183" t="s">
        <v>139</v>
      </c>
      <c r="B45" s="951"/>
      <c r="C45" s="952"/>
      <c r="D45" s="953"/>
      <c r="F45" s="555"/>
      <c r="G45" s="555"/>
      <c r="H45" s="556"/>
      <c r="I45" s="144">
        <v>0</v>
      </c>
      <c r="J45" s="556"/>
      <c r="K45" s="557">
        <v>0</v>
      </c>
    </row>
    <row r="46" spans="1:11" ht="18" customHeight="1" x14ac:dyDescent="0.4">
      <c r="A46" s="183" t="s">
        <v>140</v>
      </c>
      <c r="B46" s="951"/>
      <c r="C46" s="952"/>
      <c r="D46" s="953"/>
      <c r="F46" s="555"/>
      <c r="G46" s="555"/>
      <c r="H46" s="556"/>
      <c r="I46" s="144">
        <v>0</v>
      </c>
      <c r="J46" s="556"/>
      <c r="K46" s="557">
        <v>0</v>
      </c>
    </row>
    <row r="47" spans="1:11" ht="18" customHeight="1" x14ac:dyDescent="0.4">
      <c r="A47" s="183" t="s">
        <v>141</v>
      </c>
      <c r="B47" s="951"/>
      <c r="C47" s="952"/>
      <c r="D47" s="953"/>
      <c r="F47" s="555"/>
      <c r="G47" s="555"/>
      <c r="H47" s="556"/>
      <c r="I47" s="144">
        <v>0</v>
      </c>
      <c r="J47" s="556"/>
      <c r="K47" s="557">
        <v>0</v>
      </c>
    </row>
    <row r="49" spans="1:11" ht="18" customHeight="1" x14ac:dyDescent="0.4">
      <c r="A49" s="120" t="s">
        <v>142</v>
      </c>
      <c r="B49" s="117" t="s">
        <v>143</v>
      </c>
      <c r="E49" s="117" t="s">
        <v>7</v>
      </c>
      <c r="F49" s="563">
        <v>12368</v>
      </c>
      <c r="G49" s="563">
        <v>290</v>
      </c>
      <c r="H49" s="557">
        <v>477489</v>
      </c>
      <c r="I49" s="557">
        <v>486083</v>
      </c>
      <c r="J49" s="557">
        <v>0</v>
      </c>
      <c r="K49" s="557">
        <v>963572</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c r="C53" s="979"/>
      <c r="D53" s="975"/>
      <c r="F53" s="555"/>
      <c r="G53" s="555"/>
      <c r="H53" s="556"/>
      <c r="I53" s="144">
        <v>0</v>
      </c>
      <c r="J53" s="556"/>
      <c r="K53" s="557">
        <v>0</v>
      </c>
    </row>
    <row r="54" spans="1:11" ht="18" customHeight="1" x14ac:dyDescent="0.4">
      <c r="A54" s="183" t="s">
        <v>93</v>
      </c>
      <c r="B54" s="536" t="s">
        <v>593</v>
      </c>
      <c r="C54" s="537"/>
      <c r="D54" s="538"/>
      <c r="F54" s="555"/>
      <c r="G54" s="555"/>
      <c r="H54" s="556">
        <v>660478</v>
      </c>
      <c r="I54" s="144">
        <v>0</v>
      </c>
      <c r="J54" s="556"/>
      <c r="K54" s="557">
        <v>660478</v>
      </c>
    </row>
    <row r="55" spans="1:11" ht="18" customHeight="1" x14ac:dyDescent="0.4">
      <c r="A55" s="183" t="s">
        <v>94</v>
      </c>
      <c r="B55" s="980" t="s">
        <v>316</v>
      </c>
      <c r="C55" s="974"/>
      <c r="D55" s="975"/>
      <c r="F55" s="555"/>
      <c r="G55" s="555"/>
      <c r="H55" s="556">
        <v>4453915</v>
      </c>
      <c r="I55" s="144">
        <v>0</v>
      </c>
      <c r="J55" s="556"/>
      <c r="K55" s="557">
        <v>4453915</v>
      </c>
    </row>
    <row r="56" spans="1:11" ht="18" customHeight="1" x14ac:dyDescent="0.4">
      <c r="A56" s="183" t="s">
        <v>95</v>
      </c>
      <c r="B56" s="980"/>
      <c r="C56" s="974"/>
      <c r="D56" s="975"/>
      <c r="F56" s="555"/>
      <c r="G56" s="555"/>
      <c r="H56" s="556"/>
      <c r="I56" s="144">
        <v>0</v>
      </c>
      <c r="J56" s="556"/>
      <c r="K56" s="557">
        <v>0</v>
      </c>
    </row>
    <row r="57" spans="1:11" ht="18" customHeight="1" x14ac:dyDescent="0.4">
      <c r="A57" s="183" t="s">
        <v>96</v>
      </c>
      <c r="B57" s="980" t="s">
        <v>317</v>
      </c>
      <c r="C57" s="974"/>
      <c r="D57" s="975"/>
      <c r="F57" s="555"/>
      <c r="G57" s="555"/>
      <c r="H57" s="556">
        <v>1893698</v>
      </c>
      <c r="I57" s="144">
        <v>0</v>
      </c>
      <c r="J57" s="556"/>
      <c r="K57" s="557">
        <v>1893698</v>
      </c>
    </row>
    <row r="58" spans="1:11" ht="18" customHeight="1" x14ac:dyDescent="0.4">
      <c r="A58" s="183" t="s">
        <v>97</v>
      </c>
      <c r="B58" s="536"/>
      <c r="C58" s="537"/>
      <c r="D58" s="538"/>
      <c r="F58" s="555"/>
      <c r="G58" s="555"/>
      <c r="H58" s="556"/>
      <c r="I58" s="144">
        <v>0</v>
      </c>
      <c r="J58" s="556"/>
      <c r="K58" s="557">
        <v>0</v>
      </c>
    </row>
    <row r="59" spans="1:11" ht="18" customHeight="1" x14ac:dyDescent="0.4">
      <c r="A59" s="183" t="s">
        <v>98</v>
      </c>
      <c r="B59" s="980"/>
      <c r="C59" s="974"/>
      <c r="D59" s="975"/>
      <c r="F59" s="555"/>
      <c r="G59" s="555"/>
      <c r="H59" s="556"/>
      <c r="I59" s="144">
        <v>0</v>
      </c>
      <c r="J59" s="556"/>
      <c r="K59" s="557">
        <v>0</v>
      </c>
    </row>
    <row r="60" spans="1:11" ht="18" customHeight="1" x14ac:dyDescent="0.4">
      <c r="A60" s="183" t="s">
        <v>99</v>
      </c>
      <c r="B60" s="536" t="s">
        <v>594</v>
      </c>
      <c r="C60" s="537"/>
      <c r="D60" s="538"/>
      <c r="F60" s="555"/>
      <c r="G60" s="555"/>
      <c r="H60" s="556">
        <v>653900</v>
      </c>
      <c r="I60" s="144">
        <v>0</v>
      </c>
      <c r="J60" s="556"/>
      <c r="K60" s="557">
        <v>653900</v>
      </c>
    </row>
    <row r="61" spans="1:11" ht="18" customHeight="1" x14ac:dyDescent="0.4">
      <c r="A61" s="183" t="s">
        <v>100</v>
      </c>
      <c r="B61" s="536"/>
      <c r="C61" s="537"/>
      <c r="D61" s="538"/>
      <c r="F61" s="555"/>
      <c r="G61" s="555"/>
      <c r="H61" s="556"/>
      <c r="I61" s="144">
        <v>0</v>
      </c>
      <c r="J61" s="556"/>
      <c r="K61" s="557">
        <v>0</v>
      </c>
    </row>
    <row r="62" spans="1:11" ht="18" customHeight="1" x14ac:dyDescent="0.4">
      <c r="A62" s="183" t="s">
        <v>101</v>
      </c>
      <c r="B62" s="980"/>
      <c r="C62" s="974"/>
      <c r="D62" s="975"/>
      <c r="F62" s="555"/>
      <c r="G62" s="555"/>
      <c r="H62" s="556"/>
      <c r="I62" s="144">
        <v>0</v>
      </c>
      <c r="J62" s="556"/>
      <c r="K62" s="557">
        <v>0</v>
      </c>
    </row>
    <row r="63" spans="1:11" ht="18" customHeight="1" x14ac:dyDescent="0.4">
      <c r="A63" s="183"/>
      <c r="I63" s="140"/>
    </row>
    <row r="64" spans="1:11" ht="18" customHeight="1" x14ac:dyDescent="0.4">
      <c r="A64" s="183" t="s">
        <v>144</v>
      </c>
      <c r="B64" s="117" t="s">
        <v>145</v>
      </c>
      <c r="E64" s="117" t="s">
        <v>7</v>
      </c>
      <c r="F64" s="560">
        <v>0</v>
      </c>
      <c r="G64" s="560">
        <v>0</v>
      </c>
      <c r="H64" s="557">
        <v>7661991</v>
      </c>
      <c r="I64" s="557">
        <v>0</v>
      </c>
      <c r="J64" s="557">
        <v>0</v>
      </c>
      <c r="K64" s="557">
        <v>7661991</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v>0</v>
      </c>
    </row>
    <row r="69" spans="1:11" ht="18" customHeight="1" x14ac:dyDescent="0.4">
      <c r="A69" s="183" t="s">
        <v>104</v>
      </c>
      <c r="B69" s="116" t="s">
        <v>53</v>
      </c>
      <c r="F69" s="564"/>
      <c r="G69" s="564"/>
      <c r="H69" s="564"/>
      <c r="I69" s="144">
        <v>0</v>
      </c>
      <c r="J69" s="564"/>
      <c r="K69" s="557">
        <v>0</v>
      </c>
    </row>
    <row r="70" spans="1:11" ht="18" customHeight="1" x14ac:dyDescent="0.4">
      <c r="A70" s="183" t="s">
        <v>178</v>
      </c>
      <c r="B70" s="536"/>
      <c r="C70" s="537"/>
      <c r="D70" s="538"/>
      <c r="E70" s="117"/>
      <c r="F70" s="131"/>
      <c r="G70" s="131"/>
      <c r="H70" s="132"/>
      <c r="I70" s="144">
        <v>0</v>
      </c>
      <c r="J70" s="132"/>
      <c r="K70" s="557">
        <v>0</v>
      </c>
    </row>
    <row r="71" spans="1:11" ht="18" customHeight="1" x14ac:dyDescent="0.4">
      <c r="A71" s="183" t="s">
        <v>179</v>
      </c>
      <c r="B71" s="536"/>
      <c r="C71" s="537"/>
      <c r="D71" s="538"/>
      <c r="E71" s="117"/>
      <c r="F71" s="131"/>
      <c r="G71" s="131"/>
      <c r="H71" s="132"/>
      <c r="I71" s="144">
        <v>0</v>
      </c>
      <c r="J71" s="132"/>
      <c r="K71" s="557">
        <v>0</v>
      </c>
    </row>
    <row r="72" spans="1:11" ht="18" customHeight="1" x14ac:dyDescent="0.4">
      <c r="A72" s="183" t="s">
        <v>180</v>
      </c>
      <c r="B72" s="544"/>
      <c r="C72" s="543"/>
      <c r="D72" s="130"/>
      <c r="E72" s="117"/>
      <c r="F72" s="555"/>
      <c r="G72" s="555"/>
      <c r="H72" s="556"/>
      <c r="I72" s="144">
        <v>0</v>
      </c>
      <c r="J72" s="556"/>
      <c r="K72" s="557">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v>0</v>
      </c>
      <c r="G74" s="566">
        <v>0</v>
      </c>
      <c r="H74" s="566">
        <v>0</v>
      </c>
      <c r="I74" s="145">
        <v>0</v>
      </c>
      <c r="J74" s="566">
        <v>0</v>
      </c>
      <c r="K74" s="56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39628</v>
      </c>
      <c r="I77" s="144">
        <v>0</v>
      </c>
      <c r="J77" s="556"/>
      <c r="K77" s="557">
        <v>39628</v>
      </c>
    </row>
    <row r="78" spans="1:11" ht="18" customHeight="1" x14ac:dyDescent="0.4">
      <c r="A78" s="183" t="s">
        <v>108</v>
      </c>
      <c r="B78" s="116" t="s">
        <v>55</v>
      </c>
      <c r="F78" s="555"/>
      <c r="G78" s="555"/>
      <c r="H78" s="556"/>
      <c r="I78" s="144">
        <v>0</v>
      </c>
      <c r="J78" s="556"/>
      <c r="K78" s="557">
        <v>0</v>
      </c>
    </row>
    <row r="79" spans="1:11" ht="18" customHeight="1" x14ac:dyDescent="0.4">
      <c r="A79" s="183" t="s">
        <v>109</v>
      </c>
      <c r="B79" s="116" t="s">
        <v>13</v>
      </c>
      <c r="F79" s="555"/>
      <c r="G79" s="555"/>
      <c r="H79" s="556"/>
      <c r="I79" s="144">
        <v>0</v>
      </c>
      <c r="J79" s="556"/>
      <c r="K79" s="557">
        <v>0</v>
      </c>
    </row>
    <row r="80" spans="1:11" ht="18" customHeight="1" x14ac:dyDescent="0.4">
      <c r="A80" s="183" t="s">
        <v>110</v>
      </c>
      <c r="B80" s="116" t="s">
        <v>56</v>
      </c>
      <c r="F80" s="555"/>
      <c r="G80" s="555"/>
      <c r="H80" s="556"/>
      <c r="I80" s="144">
        <v>0</v>
      </c>
      <c r="J80" s="556"/>
      <c r="K80" s="557">
        <v>0</v>
      </c>
    </row>
    <row r="81" spans="1:11" ht="18" customHeight="1" x14ac:dyDescent="0.4">
      <c r="A81" s="183"/>
      <c r="K81" s="568"/>
    </row>
    <row r="82" spans="1:11" ht="18" customHeight="1" x14ac:dyDescent="0.4">
      <c r="A82" s="183" t="s">
        <v>148</v>
      </c>
      <c r="B82" s="117" t="s">
        <v>149</v>
      </c>
      <c r="E82" s="117" t="s">
        <v>7</v>
      </c>
      <c r="F82" s="566">
        <v>0</v>
      </c>
      <c r="G82" s="566">
        <v>0</v>
      </c>
      <c r="H82" s="567">
        <v>39628</v>
      </c>
      <c r="I82" s="567">
        <v>0</v>
      </c>
      <c r="J82" s="567">
        <v>0</v>
      </c>
      <c r="K82" s="567">
        <v>39628</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v>0</v>
      </c>
      <c r="J86" s="556"/>
      <c r="K86" s="557">
        <v>0</v>
      </c>
    </row>
    <row r="87" spans="1:11" ht="18" customHeight="1" x14ac:dyDescent="0.4">
      <c r="A87" s="183" t="s">
        <v>114</v>
      </c>
      <c r="B87" s="116" t="s">
        <v>14</v>
      </c>
      <c r="F87" s="555"/>
      <c r="G87" s="555"/>
      <c r="H87" s="556"/>
      <c r="I87" s="144">
        <v>0</v>
      </c>
      <c r="J87" s="556"/>
      <c r="K87" s="557">
        <v>0</v>
      </c>
    </row>
    <row r="88" spans="1:11" ht="18" customHeight="1" x14ac:dyDescent="0.4">
      <c r="A88" s="183" t="s">
        <v>115</v>
      </c>
      <c r="B88" s="116" t="s">
        <v>116</v>
      </c>
      <c r="F88" s="555">
        <v>40</v>
      </c>
      <c r="G88" s="555">
        <v>803</v>
      </c>
      <c r="H88" s="556">
        <v>1793</v>
      </c>
      <c r="I88" s="144">
        <v>0</v>
      </c>
      <c r="J88" s="556"/>
      <c r="K88" s="557">
        <v>1793</v>
      </c>
    </row>
    <row r="89" spans="1:11" ht="18" customHeight="1" x14ac:dyDescent="0.4">
      <c r="A89" s="183" t="s">
        <v>117</v>
      </c>
      <c r="B89" s="116" t="s">
        <v>58</v>
      </c>
      <c r="F89" s="555"/>
      <c r="G89" s="555"/>
      <c r="H89" s="556"/>
      <c r="I89" s="144">
        <v>0</v>
      </c>
      <c r="J89" s="556"/>
      <c r="K89" s="557">
        <v>0</v>
      </c>
    </row>
    <row r="90" spans="1:11" ht="18" customHeight="1" x14ac:dyDescent="0.4">
      <c r="A90" s="183" t="s">
        <v>118</v>
      </c>
      <c r="B90" s="956" t="s">
        <v>59</v>
      </c>
      <c r="C90" s="957"/>
      <c r="F90" s="555"/>
      <c r="G90" s="555"/>
      <c r="H90" s="556"/>
      <c r="I90" s="144">
        <v>0</v>
      </c>
      <c r="J90" s="556"/>
      <c r="K90" s="557">
        <v>0</v>
      </c>
    </row>
    <row r="91" spans="1:11" ht="18" customHeight="1" x14ac:dyDescent="0.4">
      <c r="A91" s="183" t="s">
        <v>119</v>
      </c>
      <c r="B91" s="116" t="s">
        <v>60</v>
      </c>
      <c r="F91" s="555">
        <v>34</v>
      </c>
      <c r="G91" s="555">
        <v>359</v>
      </c>
      <c r="H91" s="556">
        <v>1313</v>
      </c>
      <c r="I91" s="144">
        <v>1337</v>
      </c>
      <c r="J91" s="556"/>
      <c r="K91" s="557">
        <v>2650</v>
      </c>
    </row>
    <row r="92" spans="1:11" ht="18" customHeight="1" x14ac:dyDescent="0.4">
      <c r="A92" s="183" t="s">
        <v>120</v>
      </c>
      <c r="B92" s="116" t="s">
        <v>121</v>
      </c>
      <c r="F92" s="134"/>
      <c r="G92" s="134"/>
      <c r="H92" s="135">
        <v>26386</v>
      </c>
      <c r="I92" s="144">
        <v>0</v>
      </c>
      <c r="J92" s="135"/>
      <c r="K92" s="557">
        <v>26386</v>
      </c>
    </row>
    <row r="93" spans="1:11" ht="18" customHeight="1" x14ac:dyDescent="0.4">
      <c r="A93" s="183" t="s">
        <v>122</v>
      </c>
      <c r="B93" s="116" t="s">
        <v>123</v>
      </c>
      <c r="F93" s="555">
        <v>2713</v>
      </c>
      <c r="G93" s="555">
        <v>613</v>
      </c>
      <c r="H93" s="556">
        <v>104739</v>
      </c>
      <c r="I93" s="144">
        <v>106624</v>
      </c>
      <c r="J93" s="556"/>
      <c r="K93" s="557">
        <v>211363</v>
      </c>
    </row>
    <row r="94" spans="1:11" ht="18" customHeight="1" x14ac:dyDescent="0.4">
      <c r="A94" s="183" t="s">
        <v>124</v>
      </c>
      <c r="B94" s="980"/>
      <c r="C94" s="974"/>
      <c r="D94" s="975"/>
      <c r="F94" s="555"/>
      <c r="G94" s="555"/>
      <c r="H94" s="556"/>
      <c r="I94" s="144">
        <v>0</v>
      </c>
      <c r="J94" s="556"/>
      <c r="K94" s="557">
        <v>0</v>
      </c>
    </row>
    <row r="95" spans="1:11" ht="18" customHeight="1" x14ac:dyDescent="0.4">
      <c r="A95" s="183" t="s">
        <v>125</v>
      </c>
      <c r="B95" s="980"/>
      <c r="C95" s="974"/>
      <c r="D95" s="975"/>
      <c r="F95" s="555"/>
      <c r="G95" s="555"/>
      <c r="H95" s="556"/>
      <c r="I95" s="144">
        <v>0</v>
      </c>
      <c r="J95" s="556"/>
      <c r="K95" s="557">
        <v>0</v>
      </c>
    </row>
    <row r="96" spans="1:11" ht="18" customHeight="1" x14ac:dyDescent="0.4">
      <c r="A96" s="183" t="s">
        <v>126</v>
      </c>
      <c r="B96" s="980"/>
      <c r="C96" s="974"/>
      <c r="D96" s="975"/>
      <c r="F96" s="555"/>
      <c r="G96" s="555"/>
      <c r="H96" s="556"/>
      <c r="I96" s="144">
        <v>0</v>
      </c>
      <c r="J96" s="556"/>
      <c r="K96" s="557">
        <v>0</v>
      </c>
    </row>
    <row r="97" spans="1:11" ht="18" customHeight="1" x14ac:dyDescent="0.4">
      <c r="A97" s="183"/>
      <c r="B97" s="116"/>
    </row>
    <row r="98" spans="1:11" ht="18" customHeight="1" x14ac:dyDescent="0.4">
      <c r="A98" s="120" t="s">
        <v>150</v>
      </c>
      <c r="B98" s="117" t="s">
        <v>151</v>
      </c>
      <c r="E98" s="117" t="s">
        <v>7</v>
      </c>
      <c r="F98" s="560">
        <v>2787</v>
      </c>
      <c r="G98" s="560">
        <v>1775</v>
      </c>
      <c r="H98" s="560">
        <v>134231</v>
      </c>
      <c r="I98" s="560">
        <v>107961</v>
      </c>
      <c r="J98" s="560">
        <v>0</v>
      </c>
      <c r="K98" s="560">
        <v>242192</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41</v>
      </c>
      <c r="G102" s="555"/>
      <c r="H102" s="556">
        <v>52701</v>
      </c>
      <c r="I102" s="144">
        <v>53649</v>
      </c>
      <c r="J102" s="556"/>
      <c r="K102" s="557">
        <v>106350</v>
      </c>
    </row>
    <row r="103" spans="1:11" ht="18" customHeight="1" x14ac:dyDescent="0.4">
      <c r="A103" s="183" t="s">
        <v>132</v>
      </c>
      <c r="B103" s="956" t="s">
        <v>62</v>
      </c>
      <c r="C103" s="956"/>
      <c r="F103" s="555"/>
      <c r="G103" s="555"/>
      <c r="H103" s="556"/>
      <c r="I103" s="144">
        <v>0</v>
      </c>
      <c r="J103" s="556"/>
      <c r="K103" s="557">
        <v>0</v>
      </c>
    </row>
    <row r="104" spans="1:11" ht="18" customHeight="1" x14ac:dyDescent="0.4">
      <c r="A104" s="183" t="s">
        <v>128</v>
      </c>
      <c r="B104" s="980"/>
      <c r="C104" s="974"/>
      <c r="D104" s="975"/>
      <c r="F104" s="555"/>
      <c r="G104" s="555"/>
      <c r="H104" s="556"/>
      <c r="I104" s="144">
        <v>0</v>
      </c>
      <c r="J104" s="556"/>
      <c r="K104" s="557">
        <v>0</v>
      </c>
    </row>
    <row r="105" spans="1:11" ht="18" customHeight="1" x14ac:dyDescent="0.4">
      <c r="A105" s="183" t="s">
        <v>127</v>
      </c>
      <c r="B105" s="980"/>
      <c r="C105" s="974"/>
      <c r="D105" s="975"/>
      <c r="F105" s="555"/>
      <c r="G105" s="555"/>
      <c r="H105" s="556"/>
      <c r="I105" s="144">
        <v>0</v>
      </c>
      <c r="J105" s="556"/>
      <c r="K105" s="557">
        <v>0</v>
      </c>
    </row>
    <row r="106" spans="1:11" ht="18" customHeight="1" x14ac:dyDescent="0.4">
      <c r="A106" s="183" t="s">
        <v>129</v>
      </c>
      <c r="B106" s="980"/>
      <c r="C106" s="974"/>
      <c r="D106" s="975"/>
      <c r="F106" s="555"/>
      <c r="G106" s="555"/>
      <c r="H106" s="556"/>
      <c r="I106" s="144">
        <v>0</v>
      </c>
      <c r="J106" s="556"/>
      <c r="K106" s="557">
        <v>0</v>
      </c>
    </row>
    <row r="107" spans="1:11" ht="18" customHeight="1" x14ac:dyDescent="0.4">
      <c r="B107" s="117"/>
    </row>
    <row r="108" spans="1:11" s="123" customFormat="1" ht="18" customHeight="1" x14ac:dyDescent="0.4">
      <c r="A108" s="120" t="s">
        <v>153</v>
      </c>
      <c r="B108" s="153" t="s">
        <v>154</v>
      </c>
      <c r="C108" s="189"/>
      <c r="D108" s="189"/>
      <c r="E108" s="117" t="s">
        <v>7</v>
      </c>
      <c r="F108" s="560">
        <v>41</v>
      </c>
      <c r="G108" s="560">
        <v>0</v>
      </c>
      <c r="H108" s="557">
        <v>52701</v>
      </c>
      <c r="I108" s="557">
        <v>53649</v>
      </c>
      <c r="J108" s="557">
        <v>0</v>
      </c>
      <c r="K108" s="557">
        <v>106350</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5863574</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1.0182578654576575</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236858730.25000003</v>
      </c>
    </row>
    <row r="118" spans="1:6" ht="18" customHeight="1" x14ac:dyDescent="0.4">
      <c r="A118" s="183" t="s">
        <v>173</v>
      </c>
      <c r="B118" s="189" t="s">
        <v>18</v>
      </c>
      <c r="F118" s="556">
        <v>2423791.4700000002</v>
      </c>
    </row>
    <row r="119" spans="1:6" ht="18" customHeight="1" x14ac:dyDescent="0.4">
      <c r="A119" s="183" t="s">
        <v>174</v>
      </c>
      <c r="B119" s="117" t="s">
        <v>19</v>
      </c>
      <c r="F119" s="567">
        <v>239282521.72000003</v>
      </c>
    </row>
    <row r="120" spans="1:6" ht="18" customHeight="1" x14ac:dyDescent="0.4">
      <c r="A120" s="183"/>
      <c r="B120" s="117"/>
    </row>
    <row r="121" spans="1:6" ht="18" customHeight="1" x14ac:dyDescent="0.4">
      <c r="A121" s="183" t="s">
        <v>167</v>
      </c>
      <c r="B121" s="117" t="s">
        <v>36</v>
      </c>
      <c r="F121" s="556">
        <v>247304491.32999998</v>
      </c>
    </row>
    <row r="122" spans="1:6" ht="18" customHeight="1" x14ac:dyDescent="0.4">
      <c r="A122" s="183"/>
    </row>
    <row r="123" spans="1:6" ht="18" customHeight="1" x14ac:dyDescent="0.4">
      <c r="A123" s="183" t="s">
        <v>175</v>
      </c>
      <c r="B123" s="117" t="s">
        <v>20</v>
      </c>
      <c r="F123" s="556">
        <v>-8021969.6099999547</v>
      </c>
    </row>
    <row r="124" spans="1:6" ht="18" customHeight="1" x14ac:dyDescent="0.4">
      <c r="A124" s="183"/>
    </row>
    <row r="125" spans="1:6" ht="18" customHeight="1" x14ac:dyDescent="0.4">
      <c r="A125" s="183" t="s">
        <v>176</v>
      </c>
      <c r="B125" s="117" t="s">
        <v>21</v>
      </c>
      <c r="F125" s="556">
        <v>7956.5800000000027</v>
      </c>
    </row>
    <row r="126" spans="1:6" ht="18" customHeight="1" x14ac:dyDescent="0.4">
      <c r="A126" s="183"/>
    </row>
    <row r="127" spans="1:6" ht="18" customHeight="1" x14ac:dyDescent="0.4">
      <c r="A127" s="183" t="s">
        <v>177</v>
      </c>
      <c r="B127" s="117" t="s">
        <v>22</v>
      </c>
      <c r="F127" s="556">
        <v>-8014013.0299999546</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v>0</v>
      </c>
    </row>
    <row r="132" spans="1:11" ht="18" customHeight="1" x14ac:dyDescent="0.4">
      <c r="A132" s="183" t="s">
        <v>159</v>
      </c>
      <c r="B132" s="189" t="s">
        <v>25</v>
      </c>
      <c r="F132" s="555"/>
      <c r="G132" s="555"/>
      <c r="H132" s="556"/>
      <c r="I132" s="144">
        <v>0</v>
      </c>
      <c r="J132" s="556"/>
      <c r="K132" s="557">
        <v>0</v>
      </c>
    </row>
    <row r="133" spans="1:11" ht="18" customHeight="1" x14ac:dyDescent="0.4">
      <c r="A133" s="183" t="s">
        <v>160</v>
      </c>
      <c r="B133" s="951"/>
      <c r="C133" s="952"/>
      <c r="D133" s="953"/>
      <c r="F133" s="555"/>
      <c r="G133" s="555"/>
      <c r="H133" s="556"/>
      <c r="I133" s="144">
        <v>0</v>
      </c>
      <c r="J133" s="556"/>
      <c r="K133" s="557">
        <v>0</v>
      </c>
    </row>
    <row r="134" spans="1:11" ht="18" customHeight="1" x14ac:dyDescent="0.4">
      <c r="A134" s="183" t="s">
        <v>161</v>
      </c>
      <c r="B134" s="951"/>
      <c r="C134" s="952"/>
      <c r="D134" s="953"/>
      <c r="F134" s="555"/>
      <c r="G134" s="555"/>
      <c r="H134" s="556"/>
      <c r="I134" s="144">
        <v>0</v>
      </c>
      <c r="J134" s="556"/>
      <c r="K134" s="557">
        <v>0</v>
      </c>
    </row>
    <row r="135" spans="1:11" ht="18" customHeight="1" x14ac:dyDescent="0.4">
      <c r="A135" s="183" t="s">
        <v>162</v>
      </c>
      <c r="B135" s="951"/>
      <c r="C135" s="952"/>
      <c r="D135" s="953"/>
      <c r="F135" s="555"/>
      <c r="G135" s="555"/>
      <c r="H135" s="556"/>
      <c r="I135" s="144">
        <v>0</v>
      </c>
      <c r="J135" s="556"/>
      <c r="K135" s="557">
        <v>0</v>
      </c>
    </row>
    <row r="136" spans="1:11" ht="18" customHeight="1" x14ac:dyDescent="0.4">
      <c r="A136" s="120"/>
    </row>
    <row r="137" spans="1:11" ht="18" customHeight="1" x14ac:dyDescent="0.4">
      <c r="A137" s="120" t="s">
        <v>163</v>
      </c>
      <c r="B137" s="117" t="s">
        <v>27</v>
      </c>
      <c r="F137" s="560">
        <v>0</v>
      </c>
      <c r="G137" s="560">
        <v>0</v>
      </c>
      <c r="H137" s="557">
        <v>0</v>
      </c>
      <c r="I137" s="557">
        <v>0</v>
      </c>
      <c r="J137" s="557">
        <v>0</v>
      </c>
      <c r="K137" s="557">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v>8677.5</v>
      </c>
      <c r="G141" s="136">
        <v>34749</v>
      </c>
      <c r="H141" s="136">
        <v>610998</v>
      </c>
      <c r="I141" s="136">
        <v>284024</v>
      </c>
      <c r="J141" s="136">
        <v>0</v>
      </c>
      <c r="K141" s="136">
        <v>895022</v>
      </c>
    </row>
    <row r="142" spans="1:11" ht="18" customHeight="1" x14ac:dyDescent="0.4">
      <c r="A142" s="183" t="s">
        <v>142</v>
      </c>
      <c r="B142" s="117" t="s">
        <v>65</v>
      </c>
      <c r="F142" s="136">
        <v>12368</v>
      </c>
      <c r="G142" s="136">
        <v>290</v>
      </c>
      <c r="H142" s="136">
        <v>477489</v>
      </c>
      <c r="I142" s="136">
        <v>486083</v>
      </c>
      <c r="J142" s="136">
        <v>0</v>
      </c>
      <c r="K142" s="136">
        <v>963572</v>
      </c>
    </row>
    <row r="143" spans="1:11" ht="18" customHeight="1" x14ac:dyDescent="0.4">
      <c r="A143" s="183" t="s">
        <v>144</v>
      </c>
      <c r="B143" s="117" t="s">
        <v>66</v>
      </c>
      <c r="F143" s="136">
        <v>0</v>
      </c>
      <c r="G143" s="136">
        <v>0</v>
      </c>
      <c r="H143" s="136">
        <v>7661991</v>
      </c>
      <c r="I143" s="136">
        <v>0</v>
      </c>
      <c r="J143" s="136">
        <v>0</v>
      </c>
      <c r="K143" s="136">
        <v>7661991</v>
      </c>
    </row>
    <row r="144" spans="1:11" ht="18" customHeight="1" x14ac:dyDescent="0.4">
      <c r="A144" s="183" t="s">
        <v>146</v>
      </c>
      <c r="B144" s="117" t="s">
        <v>67</v>
      </c>
      <c r="F144" s="136">
        <v>0</v>
      </c>
      <c r="G144" s="136">
        <v>0</v>
      </c>
      <c r="H144" s="136">
        <v>0</v>
      </c>
      <c r="I144" s="136">
        <v>0</v>
      </c>
      <c r="J144" s="136">
        <v>0</v>
      </c>
      <c r="K144" s="136">
        <v>0</v>
      </c>
    </row>
    <row r="145" spans="1:11" ht="18" customHeight="1" x14ac:dyDescent="0.4">
      <c r="A145" s="183" t="s">
        <v>148</v>
      </c>
      <c r="B145" s="117" t="s">
        <v>68</v>
      </c>
      <c r="F145" s="136">
        <v>0</v>
      </c>
      <c r="G145" s="136">
        <v>0</v>
      </c>
      <c r="H145" s="136">
        <v>39628</v>
      </c>
      <c r="I145" s="136">
        <v>0</v>
      </c>
      <c r="J145" s="136">
        <v>0</v>
      </c>
      <c r="K145" s="136">
        <v>39628</v>
      </c>
    </row>
    <row r="146" spans="1:11" ht="18" customHeight="1" x14ac:dyDescent="0.4">
      <c r="A146" s="183" t="s">
        <v>150</v>
      </c>
      <c r="B146" s="117" t="s">
        <v>69</v>
      </c>
      <c r="F146" s="136">
        <v>2787</v>
      </c>
      <c r="G146" s="136">
        <v>1775</v>
      </c>
      <c r="H146" s="136">
        <v>134231</v>
      </c>
      <c r="I146" s="136">
        <v>107961</v>
      </c>
      <c r="J146" s="136">
        <v>0</v>
      </c>
      <c r="K146" s="136">
        <v>242192</v>
      </c>
    </row>
    <row r="147" spans="1:11" ht="18" customHeight="1" x14ac:dyDescent="0.4">
      <c r="A147" s="183" t="s">
        <v>153</v>
      </c>
      <c r="B147" s="117" t="s">
        <v>61</v>
      </c>
      <c r="F147" s="560">
        <v>41</v>
      </c>
      <c r="G147" s="560">
        <v>0</v>
      </c>
      <c r="H147" s="560">
        <v>52701</v>
      </c>
      <c r="I147" s="560">
        <v>53649</v>
      </c>
      <c r="J147" s="560">
        <v>0</v>
      </c>
      <c r="K147" s="560">
        <v>106350</v>
      </c>
    </row>
    <row r="148" spans="1:11" ht="18" customHeight="1" x14ac:dyDescent="0.4">
      <c r="A148" s="183" t="s">
        <v>155</v>
      </c>
      <c r="B148" s="117" t="s">
        <v>70</v>
      </c>
      <c r="F148" s="137" t="s">
        <v>73</v>
      </c>
      <c r="G148" s="137" t="s">
        <v>73</v>
      </c>
      <c r="H148" s="138" t="s">
        <v>73</v>
      </c>
      <c r="I148" s="138" t="s">
        <v>73</v>
      </c>
      <c r="J148" s="138" t="s">
        <v>73</v>
      </c>
      <c r="K148" s="133">
        <v>5863574</v>
      </c>
    </row>
    <row r="149" spans="1:11" ht="18" customHeight="1" x14ac:dyDescent="0.4">
      <c r="A149" s="183" t="s">
        <v>163</v>
      </c>
      <c r="B149" s="117" t="s">
        <v>71</v>
      </c>
      <c r="F149" s="560">
        <v>0</v>
      </c>
      <c r="G149" s="560">
        <v>0</v>
      </c>
      <c r="H149" s="560">
        <v>0</v>
      </c>
      <c r="I149" s="560">
        <v>0</v>
      </c>
      <c r="J149" s="560">
        <v>0</v>
      </c>
      <c r="K149" s="560">
        <v>0</v>
      </c>
    </row>
    <row r="150" spans="1:11" ht="18" customHeight="1" x14ac:dyDescent="0.4">
      <c r="A150" s="183" t="s">
        <v>185</v>
      </c>
      <c r="B150" s="117" t="s">
        <v>186</v>
      </c>
      <c r="F150" s="137" t="s">
        <v>73</v>
      </c>
      <c r="G150" s="137" t="s">
        <v>73</v>
      </c>
      <c r="H150" s="560">
        <f>H18</f>
        <v>5294281.4708071202</v>
      </c>
      <c r="I150" s="560"/>
      <c r="J150" s="560">
        <f>J18</f>
        <v>4401279.9738799129</v>
      </c>
      <c r="K150" s="560">
        <f>K18</f>
        <v>893001.49692720734</v>
      </c>
    </row>
    <row r="151" spans="1:11" ht="18" customHeight="1" x14ac:dyDescent="0.4">
      <c r="B151" s="117"/>
      <c r="F151" s="142"/>
      <c r="G151" s="142"/>
      <c r="H151" s="142"/>
      <c r="I151" s="142"/>
      <c r="J151" s="142"/>
      <c r="K151" s="142"/>
    </row>
    <row r="152" spans="1:11" ht="18" customHeight="1" x14ac:dyDescent="0.4">
      <c r="A152" s="120" t="s">
        <v>165</v>
      </c>
      <c r="B152" s="117" t="s">
        <v>26</v>
      </c>
      <c r="F152" s="143">
        <v>23873.5</v>
      </c>
      <c r="G152" s="143">
        <v>36814</v>
      </c>
      <c r="H152" s="143">
        <v>8977038</v>
      </c>
      <c r="I152" s="143">
        <v>6225998.4708071202</v>
      </c>
      <c r="J152" s="143">
        <v>4401279.9738799129</v>
      </c>
      <c r="K152" s="143">
        <v>16665330.496927207</v>
      </c>
    </row>
    <row r="154" spans="1:11" ht="18" customHeight="1" x14ac:dyDescent="0.4">
      <c r="A154" s="120" t="s">
        <v>168</v>
      </c>
      <c r="B154" s="117" t="s">
        <v>28</v>
      </c>
      <c r="F154" s="571">
        <v>6.7387900669742387E-2</v>
      </c>
    </row>
    <row r="155" spans="1:11" ht="18" customHeight="1" x14ac:dyDescent="0.4">
      <c r="A155" s="120" t="s">
        <v>169</v>
      </c>
      <c r="B155" s="117" t="s">
        <v>72</v>
      </c>
      <c r="F155" s="571">
        <v>-2.079523758514191</v>
      </c>
      <c r="G155" s="117"/>
    </row>
    <row r="156" spans="1:11" ht="18" customHeight="1" x14ac:dyDescent="0.4">
      <c r="G156" s="117"/>
    </row>
  </sheetData>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theme="0"/>
    <pageSetUpPr fitToPage="1"/>
  </sheetPr>
  <dimension ref="A1:L156"/>
  <sheetViews>
    <sheetView zoomScale="85" zoomScaleNormal="85" workbookViewId="0">
      <selection activeCell="E14" sqref="E14"/>
    </sheetView>
  </sheetViews>
  <sheetFormatPr defaultColWidth="9" defaultRowHeight="12.75"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4" spans="1:11" ht="18" customHeight="1" x14ac:dyDescent="0.35"/>
    <row r="5" spans="1:11" ht="18" customHeight="1" x14ac:dyDescent="0.4">
      <c r="B5" s="183" t="s">
        <v>40</v>
      </c>
      <c r="C5" s="961" t="s">
        <v>358</v>
      </c>
      <c r="D5" s="962"/>
      <c r="E5" s="962"/>
      <c r="F5" s="962"/>
      <c r="G5" s="963"/>
    </row>
    <row r="6" spans="1:11" ht="18" customHeight="1" x14ac:dyDescent="0.4">
      <c r="B6" s="183" t="s">
        <v>3</v>
      </c>
      <c r="C6" s="964" t="s">
        <v>808</v>
      </c>
      <c r="D6" s="965"/>
      <c r="E6" s="965"/>
      <c r="F6" s="965"/>
      <c r="G6" s="966"/>
    </row>
    <row r="7" spans="1:11" ht="18" customHeight="1" x14ac:dyDescent="0.4">
      <c r="B7" s="183" t="s">
        <v>4</v>
      </c>
      <c r="C7" s="967">
        <v>2631</v>
      </c>
      <c r="D7" s="968"/>
      <c r="E7" s="968"/>
      <c r="F7" s="968"/>
      <c r="G7" s="969"/>
    </row>
    <row r="8" spans="1:11" ht="18" customHeight="1" x14ac:dyDescent="0.35"/>
    <row r="9" spans="1:11" ht="18" customHeight="1" x14ac:dyDescent="0.4">
      <c r="B9" s="183" t="s">
        <v>1</v>
      </c>
      <c r="C9" s="1017" t="s">
        <v>809</v>
      </c>
      <c r="D9" s="962"/>
      <c r="E9" s="962"/>
      <c r="F9" s="962"/>
      <c r="G9" s="963"/>
    </row>
    <row r="10" spans="1:11" ht="18" customHeight="1" x14ac:dyDescent="0.4">
      <c r="B10" s="183" t="s">
        <v>2</v>
      </c>
      <c r="C10" s="1018" t="s">
        <v>810</v>
      </c>
      <c r="D10" s="971"/>
      <c r="E10" s="971"/>
      <c r="F10" s="971"/>
      <c r="G10" s="972"/>
    </row>
    <row r="11" spans="1:11" ht="18" customHeight="1" x14ac:dyDescent="0.4">
      <c r="B11" s="183" t="s">
        <v>32</v>
      </c>
      <c r="C11" s="954" t="s">
        <v>811</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845" t="s">
        <v>73</v>
      </c>
      <c r="G18" s="845" t="s">
        <v>73</v>
      </c>
      <c r="H18" s="846">
        <v>8267713.9331937404</v>
      </c>
      <c r="I18" s="847">
        <v>0</v>
      </c>
      <c r="J18" s="846">
        <v>6873175.1352060344</v>
      </c>
      <c r="K18" s="848">
        <f>H18-I18-J18</f>
        <v>1394538.797987706</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c r="F20" s="186"/>
      <c r="G20" s="186"/>
      <c r="H20" s="186"/>
      <c r="I20" s="186"/>
      <c r="J20" s="186"/>
      <c r="K20" s="186"/>
    </row>
    <row r="21" spans="1:11" ht="18" customHeight="1" x14ac:dyDescent="0.4">
      <c r="A21" s="183" t="s">
        <v>75</v>
      </c>
      <c r="B21" s="116" t="s">
        <v>42</v>
      </c>
      <c r="F21" s="845">
        <v>1634</v>
      </c>
      <c r="G21" s="845">
        <v>11216</v>
      </c>
      <c r="H21" s="846">
        <f>K21-I21+J21</f>
        <v>178303</v>
      </c>
      <c r="I21" s="849">
        <v>24691</v>
      </c>
      <c r="J21" s="846">
        <v>6837</v>
      </c>
      <c r="K21" s="848">
        <v>196157</v>
      </c>
    </row>
    <row r="22" spans="1:11" ht="18" customHeight="1" x14ac:dyDescent="0.4">
      <c r="A22" s="183" t="s">
        <v>76</v>
      </c>
      <c r="B22" s="189" t="s">
        <v>6</v>
      </c>
      <c r="F22" s="845">
        <v>248.5</v>
      </c>
      <c r="G22" s="845">
        <v>344</v>
      </c>
      <c r="H22" s="846">
        <f>K22-I22+J22</f>
        <v>12572</v>
      </c>
      <c r="I22" s="849">
        <v>2168</v>
      </c>
      <c r="J22" s="846">
        <v>0</v>
      </c>
      <c r="K22" s="848">
        <v>14740</v>
      </c>
    </row>
    <row r="23" spans="1:11" ht="18" customHeight="1" x14ac:dyDescent="0.4">
      <c r="A23" s="183" t="s">
        <v>77</v>
      </c>
      <c r="B23" s="189" t="s">
        <v>43</v>
      </c>
      <c r="F23" s="845"/>
      <c r="G23" s="845"/>
      <c r="H23" s="846"/>
      <c r="I23" s="849"/>
      <c r="J23" s="846"/>
      <c r="K23" s="848"/>
    </row>
    <row r="24" spans="1:11" ht="18" customHeight="1" x14ac:dyDescent="0.4">
      <c r="A24" s="183" t="s">
        <v>78</v>
      </c>
      <c r="B24" s="189" t="s">
        <v>44</v>
      </c>
      <c r="F24" s="845">
        <v>91</v>
      </c>
      <c r="G24" s="845">
        <v>339</v>
      </c>
      <c r="H24" s="846">
        <f>K24-I24+J24</f>
        <v>5537</v>
      </c>
      <c r="I24" s="849">
        <v>989</v>
      </c>
      <c r="J24" s="846">
        <v>0</v>
      </c>
      <c r="K24" s="848">
        <v>6526</v>
      </c>
    </row>
    <row r="25" spans="1:11" ht="18" customHeight="1" x14ac:dyDescent="0.4">
      <c r="A25" s="183" t="s">
        <v>79</v>
      </c>
      <c r="B25" s="189" t="s">
        <v>5</v>
      </c>
      <c r="F25" s="845">
        <v>680</v>
      </c>
      <c r="G25" s="845">
        <v>845</v>
      </c>
      <c r="H25" s="846">
        <f>K25-I25+J25</f>
        <v>49989</v>
      </c>
      <c r="I25" s="849">
        <v>15107</v>
      </c>
      <c r="J25" s="846">
        <v>0</v>
      </c>
      <c r="K25" s="848">
        <v>65096</v>
      </c>
    </row>
    <row r="26" spans="1:11" ht="18" customHeight="1" x14ac:dyDescent="0.4">
      <c r="A26" s="183" t="s">
        <v>80</v>
      </c>
      <c r="B26" s="189" t="s">
        <v>45</v>
      </c>
      <c r="F26" s="845">
        <v>318</v>
      </c>
      <c r="G26" s="845">
        <v>2715</v>
      </c>
      <c r="H26" s="846">
        <f>K26-I26+J26</f>
        <v>62522</v>
      </c>
      <c r="I26" s="849">
        <v>0</v>
      </c>
      <c r="J26" s="846">
        <v>0</v>
      </c>
      <c r="K26" s="848">
        <v>62522</v>
      </c>
    </row>
    <row r="27" spans="1:11" ht="18" customHeight="1" x14ac:dyDescent="0.4">
      <c r="A27" s="183" t="s">
        <v>81</v>
      </c>
      <c r="B27" s="189" t="s">
        <v>46</v>
      </c>
      <c r="F27" s="850">
        <v>0</v>
      </c>
      <c r="G27" s="850">
        <v>4099</v>
      </c>
      <c r="H27" s="851">
        <v>1109201.21</v>
      </c>
      <c r="I27" s="852">
        <v>667060.9063979846</v>
      </c>
      <c r="J27" s="851">
        <v>293828.52999999997</v>
      </c>
      <c r="K27" s="848">
        <f>H27+I27-J27</f>
        <v>1482433.5863979845</v>
      </c>
    </row>
    <row r="28" spans="1:11" ht="18" customHeight="1" x14ac:dyDescent="0.4">
      <c r="A28" s="183" t="s">
        <v>82</v>
      </c>
      <c r="B28" s="189" t="s">
        <v>47</v>
      </c>
      <c r="F28" s="845"/>
      <c r="G28" s="845"/>
      <c r="H28" s="846"/>
      <c r="I28" s="849"/>
      <c r="J28" s="846"/>
      <c r="K28" s="848"/>
    </row>
    <row r="29" spans="1:11" ht="18" customHeight="1" x14ac:dyDescent="0.4">
      <c r="A29" s="183" t="s">
        <v>83</v>
      </c>
      <c r="B29" s="189" t="s">
        <v>48</v>
      </c>
      <c r="E29" s="185"/>
      <c r="F29" s="845">
        <v>262</v>
      </c>
      <c r="G29" s="845">
        <v>307</v>
      </c>
      <c r="H29" s="846">
        <f>K29-I29+J29</f>
        <v>15694</v>
      </c>
      <c r="I29" s="849">
        <v>6491</v>
      </c>
      <c r="J29" s="846">
        <v>0</v>
      </c>
      <c r="K29" s="848">
        <v>22185</v>
      </c>
    </row>
    <row r="30" spans="1:11" ht="18" customHeight="1" x14ac:dyDescent="0.4">
      <c r="A30" s="183" t="s">
        <v>84</v>
      </c>
      <c r="B30" s="1140"/>
      <c r="C30" s="1141"/>
      <c r="D30" s="1142"/>
      <c r="F30" s="845"/>
      <c r="G30" s="845"/>
      <c r="H30" s="846"/>
      <c r="I30" s="849"/>
      <c r="J30" s="846"/>
      <c r="K30" s="848"/>
    </row>
    <row r="31" spans="1:11" ht="18" customHeight="1" x14ac:dyDescent="0.4">
      <c r="A31" s="183" t="s">
        <v>133</v>
      </c>
      <c r="B31" s="1143"/>
      <c r="C31" s="1088"/>
      <c r="D31" s="1089"/>
      <c r="F31" s="845"/>
      <c r="G31" s="845"/>
      <c r="H31" s="846"/>
      <c r="I31" s="849"/>
      <c r="J31" s="846"/>
      <c r="K31" s="848"/>
    </row>
    <row r="32" spans="1:11" ht="18" customHeight="1" x14ac:dyDescent="0.4">
      <c r="A32" s="183" t="s">
        <v>134</v>
      </c>
      <c r="B32" s="897"/>
      <c r="C32" s="891"/>
      <c r="D32" s="892"/>
      <c r="F32" s="845"/>
      <c r="G32" s="850" t="s">
        <v>85</v>
      </c>
      <c r="H32" s="846"/>
      <c r="I32" s="849"/>
      <c r="J32" s="846"/>
      <c r="K32" s="848"/>
    </row>
    <row r="33" spans="1:11" ht="18" customHeight="1" x14ac:dyDescent="0.4">
      <c r="A33" s="183" t="s">
        <v>135</v>
      </c>
      <c r="B33" s="897"/>
      <c r="C33" s="891"/>
      <c r="D33" s="892"/>
      <c r="F33" s="845"/>
      <c r="G33" s="850" t="s">
        <v>85</v>
      </c>
      <c r="H33" s="846"/>
      <c r="I33" s="849"/>
      <c r="J33" s="846"/>
      <c r="K33" s="848"/>
    </row>
    <row r="34" spans="1:11" ht="18" customHeight="1" x14ac:dyDescent="0.4">
      <c r="A34" s="183" t="s">
        <v>136</v>
      </c>
      <c r="B34" s="1143"/>
      <c r="C34" s="1088"/>
      <c r="D34" s="1089"/>
      <c r="F34" s="845"/>
      <c r="G34" s="850"/>
      <c r="H34" s="846"/>
      <c r="I34" s="849"/>
      <c r="J34" s="846"/>
      <c r="K34" s="848"/>
    </row>
    <row r="35" spans="1:11" ht="18" customHeight="1" x14ac:dyDescent="0.35">
      <c r="H35" s="108"/>
      <c r="I35" s="108"/>
      <c r="J35" s="108"/>
      <c r="K35" s="848"/>
    </row>
    <row r="36" spans="1:11" ht="18" customHeight="1" x14ac:dyDescent="0.4">
      <c r="A36" s="120" t="s">
        <v>137</v>
      </c>
      <c r="B36" s="117" t="s">
        <v>138</v>
      </c>
      <c r="E36" s="425" t="s">
        <v>7</v>
      </c>
      <c r="F36" s="853">
        <f t="shared" ref="F36:K36" si="0">SUM(F21:F34)</f>
        <v>3233.5</v>
      </c>
      <c r="G36" s="853">
        <f t="shared" si="0"/>
        <v>19865</v>
      </c>
      <c r="H36" s="848">
        <f t="shared" si="0"/>
        <v>1433818.21</v>
      </c>
      <c r="I36" s="848">
        <f t="shared" si="0"/>
        <v>716506.9063979846</v>
      </c>
      <c r="J36" s="848">
        <f t="shared" si="0"/>
        <v>300665.52999999997</v>
      </c>
      <c r="K36" s="848">
        <f t="shared" si="0"/>
        <v>1849659.5863979845</v>
      </c>
    </row>
    <row r="37" spans="1:11" ht="18" customHeight="1" thickBot="1" x14ac:dyDescent="0.45">
      <c r="B37" s="117"/>
      <c r="F37" s="127"/>
      <c r="G37" s="127"/>
      <c r="H37" s="854"/>
      <c r="I37" s="854"/>
      <c r="J37" s="854"/>
      <c r="K37" s="855"/>
    </row>
    <row r="38" spans="1:11" ht="42.75" customHeight="1" x14ac:dyDescent="0.4">
      <c r="F38" s="122" t="s">
        <v>9</v>
      </c>
      <c r="G38" s="122" t="s">
        <v>37</v>
      </c>
      <c r="H38" s="309" t="s">
        <v>29</v>
      </c>
      <c r="I38" s="309" t="s">
        <v>30</v>
      </c>
      <c r="J38" s="309" t="s">
        <v>33</v>
      </c>
      <c r="K38" s="309" t="s">
        <v>34</v>
      </c>
    </row>
    <row r="39" spans="1:11" ht="18.75" customHeight="1" x14ac:dyDescent="0.4">
      <c r="A39" s="120" t="s">
        <v>86</v>
      </c>
      <c r="B39" s="117" t="s">
        <v>49</v>
      </c>
      <c r="H39" s="108"/>
      <c r="I39" s="108"/>
      <c r="J39" s="108"/>
      <c r="K39" s="108"/>
    </row>
    <row r="40" spans="1:11" ht="18" customHeight="1" x14ac:dyDescent="0.4">
      <c r="A40" s="183" t="s">
        <v>87</v>
      </c>
      <c r="B40" s="186" t="s">
        <v>31</v>
      </c>
      <c r="C40" s="186"/>
      <c r="D40" s="186"/>
      <c r="E40" s="186"/>
      <c r="F40" s="845"/>
      <c r="G40" s="845"/>
      <c r="H40" s="846"/>
      <c r="I40" s="849">
        <v>0</v>
      </c>
      <c r="J40" s="846"/>
      <c r="K40" s="848">
        <f t="shared" ref="K40:K47" si="1">H40+I40-J40</f>
        <v>0</v>
      </c>
    </row>
    <row r="41" spans="1:11" ht="18" customHeight="1" x14ac:dyDescent="0.4">
      <c r="A41" s="183" t="s">
        <v>88</v>
      </c>
      <c r="B41" s="956" t="s">
        <v>50</v>
      </c>
      <c r="C41" s="957"/>
      <c r="F41" s="845">
        <v>15682</v>
      </c>
      <c r="G41" s="845">
        <v>563</v>
      </c>
      <c r="H41" s="846">
        <v>784400</v>
      </c>
      <c r="I41" s="849">
        <v>471425</v>
      </c>
      <c r="J41" s="846">
        <v>0</v>
      </c>
      <c r="K41" s="848">
        <f t="shared" si="1"/>
        <v>1255825</v>
      </c>
    </row>
    <row r="42" spans="1:11" ht="18" customHeight="1" x14ac:dyDescent="0.4">
      <c r="A42" s="183" t="s">
        <v>89</v>
      </c>
      <c r="B42" s="116" t="s">
        <v>11</v>
      </c>
      <c r="F42" s="845"/>
      <c r="G42" s="845"/>
      <c r="H42" s="846"/>
      <c r="I42" s="849">
        <v>0</v>
      </c>
      <c r="J42" s="846">
        <v>0</v>
      </c>
      <c r="K42" s="848">
        <f t="shared" si="1"/>
        <v>0</v>
      </c>
    </row>
    <row r="43" spans="1:11" ht="18" customHeight="1" x14ac:dyDescent="0.4">
      <c r="A43" s="183" t="s">
        <v>90</v>
      </c>
      <c r="B43" s="141" t="s">
        <v>10</v>
      </c>
      <c r="C43" s="123"/>
      <c r="D43" s="123"/>
      <c r="F43" s="845"/>
      <c r="G43" s="856"/>
      <c r="H43" s="846"/>
      <c r="I43" s="849">
        <v>0</v>
      </c>
      <c r="J43" s="846"/>
      <c r="K43" s="848">
        <f t="shared" si="1"/>
        <v>0</v>
      </c>
    </row>
    <row r="44" spans="1:11" ht="18" customHeight="1" x14ac:dyDescent="0.4">
      <c r="A44" s="183" t="s">
        <v>91</v>
      </c>
      <c r="B44" s="1143"/>
      <c r="C44" s="1088"/>
      <c r="D44" s="1089"/>
      <c r="F44" s="845"/>
      <c r="G44" s="845"/>
      <c r="H44" s="846"/>
      <c r="I44" s="849">
        <v>0</v>
      </c>
      <c r="J44" s="846"/>
      <c r="K44" s="848">
        <f t="shared" si="1"/>
        <v>0</v>
      </c>
    </row>
    <row r="45" spans="1:11" ht="18" customHeight="1" x14ac:dyDescent="0.4">
      <c r="A45" s="183" t="s">
        <v>139</v>
      </c>
      <c r="B45" s="1143"/>
      <c r="C45" s="1088"/>
      <c r="D45" s="1089"/>
      <c r="F45" s="845"/>
      <c r="G45" s="845"/>
      <c r="H45" s="846"/>
      <c r="I45" s="849">
        <v>0</v>
      </c>
      <c r="J45" s="846"/>
      <c r="K45" s="848">
        <f t="shared" si="1"/>
        <v>0</v>
      </c>
    </row>
    <row r="46" spans="1:11" ht="18" customHeight="1" x14ac:dyDescent="0.4">
      <c r="A46" s="183" t="s">
        <v>140</v>
      </c>
      <c r="B46" s="1143"/>
      <c r="C46" s="1088"/>
      <c r="D46" s="1089"/>
      <c r="F46" s="845"/>
      <c r="G46" s="845"/>
      <c r="H46" s="846"/>
      <c r="I46" s="849">
        <v>0</v>
      </c>
      <c r="J46" s="846"/>
      <c r="K46" s="848">
        <f t="shared" si="1"/>
        <v>0</v>
      </c>
    </row>
    <row r="47" spans="1:11" ht="18" customHeight="1" x14ac:dyDescent="0.4">
      <c r="A47" s="183" t="s">
        <v>141</v>
      </c>
      <c r="B47" s="1143"/>
      <c r="C47" s="1088"/>
      <c r="D47" s="1089"/>
      <c r="F47" s="845"/>
      <c r="G47" s="845"/>
      <c r="H47" s="846"/>
      <c r="I47" s="849">
        <v>0</v>
      </c>
      <c r="J47" s="846"/>
      <c r="K47" s="848">
        <f t="shared" si="1"/>
        <v>0</v>
      </c>
    </row>
    <row r="48" spans="1:11" ht="18" customHeight="1" x14ac:dyDescent="0.35">
      <c r="H48" s="108"/>
      <c r="I48" s="108"/>
      <c r="J48" s="108"/>
      <c r="K48" s="108"/>
    </row>
    <row r="49" spans="1:11" ht="18" customHeight="1" x14ac:dyDescent="0.4">
      <c r="A49" s="120" t="s">
        <v>142</v>
      </c>
      <c r="B49" s="117" t="s">
        <v>143</v>
      </c>
      <c r="E49" s="425" t="s">
        <v>7</v>
      </c>
      <c r="F49" s="857">
        <f t="shared" ref="F49:K49" si="2">SUM(F40:F47)</f>
        <v>15682</v>
      </c>
      <c r="G49" s="857">
        <f t="shared" si="2"/>
        <v>563</v>
      </c>
      <c r="H49" s="848">
        <f t="shared" si="2"/>
        <v>784400</v>
      </c>
      <c r="I49" s="848">
        <f t="shared" si="2"/>
        <v>471425</v>
      </c>
      <c r="J49" s="848">
        <f t="shared" si="2"/>
        <v>0</v>
      </c>
      <c r="K49" s="848">
        <f t="shared" si="2"/>
        <v>1255825</v>
      </c>
    </row>
    <row r="50" spans="1:11" ht="18" customHeight="1" thickBot="1" x14ac:dyDescent="0.4">
      <c r="G50" s="129"/>
      <c r="H50" s="858"/>
      <c r="I50" s="858"/>
      <c r="J50" s="858"/>
      <c r="K50" s="858"/>
    </row>
    <row r="51" spans="1:11" ht="42.75" customHeight="1" x14ac:dyDescent="0.4">
      <c r="F51" s="122" t="s">
        <v>9</v>
      </c>
      <c r="G51" s="122" t="s">
        <v>37</v>
      </c>
      <c r="H51" s="309" t="s">
        <v>29</v>
      </c>
      <c r="I51" s="309" t="s">
        <v>30</v>
      </c>
      <c r="J51" s="309" t="s">
        <v>33</v>
      </c>
      <c r="K51" s="309" t="s">
        <v>34</v>
      </c>
    </row>
    <row r="52" spans="1:11" ht="18" customHeight="1" x14ac:dyDescent="0.4">
      <c r="A52" s="120" t="s">
        <v>92</v>
      </c>
      <c r="B52" s="976" t="s">
        <v>38</v>
      </c>
      <c r="C52" s="977"/>
      <c r="H52" s="108"/>
      <c r="I52" s="108"/>
      <c r="J52" s="108"/>
      <c r="K52" s="108"/>
    </row>
    <row r="53" spans="1:11" ht="18" customHeight="1" x14ac:dyDescent="0.4">
      <c r="A53" s="183" t="s">
        <v>51</v>
      </c>
      <c r="B53" s="1145" t="s">
        <v>333</v>
      </c>
      <c r="C53" s="1146"/>
      <c r="D53" s="1142"/>
      <c r="F53" s="845">
        <v>12629.835792567239</v>
      </c>
      <c r="G53" s="845"/>
      <c r="H53" s="846">
        <v>1973886.81</v>
      </c>
      <c r="I53" s="849">
        <v>1187072.9248533966</v>
      </c>
      <c r="J53" s="846">
        <v>0</v>
      </c>
      <c r="K53" s="848">
        <f>H53+I53-J53</f>
        <v>3160959.7348533967</v>
      </c>
    </row>
    <row r="54" spans="1:11" ht="18" customHeight="1" x14ac:dyDescent="0.4">
      <c r="A54" s="183" t="s">
        <v>93</v>
      </c>
      <c r="B54" s="893" t="s">
        <v>359</v>
      </c>
      <c r="C54" s="894"/>
      <c r="D54" s="895"/>
      <c r="F54" s="845">
        <v>40659.697569338146</v>
      </c>
      <c r="G54" s="845"/>
      <c r="H54" s="846">
        <v>6194841.25</v>
      </c>
      <c r="I54" s="849">
        <v>3725506.5915557593</v>
      </c>
      <c r="J54" s="846">
        <v>2735.83</v>
      </c>
      <c r="K54" s="848">
        <f>H54+I54-J54</f>
        <v>9917612.0115557592</v>
      </c>
    </row>
    <row r="55" spans="1:11" ht="18" customHeight="1" x14ac:dyDescent="0.4">
      <c r="A55" s="183" t="s">
        <v>94</v>
      </c>
      <c r="B55" s="1140" t="s">
        <v>360</v>
      </c>
      <c r="C55" s="1141"/>
      <c r="D55" s="1142"/>
      <c r="F55" s="845">
        <v>10500.291385538478</v>
      </c>
      <c r="G55" s="845"/>
      <c r="H55" s="846">
        <v>2434924.36</v>
      </c>
      <c r="I55" s="849">
        <v>1464335.6281518417</v>
      </c>
      <c r="J55" s="846">
        <v>0</v>
      </c>
      <c r="K55" s="848">
        <f>H55+I55-J55</f>
        <v>3899259.9881518418</v>
      </c>
    </row>
    <row r="56" spans="1:11" ht="18" customHeight="1" x14ac:dyDescent="0.4">
      <c r="A56" s="183" t="s">
        <v>95</v>
      </c>
      <c r="B56" s="1140" t="s">
        <v>361</v>
      </c>
      <c r="C56" s="1141"/>
      <c r="D56" s="1142"/>
      <c r="F56" s="845">
        <v>11631.575166840137</v>
      </c>
      <c r="G56" s="845"/>
      <c r="H56" s="846">
        <v>1782495.15</v>
      </c>
      <c r="I56" s="849">
        <v>1071972.1721264727</v>
      </c>
      <c r="J56" s="846">
        <v>0</v>
      </c>
      <c r="K56" s="848">
        <f>H56+I56-J56</f>
        <v>2854467.3221264724</v>
      </c>
    </row>
    <row r="57" spans="1:11" ht="18" customHeight="1" x14ac:dyDescent="0.4">
      <c r="A57" s="183" t="s">
        <v>96</v>
      </c>
      <c r="B57" s="1140" t="s">
        <v>352</v>
      </c>
      <c r="C57" s="1141"/>
      <c r="D57" s="1142"/>
      <c r="F57" s="845">
        <v>24131.956505234797</v>
      </c>
      <c r="G57" s="845"/>
      <c r="H57" s="846">
        <v>5823314.0800000001</v>
      </c>
      <c r="I57" s="849">
        <v>3502074.4058194342</v>
      </c>
      <c r="J57" s="846">
        <v>0</v>
      </c>
      <c r="K57" s="848">
        <f>H57+I57-J57</f>
        <v>9325388.4858194347</v>
      </c>
    </row>
    <row r="58" spans="1:11" ht="18" customHeight="1" x14ac:dyDescent="0.4">
      <c r="A58" s="183" t="s">
        <v>97</v>
      </c>
      <c r="B58" s="893"/>
      <c r="C58" s="894"/>
      <c r="D58" s="895"/>
      <c r="F58" s="845"/>
      <c r="G58" s="845"/>
      <c r="H58" s="846">
        <v>0</v>
      </c>
      <c r="I58" s="849">
        <v>0</v>
      </c>
      <c r="J58" s="846">
        <v>0</v>
      </c>
      <c r="K58" s="848">
        <v>0</v>
      </c>
    </row>
    <row r="59" spans="1:11" ht="18" customHeight="1" x14ac:dyDescent="0.4">
      <c r="A59" s="183" t="s">
        <v>98</v>
      </c>
      <c r="B59" s="1137" t="s">
        <v>362</v>
      </c>
      <c r="C59" s="1138"/>
      <c r="D59" s="1139"/>
      <c r="F59" s="845">
        <v>13811.018502418414</v>
      </c>
      <c r="G59" s="845"/>
      <c r="H59" s="846">
        <v>1789009.66</v>
      </c>
      <c r="I59" s="849">
        <v>1075889.9238437996</v>
      </c>
      <c r="J59" s="846">
        <v>0</v>
      </c>
      <c r="K59" s="848">
        <f>H59+I59-J59</f>
        <v>2864899.5838437993</v>
      </c>
    </row>
    <row r="60" spans="1:11" ht="18" customHeight="1" x14ac:dyDescent="0.4">
      <c r="A60" s="183" t="s">
        <v>99</v>
      </c>
      <c r="B60" s="898" t="s">
        <v>363</v>
      </c>
      <c r="C60" s="899"/>
      <c r="D60" s="900"/>
      <c r="F60" s="845">
        <v>2109.3344762137999</v>
      </c>
      <c r="G60" s="845"/>
      <c r="H60" s="846">
        <v>87302</v>
      </c>
      <c r="I60" s="849">
        <v>52502.423117945269</v>
      </c>
      <c r="J60" s="846">
        <v>0</v>
      </c>
      <c r="K60" s="848">
        <f>H60+I60-J60</f>
        <v>139804.42311794526</v>
      </c>
    </row>
    <row r="61" spans="1:11" ht="18" customHeight="1" x14ac:dyDescent="0.4">
      <c r="A61" s="183" t="s">
        <v>100</v>
      </c>
      <c r="B61" s="898" t="s">
        <v>364</v>
      </c>
      <c r="C61" s="899"/>
      <c r="D61" s="900"/>
      <c r="F61" s="845">
        <v>1464.2965285005814</v>
      </c>
      <c r="G61" s="845"/>
      <c r="H61" s="846">
        <v>289291.64</v>
      </c>
      <c r="I61" s="849">
        <v>173976.67966099631</v>
      </c>
      <c r="J61" s="846">
        <v>0</v>
      </c>
      <c r="K61" s="848">
        <f>H61+I61-J61</f>
        <v>463268.31966099632</v>
      </c>
    </row>
    <row r="62" spans="1:11" ht="18" customHeight="1" x14ac:dyDescent="0.4">
      <c r="A62" s="183" t="s">
        <v>101</v>
      </c>
      <c r="B62" s="1137" t="s">
        <v>419</v>
      </c>
      <c r="C62" s="1138"/>
      <c r="D62" s="1139"/>
      <c r="F62" s="845">
        <v>7899.5437947713208</v>
      </c>
      <c r="G62" s="845"/>
      <c r="H62" s="846">
        <v>1492179.48</v>
      </c>
      <c r="I62" s="849">
        <v>897379.65254948963</v>
      </c>
      <c r="J62" s="846">
        <v>119456.25</v>
      </c>
      <c r="K62" s="848">
        <f>H62+I62-J62</f>
        <v>2270102.8825494898</v>
      </c>
    </row>
    <row r="63" spans="1:11" ht="18" customHeight="1" x14ac:dyDescent="0.4">
      <c r="A63" s="183"/>
      <c r="G63" s="186"/>
      <c r="H63" s="108"/>
      <c r="I63" s="312"/>
      <c r="J63" s="859"/>
      <c r="K63" s="108"/>
    </row>
    <row r="64" spans="1:11" ht="18" customHeight="1" x14ac:dyDescent="0.4">
      <c r="A64" s="183" t="s">
        <v>144</v>
      </c>
      <c r="B64" s="117" t="s">
        <v>145</v>
      </c>
      <c r="E64" s="425" t="s">
        <v>7</v>
      </c>
      <c r="F64" s="853">
        <f>SUM(F53:F62)</f>
        <v>124837.54972142291</v>
      </c>
      <c r="G64" s="853">
        <v>0</v>
      </c>
      <c r="H64" s="848">
        <f>SUM(H53:H62)</f>
        <v>21867244.43</v>
      </c>
      <c r="I64" s="848">
        <f>SUM(I53:I62)</f>
        <v>13150710.401679136</v>
      </c>
      <c r="J64" s="848">
        <f>SUM(J53:J62)</f>
        <v>122192.08</v>
      </c>
      <c r="K64" s="848">
        <f>SUM(K53:K62)</f>
        <v>34895762.75167913</v>
      </c>
    </row>
    <row r="65" spans="1:12" ht="18" customHeight="1" x14ac:dyDescent="0.35">
      <c r="F65" s="142"/>
      <c r="G65" s="142"/>
      <c r="H65" s="297"/>
      <c r="I65" s="297"/>
      <c r="J65" s="297"/>
      <c r="K65" s="297"/>
    </row>
    <row r="66" spans="1:12" ht="42.75" customHeight="1" x14ac:dyDescent="0.4">
      <c r="F66" s="147" t="s">
        <v>9</v>
      </c>
      <c r="G66" s="147" t="s">
        <v>37</v>
      </c>
      <c r="H66" s="313" t="s">
        <v>29</v>
      </c>
      <c r="I66" s="313" t="s">
        <v>30</v>
      </c>
      <c r="J66" s="313" t="s">
        <v>33</v>
      </c>
      <c r="K66" s="313" t="s">
        <v>34</v>
      </c>
    </row>
    <row r="67" spans="1:12" ht="18" customHeight="1" x14ac:dyDescent="0.4">
      <c r="A67" s="120" t="s">
        <v>102</v>
      </c>
      <c r="B67" s="117" t="s">
        <v>12</v>
      </c>
      <c r="F67" s="148"/>
      <c r="G67" s="148"/>
      <c r="H67" s="314"/>
      <c r="I67" s="315"/>
      <c r="J67" s="314"/>
      <c r="K67" s="314"/>
    </row>
    <row r="68" spans="1:12" ht="18" customHeight="1" x14ac:dyDescent="0.4">
      <c r="A68" s="183" t="s">
        <v>103</v>
      </c>
      <c r="B68" s="189" t="s">
        <v>52</v>
      </c>
      <c r="F68" s="845">
        <v>0</v>
      </c>
      <c r="G68" s="860">
        <v>0</v>
      </c>
      <c r="H68" s="849">
        <v>0</v>
      </c>
      <c r="I68" s="849">
        <v>0</v>
      </c>
      <c r="J68" s="849">
        <v>0</v>
      </c>
      <c r="K68" s="848">
        <f>H68+I68-J68</f>
        <v>0</v>
      </c>
    </row>
    <row r="69" spans="1:12" ht="18" customHeight="1" x14ac:dyDescent="0.4">
      <c r="A69" s="183" t="s">
        <v>104</v>
      </c>
      <c r="B69" s="116" t="s">
        <v>53</v>
      </c>
      <c r="F69" s="861"/>
      <c r="G69" s="861"/>
      <c r="H69" s="846"/>
      <c r="I69" s="849">
        <v>0</v>
      </c>
      <c r="J69" s="846"/>
      <c r="K69" s="848">
        <f>H69+I69-J69</f>
        <v>0</v>
      </c>
      <c r="L69" s="186"/>
    </row>
    <row r="70" spans="1:12" ht="18" customHeight="1" x14ac:dyDescent="0.4">
      <c r="A70" s="183" t="s">
        <v>178</v>
      </c>
      <c r="B70" s="896" t="s">
        <v>614</v>
      </c>
      <c r="C70" s="899"/>
      <c r="D70" s="900"/>
      <c r="E70" s="117"/>
      <c r="F70" s="845">
        <v>0</v>
      </c>
      <c r="G70" s="845">
        <v>0</v>
      </c>
      <c r="H70" s="846">
        <v>254210</v>
      </c>
      <c r="I70" s="849">
        <v>152780</v>
      </c>
      <c r="J70" s="846">
        <v>0</v>
      </c>
      <c r="K70" s="848">
        <f>H70+I70-J70</f>
        <v>406990</v>
      </c>
    </row>
    <row r="71" spans="1:12" ht="18" customHeight="1" x14ac:dyDescent="0.4">
      <c r="A71" s="183" t="s">
        <v>179</v>
      </c>
      <c r="B71" s="898"/>
      <c r="C71" s="899"/>
      <c r="D71" s="900"/>
      <c r="E71" s="117"/>
      <c r="F71" s="862"/>
      <c r="G71" s="862"/>
      <c r="H71" s="863"/>
      <c r="I71" s="849">
        <v>0</v>
      </c>
      <c r="J71" s="863"/>
      <c r="K71" s="848">
        <f>H71+I71-J71</f>
        <v>0</v>
      </c>
    </row>
    <row r="72" spans="1:12" ht="18" customHeight="1" x14ac:dyDescent="0.4">
      <c r="A72" s="183" t="s">
        <v>180</v>
      </c>
      <c r="B72" s="702"/>
      <c r="C72" s="703"/>
      <c r="D72" s="864"/>
      <c r="E72" s="117"/>
      <c r="F72" s="845"/>
      <c r="G72" s="845"/>
      <c r="H72" s="710"/>
      <c r="I72" s="847">
        <v>0</v>
      </c>
      <c r="J72" s="710"/>
      <c r="K72" s="848">
        <f>H72+I72-J72</f>
        <v>0</v>
      </c>
    </row>
    <row r="73" spans="1:12" ht="18" customHeight="1" x14ac:dyDescent="0.4">
      <c r="A73" s="183"/>
      <c r="B73" s="116"/>
      <c r="E73" s="117"/>
      <c r="F73" s="151"/>
      <c r="G73" s="151"/>
      <c r="H73" s="152"/>
      <c r="I73" s="149"/>
      <c r="J73" s="152"/>
      <c r="K73" s="314"/>
    </row>
    <row r="74" spans="1:12" ht="18" customHeight="1" x14ac:dyDescent="0.4">
      <c r="A74" s="120" t="s">
        <v>146</v>
      </c>
      <c r="B74" s="117" t="s">
        <v>147</v>
      </c>
      <c r="E74" s="425" t="s">
        <v>7</v>
      </c>
      <c r="F74" s="865">
        <f t="shared" ref="F74:K74" si="3">SUM(F68:F72)</f>
        <v>0</v>
      </c>
      <c r="G74" s="865">
        <f t="shared" si="3"/>
        <v>0</v>
      </c>
      <c r="H74" s="712">
        <f t="shared" si="3"/>
        <v>254210</v>
      </c>
      <c r="I74" s="712">
        <f t="shared" si="3"/>
        <v>152780</v>
      </c>
      <c r="J74" s="712">
        <f t="shared" si="3"/>
        <v>0</v>
      </c>
      <c r="K74" s="866">
        <f t="shared" si="3"/>
        <v>406990</v>
      </c>
    </row>
    <row r="75" spans="1:12" ht="42.75" customHeight="1" x14ac:dyDescent="0.4">
      <c r="F75" s="122" t="s">
        <v>9</v>
      </c>
      <c r="G75" s="122" t="s">
        <v>37</v>
      </c>
      <c r="H75" s="122" t="s">
        <v>29</v>
      </c>
      <c r="I75" s="122" t="s">
        <v>30</v>
      </c>
      <c r="J75" s="122" t="s">
        <v>33</v>
      </c>
      <c r="K75" s="309" t="s">
        <v>34</v>
      </c>
    </row>
    <row r="76" spans="1:12" ht="18" customHeight="1" x14ac:dyDescent="0.4">
      <c r="A76" s="120" t="s">
        <v>105</v>
      </c>
      <c r="B76" s="117" t="s">
        <v>106</v>
      </c>
      <c r="K76" s="108"/>
    </row>
    <row r="77" spans="1:12" ht="18" customHeight="1" x14ac:dyDescent="0.4">
      <c r="A77" s="183" t="s">
        <v>107</v>
      </c>
      <c r="B77" s="116" t="s">
        <v>54</v>
      </c>
      <c r="F77" s="845">
        <v>0</v>
      </c>
      <c r="G77" s="845">
        <v>0</v>
      </c>
      <c r="H77" s="710">
        <v>40000</v>
      </c>
      <c r="I77" s="847">
        <v>0</v>
      </c>
      <c r="J77" s="710">
        <v>0</v>
      </c>
      <c r="K77" s="848">
        <f>H77+I77-J77</f>
        <v>40000</v>
      </c>
    </row>
    <row r="78" spans="1:12" ht="18" customHeight="1" x14ac:dyDescent="0.4">
      <c r="A78" s="183" t="s">
        <v>108</v>
      </c>
      <c r="B78" s="116" t="s">
        <v>55</v>
      </c>
      <c r="F78" s="845">
        <v>0</v>
      </c>
      <c r="G78" s="845">
        <v>0</v>
      </c>
      <c r="H78" s="710">
        <v>0</v>
      </c>
      <c r="I78" s="847">
        <v>0</v>
      </c>
      <c r="J78" s="710">
        <v>0</v>
      </c>
      <c r="K78" s="848">
        <f>H78+I78-J78</f>
        <v>0</v>
      </c>
    </row>
    <row r="79" spans="1:12" ht="18" customHeight="1" x14ac:dyDescent="0.4">
      <c r="A79" s="183" t="s">
        <v>109</v>
      </c>
      <c r="B79" s="116" t="s">
        <v>13</v>
      </c>
      <c r="F79" s="845">
        <v>8</v>
      </c>
      <c r="G79" s="845">
        <v>800</v>
      </c>
      <c r="H79" s="710">
        <v>400</v>
      </c>
      <c r="I79" s="847">
        <v>1664</v>
      </c>
      <c r="J79" s="710">
        <v>0</v>
      </c>
      <c r="K79" s="848">
        <f>H79+I79-J79</f>
        <v>2064</v>
      </c>
    </row>
    <row r="80" spans="1:12" ht="18" customHeight="1" x14ac:dyDescent="0.4">
      <c r="A80" s="183" t="s">
        <v>110</v>
      </c>
      <c r="B80" s="116" t="s">
        <v>56</v>
      </c>
      <c r="F80" s="845"/>
      <c r="G80" s="845"/>
      <c r="H80" s="710"/>
      <c r="I80" s="847">
        <v>0</v>
      </c>
      <c r="J80" s="710"/>
      <c r="K80" s="848">
        <v>0</v>
      </c>
    </row>
    <row r="81" spans="1:11" ht="18" customHeight="1" x14ac:dyDescent="0.4">
      <c r="A81" s="183"/>
      <c r="K81" s="867"/>
    </row>
    <row r="82" spans="1:11" ht="18" customHeight="1" x14ac:dyDescent="0.4">
      <c r="A82" s="183" t="s">
        <v>148</v>
      </c>
      <c r="B82" s="117" t="s">
        <v>149</v>
      </c>
      <c r="E82" s="117" t="s">
        <v>7</v>
      </c>
      <c r="F82" s="868">
        <v>0</v>
      </c>
      <c r="G82" s="868">
        <v>0</v>
      </c>
      <c r="H82" s="869">
        <f>SUM(H77:H80)</f>
        <v>40400</v>
      </c>
      <c r="I82" s="869">
        <f>SUM(I77:I80)</f>
        <v>1664</v>
      </c>
      <c r="J82" s="869">
        <f>SUM(J77:J80)</f>
        <v>0</v>
      </c>
      <c r="K82" s="870">
        <f>SUM(K77:K80)</f>
        <v>42064</v>
      </c>
    </row>
    <row r="83" spans="1:11" ht="18" customHeight="1" thickBot="1" x14ac:dyDescent="0.45">
      <c r="A83" s="183"/>
      <c r="F83" s="129"/>
      <c r="G83" s="129"/>
      <c r="H83" s="129"/>
      <c r="I83" s="129"/>
      <c r="J83" s="129"/>
      <c r="K83" s="858"/>
    </row>
    <row r="84" spans="1:11" ht="42.75" customHeight="1" x14ac:dyDescent="0.4">
      <c r="F84" s="122" t="s">
        <v>9</v>
      </c>
      <c r="G84" s="122" t="s">
        <v>37</v>
      </c>
      <c r="H84" s="122" t="s">
        <v>29</v>
      </c>
      <c r="I84" s="122" t="s">
        <v>30</v>
      </c>
      <c r="J84" s="122" t="s">
        <v>33</v>
      </c>
      <c r="K84" s="309" t="s">
        <v>34</v>
      </c>
    </row>
    <row r="85" spans="1:11" ht="18" customHeight="1" x14ac:dyDescent="0.4">
      <c r="A85" s="120" t="s">
        <v>111</v>
      </c>
      <c r="B85" s="117" t="s">
        <v>57</v>
      </c>
      <c r="K85" s="108"/>
    </row>
    <row r="86" spans="1:11" ht="18" customHeight="1" x14ac:dyDescent="0.4">
      <c r="A86" s="183" t="s">
        <v>112</v>
      </c>
      <c r="B86" s="116" t="s">
        <v>113</v>
      </c>
      <c r="F86" s="845">
        <v>0</v>
      </c>
      <c r="G86" s="845">
        <v>0</v>
      </c>
      <c r="H86" s="710">
        <v>0</v>
      </c>
      <c r="I86" s="847">
        <v>0</v>
      </c>
      <c r="J86" s="710">
        <v>0</v>
      </c>
      <c r="K86" s="848">
        <f t="shared" ref="K86:K94" si="4">H86+I86-J86</f>
        <v>0</v>
      </c>
    </row>
    <row r="87" spans="1:11" ht="18" customHeight="1" x14ac:dyDescent="0.4">
      <c r="A87" s="183" t="s">
        <v>114</v>
      </c>
      <c r="B87" s="116" t="s">
        <v>14</v>
      </c>
      <c r="F87" s="845">
        <v>0</v>
      </c>
      <c r="G87" s="845">
        <v>0</v>
      </c>
      <c r="H87" s="710">
        <v>0</v>
      </c>
      <c r="I87" s="847">
        <v>0</v>
      </c>
      <c r="J87" s="710">
        <v>0</v>
      </c>
      <c r="K87" s="848">
        <f t="shared" si="4"/>
        <v>0</v>
      </c>
    </row>
    <row r="88" spans="1:11" ht="18" customHeight="1" x14ac:dyDescent="0.4">
      <c r="A88" s="183" t="s">
        <v>115</v>
      </c>
      <c r="B88" s="116" t="s">
        <v>116</v>
      </c>
      <c r="F88" s="845">
        <v>0</v>
      </c>
      <c r="G88" s="845">
        <v>0</v>
      </c>
      <c r="H88" s="710">
        <v>0</v>
      </c>
      <c r="I88" s="847">
        <v>0</v>
      </c>
      <c r="J88" s="710">
        <v>0</v>
      </c>
      <c r="K88" s="848">
        <f t="shared" si="4"/>
        <v>0</v>
      </c>
    </row>
    <row r="89" spans="1:11" ht="18" customHeight="1" x14ac:dyDescent="0.4">
      <c r="A89" s="183" t="s">
        <v>117</v>
      </c>
      <c r="B89" s="116" t="s">
        <v>58</v>
      </c>
      <c r="F89" s="845">
        <v>0</v>
      </c>
      <c r="G89" s="845">
        <v>0</v>
      </c>
      <c r="H89" s="710">
        <v>0</v>
      </c>
      <c r="I89" s="847">
        <v>0</v>
      </c>
      <c r="J89" s="710">
        <v>0</v>
      </c>
      <c r="K89" s="848">
        <f t="shared" si="4"/>
        <v>0</v>
      </c>
    </row>
    <row r="90" spans="1:11" ht="18" customHeight="1" x14ac:dyDescent="0.4">
      <c r="A90" s="183" t="s">
        <v>118</v>
      </c>
      <c r="B90" s="956" t="s">
        <v>59</v>
      </c>
      <c r="C90" s="957"/>
      <c r="F90" s="845">
        <v>0</v>
      </c>
      <c r="G90" s="845">
        <v>0</v>
      </c>
      <c r="H90" s="710">
        <v>0</v>
      </c>
      <c r="I90" s="847">
        <v>0</v>
      </c>
      <c r="J90" s="710">
        <v>0</v>
      </c>
      <c r="K90" s="848">
        <f t="shared" si="4"/>
        <v>0</v>
      </c>
    </row>
    <row r="91" spans="1:11" ht="18" customHeight="1" x14ac:dyDescent="0.4">
      <c r="A91" s="183" t="s">
        <v>119</v>
      </c>
      <c r="B91" s="116" t="s">
        <v>60</v>
      </c>
      <c r="F91" s="845">
        <v>4</v>
      </c>
      <c r="G91" s="845">
        <v>0</v>
      </c>
      <c r="H91" s="710">
        <v>200</v>
      </c>
      <c r="I91" s="847">
        <v>0</v>
      </c>
      <c r="J91" s="710">
        <v>0</v>
      </c>
      <c r="K91" s="848">
        <f t="shared" si="4"/>
        <v>200</v>
      </c>
    </row>
    <row r="92" spans="1:11" ht="18" customHeight="1" x14ac:dyDescent="0.4">
      <c r="A92" s="183" t="s">
        <v>120</v>
      </c>
      <c r="B92" s="116" t="s">
        <v>121</v>
      </c>
      <c r="F92" s="845">
        <v>134</v>
      </c>
      <c r="G92" s="845">
        <v>1000</v>
      </c>
      <c r="H92" s="710">
        <v>6700</v>
      </c>
      <c r="I92" s="847">
        <v>1143</v>
      </c>
      <c r="J92" s="710">
        <v>0</v>
      </c>
      <c r="K92" s="848">
        <f t="shared" si="4"/>
        <v>7843</v>
      </c>
    </row>
    <row r="93" spans="1:11" ht="18" customHeight="1" x14ac:dyDescent="0.4">
      <c r="A93" s="183" t="s">
        <v>122</v>
      </c>
      <c r="B93" s="116" t="s">
        <v>123</v>
      </c>
      <c r="F93" s="845">
        <v>194</v>
      </c>
      <c r="G93" s="845">
        <v>80</v>
      </c>
      <c r="H93" s="710">
        <v>9700</v>
      </c>
      <c r="I93" s="847">
        <v>5830</v>
      </c>
      <c r="J93" s="710">
        <v>0</v>
      </c>
      <c r="K93" s="848">
        <f t="shared" si="4"/>
        <v>15530</v>
      </c>
    </row>
    <row r="94" spans="1:11" ht="18" customHeight="1" x14ac:dyDescent="0.4">
      <c r="A94" s="183" t="s">
        <v>124</v>
      </c>
      <c r="B94" s="1137" t="s">
        <v>812</v>
      </c>
      <c r="C94" s="1138"/>
      <c r="D94" s="1139"/>
      <c r="F94" s="845"/>
      <c r="G94" s="845"/>
      <c r="H94" s="710">
        <v>30000</v>
      </c>
      <c r="I94" s="847">
        <v>0</v>
      </c>
      <c r="J94" s="710"/>
      <c r="K94" s="848">
        <f t="shared" si="4"/>
        <v>30000</v>
      </c>
    </row>
    <row r="95" spans="1:11" ht="18" customHeight="1" x14ac:dyDescent="0.4">
      <c r="A95" s="183" t="s">
        <v>125</v>
      </c>
      <c r="B95" s="1144"/>
      <c r="C95" s="1138"/>
      <c r="D95" s="1139"/>
      <c r="F95" s="845"/>
      <c r="G95" s="845"/>
      <c r="H95" s="710"/>
      <c r="I95" s="847">
        <v>0</v>
      </c>
      <c r="J95" s="710"/>
      <c r="K95" s="848">
        <v>0</v>
      </c>
    </row>
    <row r="96" spans="1:11" ht="18" customHeight="1" x14ac:dyDescent="0.4">
      <c r="A96" s="183" t="s">
        <v>126</v>
      </c>
      <c r="B96" s="1144"/>
      <c r="C96" s="1138"/>
      <c r="D96" s="1139"/>
      <c r="F96" s="845"/>
      <c r="G96" s="845"/>
      <c r="H96" s="710"/>
      <c r="I96" s="847">
        <v>0</v>
      </c>
      <c r="J96" s="710"/>
      <c r="K96" s="848">
        <v>0</v>
      </c>
    </row>
    <row r="97" spans="1:11" ht="18" customHeight="1" x14ac:dyDescent="0.4">
      <c r="A97" s="183"/>
      <c r="B97" s="116"/>
      <c r="J97" s="186"/>
      <c r="K97" s="108"/>
    </row>
    <row r="98" spans="1:11" ht="18" customHeight="1" x14ac:dyDescent="0.4">
      <c r="A98" s="120" t="s">
        <v>150</v>
      </c>
      <c r="B98" s="117" t="s">
        <v>151</v>
      </c>
      <c r="E98" s="117" t="s">
        <v>7</v>
      </c>
      <c r="F98" s="853">
        <f t="shared" ref="F98:K98" si="5">SUM(F86:F96)</f>
        <v>332</v>
      </c>
      <c r="G98" s="853">
        <f t="shared" si="5"/>
        <v>1080</v>
      </c>
      <c r="H98" s="853">
        <f t="shared" si="5"/>
        <v>46600</v>
      </c>
      <c r="I98" s="853">
        <f t="shared" si="5"/>
        <v>6973</v>
      </c>
      <c r="J98" s="853">
        <f t="shared" si="5"/>
        <v>0</v>
      </c>
      <c r="K98" s="848">
        <f t="shared" si="5"/>
        <v>53573</v>
      </c>
    </row>
    <row r="99" spans="1:11" ht="18" customHeight="1" thickBot="1" x14ac:dyDescent="0.45">
      <c r="B99" s="117"/>
      <c r="F99" s="129"/>
      <c r="G99" s="129"/>
      <c r="H99" s="129"/>
      <c r="I99" s="129"/>
      <c r="J99" s="129"/>
      <c r="K99" s="858"/>
    </row>
    <row r="100" spans="1:11" ht="42.75" customHeight="1" x14ac:dyDescent="0.4">
      <c r="F100" s="122" t="s">
        <v>9</v>
      </c>
      <c r="G100" s="122" t="s">
        <v>37</v>
      </c>
      <c r="H100" s="122" t="s">
        <v>29</v>
      </c>
      <c r="I100" s="122" t="s">
        <v>30</v>
      </c>
      <c r="J100" s="122" t="s">
        <v>33</v>
      </c>
      <c r="K100" s="309" t="s">
        <v>34</v>
      </c>
    </row>
    <row r="101" spans="1:11" ht="18" customHeight="1" x14ac:dyDescent="0.4">
      <c r="A101" s="120" t="s">
        <v>130</v>
      </c>
      <c r="B101" s="117" t="s">
        <v>63</v>
      </c>
      <c r="K101" s="108"/>
    </row>
    <row r="102" spans="1:11" ht="18" customHeight="1" x14ac:dyDescent="0.4">
      <c r="A102" s="183" t="s">
        <v>131</v>
      </c>
      <c r="B102" s="116" t="s">
        <v>152</v>
      </c>
      <c r="F102" s="845">
        <v>133</v>
      </c>
      <c r="G102" s="845">
        <v>360</v>
      </c>
      <c r="H102" s="710">
        <v>11667</v>
      </c>
      <c r="I102" s="847">
        <v>0</v>
      </c>
      <c r="J102" s="710">
        <v>0</v>
      </c>
      <c r="K102" s="848">
        <f>H102+I102-J102</f>
        <v>11667</v>
      </c>
    </row>
    <row r="103" spans="1:11" ht="18" customHeight="1" x14ac:dyDescent="0.4">
      <c r="A103" s="183" t="s">
        <v>132</v>
      </c>
      <c r="B103" s="956" t="s">
        <v>62</v>
      </c>
      <c r="C103" s="956"/>
      <c r="F103" s="845">
        <v>116</v>
      </c>
      <c r="G103" s="845">
        <v>0</v>
      </c>
      <c r="H103" s="710">
        <v>7527</v>
      </c>
      <c r="I103" s="847">
        <v>1035</v>
      </c>
      <c r="J103" s="710">
        <v>0</v>
      </c>
      <c r="K103" s="848">
        <f>H103+I103-J103</f>
        <v>8562</v>
      </c>
    </row>
    <row r="104" spans="1:11" ht="18" customHeight="1" x14ac:dyDescent="0.4">
      <c r="A104" s="183" t="s">
        <v>128</v>
      </c>
      <c r="B104" s="1144"/>
      <c r="C104" s="1138"/>
      <c r="D104" s="1139"/>
      <c r="F104" s="845"/>
      <c r="G104" s="845"/>
      <c r="H104" s="710"/>
      <c r="I104" s="847">
        <v>0</v>
      </c>
      <c r="J104" s="710"/>
      <c r="K104" s="848">
        <f>H104+I104-J104</f>
        <v>0</v>
      </c>
    </row>
    <row r="105" spans="1:11" ht="18" customHeight="1" x14ac:dyDescent="0.4">
      <c r="A105" s="183" t="s">
        <v>127</v>
      </c>
      <c r="B105" s="1144"/>
      <c r="C105" s="1138"/>
      <c r="D105" s="1139"/>
      <c r="F105" s="845"/>
      <c r="G105" s="845"/>
      <c r="H105" s="710"/>
      <c r="I105" s="847">
        <v>0</v>
      </c>
      <c r="J105" s="710"/>
      <c r="K105" s="848">
        <f>H105+I105-J105</f>
        <v>0</v>
      </c>
    </row>
    <row r="106" spans="1:11" ht="18" customHeight="1" x14ac:dyDescent="0.4">
      <c r="A106" s="183" t="s">
        <v>129</v>
      </c>
      <c r="B106" s="1144"/>
      <c r="C106" s="1138"/>
      <c r="D106" s="1139"/>
      <c r="F106" s="845"/>
      <c r="G106" s="845"/>
      <c r="H106" s="710"/>
      <c r="I106" s="847">
        <v>0</v>
      </c>
      <c r="J106" s="710"/>
      <c r="K106" s="848">
        <f>H106+I106-J106</f>
        <v>0</v>
      </c>
    </row>
    <row r="107" spans="1:11" ht="18" customHeight="1" x14ac:dyDescent="0.4">
      <c r="B107" s="117"/>
      <c r="K107" s="108"/>
    </row>
    <row r="108" spans="1:11" s="123" customFormat="1" ht="18" customHeight="1" x14ac:dyDescent="0.4">
      <c r="A108" s="120" t="s">
        <v>153</v>
      </c>
      <c r="B108" s="153" t="s">
        <v>154</v>
      </c>
      <c r="C108" s="189"/>
      <c r="D108" s="189"/>
      <c r="E108" s="117" t="s">
        <v>7</v>
      </c>
      <c r="F108" s="853">
        <f t="shared" ref="F108:K108" si="6">SUM(F102:F106)</f>
        <v>249</v>
      </c>
      <c r="G108" s="853">
        <f t="shared" si="6"/>
        <v>360</v>
      </c>
      <c r="H108" s="559">
        <f t="shared" si="6"/>
        <v>19194</v>
      </c>
      <c r="I108" s="559">
        <f t="shared" si="6"/>
        <v>1035</v>
      </c>
      <c r="J108" s="559">
        <f t="shared" si="6"/>
        <v>0</v>
      </c>
      <c r="K108" s="848">
        <f t="shared" si="6"/>
        <v>20229</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846">
        <v>8081000</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711">
        <v>0.60138854915059525</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846">
        <v>341266000</v>
      </c>
    </row>
    <row r="118" spans="1:6" ht="18" customHeight="1" x14ac:dyDescent="0.4">
      <c r="A118" s="183" t="s">
        <v>173</v>
      </c>
      <c r="B118" s="189" t="s">
        <v>18</v>
      </c>
      <c r="F118" s="846">
        <v>4032000</v>
      </c>
    </row>
    <row r="119" spans="1:6" ht="18" customHeight="1" x14ac:dyDescent="0.4">
      <c r="A119" s="183" t="s">
        <v>174</v>
      </c>
      <c r="B119" s="117" t="s">
        <v>19</v>
      </c>
      <c r="F119" s="866">
        <f>F118+F117</f>
        <v>345298000</v>
      </c>
    </row>
    <row r="120" spans="1:6" ht="18" customHeight="1" x14ac:dyDescent="0.4">
      <c r="A120" s="183"/>
      <c r="B120" s="117"/>
    </row>
    <row r="121" spans="1:6" ht="18" customHeight="1" x14ac:dyDescent="0.4">
      <c r="A121" s="183" t="s">
        <v>167</v>
      </c>
      <c r="B121" s="117" t="s">
        <v>36</v>
      </c>
      <c r="F121" s="846">
        <v>335424000</v>
      </c>
    </row>
    <row r="122" spans="1:6" ht="18" customHeight="1" x14ac:dyDescent="0.4">
      <c r="A122" s="183"/>
    </row>
    <row r="123" spans="1:6" ht="18" customHeight="1" x14ac:dyDescent="0.4">
      <c r="A123" s="183" t="s">
        <v>175</v>
      </c>
      <c r="B123" s="117" t="s">
        <v>20</v>
      </c>
      <c r="F123" s="871">
        <f>F119-F121</f>
        <v>9874000</v>
      </c>
    </row>
    <row r="124" spans="1:6" ht="18" customHeight="1" x14ac:dyDescent="0.4">
      <c r="A124" s="183"/>
    </row>
    <row r="125" spans="1:6" ht="18" customHeight="1" x14ac:dyDescent="0.4">
      <c r="A125" s="183" t="s">
        <v>176</v>
      </c>
      <c r="B125" s="117" t="s">
        <v>21</v>
      </c>
      <c r="F125" s="872">
        <v>-1326000</v>
      </c>
    </row>
    <row r="126" spans="1:6" ht="18" customHeight="1" x14ac:dyDescent="0.4">
      <c r="A126" s="183"/>
    </row>
    <row r="127" spans="1:6" ht="18" customHeight="1" x14ac:dyDescent="0.4">
      <c r="A127" s="183" t="s">
        <v>177</v>
      </c>
      <c r="B127" s="117" t="s">
        <v>22</v>
      </c>
      <c r="F127" s="873">
        <f>F125+F123</f>
        <v>8548000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845"/>
      <c r="G131" s="845"/>
      <c r="H131" s="710"/>
      <c r="I131" s="847">
        <v>0</v>
      </c>
      <c r="J131" s="710"/>
      <c r="K131" s="559">
        <v>0</v>
      </c>
    </row>
    <row r="132" spans="1:11" ht="18" customHeight="1" x14ac:dyDescent="0.4">
      <c r="A132" s="183" t="s">
        <v>159</v>
      </c>
      <c r="B132" s="189" t="s">
        <v>25</v>
      </c>
      <c r="F132" s="845"/>
      <c r="G132" s="845"/>
      <c r="H132" s="710"/>
      <c r="I132" s="847">
        <v>0</v>
      </c>
      <c r="J132" s="710"/>
      <c r="K132" s="559">
        <v>0</v>
      </c>
    </row>
    <row r="133" spans="1:11" ht="18" customHeight="1" x14ac:dyDescent="0.4">
      <c r="A133" s="183" t="s">
        <v>160</v>
      </c>
      <c r="B133" s="1143"/>
      <c r="C133" s="1088"/>
      <c r="D133" s="1089"/>
      <c r="F133" s="845"/>
      <c r="G133" s="845"/>
      <c r="H133" s="710"/>
      <c r="I133" s="847">
        <v>0</v>
      </c>
      <c r="J133" s="710"/>
      <c r="K133" s="559">
        <v>0</v>
      </c>
    </row>
    <row r="134" spans="1:11" ht="18" customHeight="1" x14ac:dyDescent="0.4">
      <c r="A134" s="183" t="s">
        <v>161</v>
      </c>
      <c r="B134" s="1143"/>
      <c r="C134" s="1088"/>
      <c r="D134" s="1089"/>
      <c r="F134" s="845"/>
      <c r="G134" s="845"/>
      <c r="H134" s="710"/>
      <c r="I134" s="847">
        <v>0</v>
      </c>
      <c r="J134" s="710"/>
      <c r="K134" s="559">
        <v>0</v>
      </c>
    </row>
    <row r="135" spans="1:11" ht="18" customHeight="1" x14ac:dyDescent="0.4">
      <c r="A135" s="183" t="s">
        <v>162</v>
      </c>
      <c r="B135" s="1143"/>
      <c r="C135" s="1088"/>
      <c r="D135" s="1089"/>
      <c r="F135" s="845"/>
      <c r="G135" s="845"/>
      <c r="H135" s="710"/>
      <c r="I135" s="847">
        <v>0</v>
      </c>
      <c r="J135" s="710"/>
      <c r="K135" s="559">
        <v>0</v>
      </c>
    </row>
    <row r="136" spans="1:11" ht="18" customHeight="1" x14ac:dyDescent="0.4">
      <c r="A136" s="120"/>
      <c r="F136" s="186"/>
      <c r="G136" s="186"/>
      <c r="H136" s="186"/>
      <c r="I136" s="186"/>
      <c r="J136" s="186"/>
      <c r="K136" s="186"/>
    </row>
    <row r="137" spans="1:11" ht="18" customHeight="1" x14ac:dyDescent="0.4">
      <c r="A137" s="120" t="s">
        <v>163</v>
      </c>
      <c r="B137" s="117" t="s">
        <v>27</v>
      </c>
      <c r="F137" s="853">
        <v>0</v>
      </c>
      <c r="G137" s="853">
        <v>0</v>
      </c>
      <c r="H137" s="559">
        <v>0</v>
      </c>
      <c r="I137" s="559">
        <v>0</v>
      </c>
      <c r="J137" s="559">
        <v>0</v>
      </c>
      <c r="K137" s="559">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641">
        <f t="shared" ref="F141:K141" si="7">F36</f>
        <v>3233.5</v>
      </c>
      <c r="G141" s="641">
        <f t="shared" si="7"/>
        <v>19865</v>
      </c>
      <c r="H141" s="641">
        <f t="shared" si="7"/>
        <v>1433818.21</v>
      </c>
      <c r="I141" s="641">
        <f t="shared" si="7"/>
        <v>716506.9063979846</v>
      </c>
      <c r="J141" s="641">
        <f t="shared" si="7"/>
        <v>300665.52999999997</v>
      </c>
      <c r="K141" s="641">
        <f t="shared" si="7"/>
        <v>1849659.5863979845</v>
      </c>
    </row>
    <row r="142" spans="1:11" ht="18" customHeight="1" x14ac:dyDescent="0.4">
      <c r="A142" s="183" t="s">
        <v>142</v>
      </c>
      <c r="B142" s="117" t="s">
        <v>65</v>
      </c>
      <c r="F142" s="641">
        <f t="shared" ref="F142:K142" si="8">F49</f>
        <v>15682</v>
      </c>
      <c r="G142" s="641">
        <f t="shared" si="8"/>
        <v>563</v>
      </c>
      <c r="H142" s="641">
        <f t="shared" si="8"/>
        <v>784400</v>
      </c>
      <c r="I142" s="641">
        <f t="shared" si="8"/>
        <v>471425</v>
      </c>
      <c r="J142" s="641">
        <f t="shared" si="8"/>
        <v>0</v>
      </c>
      <c r="K142" s="641">
        <f t="shared" si="8"/>
        <v>1255825</v>
      </c>
    </row>
    <row r="143" spans="1:11" ht="18" customHeight="1" x14ac:dyDescent="0.4">
      <c r="A143" s="183" t="s">
        <v>144</v>
      </c>
      <c r="B143" s="117" t="s">
        <v>66</v>
      </c>
      <c r="F143" s="641">
        <f t="shared" ref="F143:K143" si="9">F64</f>
        <v>124837.54972142291</v>
      </c>
      <c r="G143" s="641">
        <f t="shared" si="9"/>
        <v>0</v>
      </c>
      <c r="H143" s="641">
        <f t="shared" si="9"/>
        <v>21867244.43</v>
      </c>
      <c r="I143" s="641">
        <f t="shared" si="9"/>
        <v>13150710.401679136</v>
      </c>
      <c r="J143" s="641">
        <f t="shared" si="9"/>
        <v>122192.08</v>
      </c>
      <c r="K143" s="641">
        <f t="shared" si="9"/>
        <v>34895762.75167913</v>
      </c>
    </row>
    <row r="144" spans="1:11" ht="18" customHeight="1" x14ac:dyDescent="0.4">
      <c r="A144" s="183" t="s">
        <v>146</v>
      </c>
      <c r="B144" s="117" t="s">
        <v>67</v>
      </c>
      <c r="F144" s="641">
        <f t="shared" ref="F144:K144" si="10">F74</f>
        <v>0</v>
      </c>
      <c r="G144" s="641">
        <f t="shared" si="10"/>
        <v>0</v>
      </c>
      <c r="H144" s="641">
        <f t="shared" si="10"/>
        <v>254210</v>
      </c>
      <c r="I144" s="641">
        <f t="shared" si="10"/>
        <v>152780</v>
      </c>
      <c r="J144" s="641">
        <f t="shared" si="10"/>
        <v>0</v>
      </c>
      <c r="K144" s="641">
        <f t="shared" si="10"/>
        <v>406990</v>
      </c>
    </row>
    <row r="145" spans="1:11" ht="18" customHeight="1" x14ac:dyDescent="0.4">
      <c r="A145" s="183" t="s">
        <v>148</v>
      </c>
      <c r="B145" s="117" t="s">
        <v>68</v>
      </c>
      <c r="F145" s="641">
        <f t="shared" ref="F145:K145" si="11">F82</f>
        <v>0</v>
      </c>
      <c r="G145" s="641">
        <f t="shared" si="11"/>
        <v>0</v>
      </c>
      <c r="H145" s="641">
        <f t="shared" si="11"/>
        <v>40400</v>
      </c>
      <c r="I145" s="641">
        <f t="shared" si="11"/>
        <v>1664</v>
      </c>
      <c r="J145" s="641">
        <f t="shared" si="11"/>
        <v>0</v>
      </c>
      <c r="K145" s="641">
        <f t="shared" si="11"/>
        <v>42064</v>
      </c>
    </row>
    <row r="146" spans="1:11" ht="18" customHeight="1" x14ac:dyDescent="0.4">
      <c r="A146" s="183" t="s">
        <v>150</v>
      </c>
      <c r="B146" s="117" t="s">
        <v>69</v>
      </c>
      <c r="F146" s="641">
        <f t="shared" ref="F146:K146" si="12">F98</f>
        <v>332</v>
      </c>
      <c r="G146" s="641">
        <f t="shared" si="12"/>
        <v>1080</v>
      </c>
      <c r="H146" s="641">
        <f t="shared" si="12"/>
        <v>46600</v>
      </c>
      <c r="I146" s="641">
        <f t="shared" si="12"/>
        <v>6973</v>
      </c>
      <c r="J146" s="641">
        <f t="shared" si="12"/>
        <v>0</v>
      </c>
      <c r="K146" s="641">
        <f t="shared" si="12"/>
        <v>53573</v>
      </c>
    </row>
    <row r="147" spans="1:11" ht="18" customHeight="1" x14ac:dyDescent="0.4">
      <c r="A147" s="183" t="s">
        <v>153</v>
      </c>
      <c r="B147" s="117" t="s">
        <v>61</v>
      </c>
      <c r="F147" s="853">
        <f t="shared" ref="F147:K147" si="13">F108</f>
        <v>249</v>
      </c>
      <c r="G147" s="853">
        <f t="shared" si="13"/>
        <v>360</v>
      </c>
      <c r="H147" s="853">
        <f t="shared" si="13"/>
        <v>19194</v>
      </c>
      <c r="I147" s="853">
        <f t="shared" si="13"/>
        <v>1035</v>
      </c>
      <c r="J147" s="853">
        <f t="shared" si="13"/>
        <v>0</v>
      </c>
      <c r="K147" s="853">
        <f t="shared" si="13"/>
        <v>20229</v>
      </c>
    </row>
    <row r="148" spans="1:11" ht="18" customHeight="1" x14ac:dyDescent="0.4">
      <c r="A148" s="183" t="s">
        <v>155</v>
      </c>
      <c r="B148" s="117" t="s">
        <v>70</v>
      </c>
      <c r="F148" s="137" t="s">
        <v>73</v>
      </c>
      <c r="G148" s="137" t="s">
        <v>73</v>
      </c>
      <c r="H148" s="138" t="s">
        <v>73</v>
      </c>
      <c r="I148" s="138" t="s">
        <v>73</v>
      </c>
      <c r="J148" s="138" t="s">
        <v>73</v>
      </c>
      <c r="K148" s="874">
        <f>F111</f>
        <v>8081000</v>
      </c>
    </row>
    <row r="149" spans="1:11" ht="18" customHeight="1" x14ac:dyDescent="0.4">
      <c r="A149" s="183" t="s">
        <v>163</v>
      </c>
      <c r="B149" s="117" t="s">
        <v>71</v>
      </c>
      <c r="F149" s="853">
        <f t="shared" ref="F149:K149" si="14">F137</f>
        <v>0</v>
      </c>
      <c r="G149" s="853">
        <f t="shared" si="14"/>
        <v>0</v>
      </c>
      <c r="H149" s="853">
        <f t="shared" si="14"/>
        <v>0</v>
      </c>
      <c r="I149" s="853">
        <f t="shared" si="14"/>
        <v>0</v>
      </c>
      <c r="J149" s="853">
        <f t="shared" si="14"/>
        <v>0</v>
      </c>
      <c r="K149" s="853">
        <f t="shared" si="14"/>
        <v>0</v>
      </c>
    </row>
    <row r="150" spans="1:11" ht="18" customHeight="1" x14ac:dyDescent="0.4">
      <c r="A150" s="183" t="s">
        <v>185</v>
      </c>
      <c r="B150" s="117" t="s">
        <v>186</v>
      </c>
      <c r="F150" s="137" t="s">
        <v>73</v>
      </c>
      <c r="G150" s="137" t="s">
        <v>73</v>
      </c>
      <c r="H150" s="853">
        <f>H18</f>
        <v>8267713.9331937404</v>
      </c>
      <c r="I150" s="853">
        <f>I18</f>
        <v>0</v>
      </c>
      <c r="J150" s="853">
        <f>J18</f>
        <v>6873175.1352060344</v>
      </c>
      <c r="K150" s="853">
        <f>K18</f>
        <v>1394538.797987706</v>
      </c>
    </row>
    <row r="151" spans="1:11" ht="18" customHeight="1" x14ac:dyDescent="0.4">
      <c r="B151" s="117"/>
      <c r="F151" s="142"/>
      <c r="G151" s="142"/>
      <c r="H151" s="142"/>
      <c r="I151" s="142"/>
      <c r="J151" s="142"/>
      <c r="K151" s="142"/>
    </row>
    <row r="152" spans="1:11" ht="18" customHeight="1" x14ac:dyDescent="0.4">
      <c r="A152" s="120" t="s">
        <v>165</v>
      </c>
      <c r="B152" s="117" t="s">
        <v>26</v>
      </c>
      <c r="F152" s="875">
        <f>SUM(F149+SUM(F141:F147))</f>
        <v>144334.0497214229</v>
      </c>
      <c r="G152" s="875">
        <f>SUM(G149+SUM(G141:G147))</f>
        <v>21868</v>
      </c>
      <c r="H152" s="876">
        <f>SUM(H149:H150)+SUM(H141:H147)</f>
        <v>32713580.57319374</v>
      </c>
      <c r="I152" s="876">
        <f>SUM(I149:I150)+SUM(I141:I147)</f>
        <v>14501094.308077121</v>
      </c>
      <c r="J152" s="876">
        <f>SUM(J149:J150)+SUM(J141:J147)</f>
        <v>7296032.7452060347</v>
      </c>
      <c r="K152" s="876">
        <f>SUM(K141:K150)</f>
        <v>47999642.13606482</v>
      </c>
    </row>
    <row r="153" spans="1:11" ht="18" customHeight="1" x14ac:dyDescent="0.35"/>
    <row r="154" spans="1:11" ht="18" customHeight="1" x14ac:dyDescent="0.4">
      <c r="A154" s="120" t="s">
        <v>168</v>
      </c>
      <c r="B154" s="117" t="s">
        <v>28</v>
      </c>
      <c r="F154" s="877">
        <f>K152/F121</f>
        <v>0.143101394462128</v>
      </c>
      <c r="G154" s="654"/>
    </row>
    <row r="155" spans="1:11" ht="18" customHeight="1" x14ac:dyDescent="0.4">
      <c r="A155" s="120" t="s">
        <v>169</v>
      </c>
      <c r="B155" s="117" t="s">
        <v>72</v>
      </c>
      <c r="F155" s="877">
        <f>K152/F123</f>
        <v>4.8612155292753512</v>
      </c>
      <c r="G155" s="117"/>
    </row>
    <row r="156" spans="1:11" ht="18" customHeight="1" x14ac:dyDescent="0.4">
      <c r="F156" s="186"/>
      <c r="G156" s="117"/>
    </row>
  </sheetData>
  <mergeCells count="34">
    <mergeCell ref="B55:D55"/>
    <mergeCell ref="B56:D56"/>
    <mergeCell ref="B57:D57"/>
    <mergeCell ref="B59:D59"/>
    <mergeCell ref="B45:D45"/>
    <mergeCell ref="B46:D46"/>
    <mergeCell ref="B47:D47"/>
    <mergeCell ref="B52:C52"/>
    <mergeCell ref="B53:D53"/>
    <mergeCell ref="B106:D106"/>
    <mergeCell ref="B133:D133"/>
    <mergeCell ref="B134:D134"/>
    <mergeCell ref="B135:D135"/>
    <mergeCell ref="B95:D95"/>
    <mergeCell ref="B96:D96"/>
    <mergeCell ref="B103:C103"/>
    <mergeCell ref="B104:D104"/>
    <mergeCell ref="B105:D105"/>
    <mergeCell ref="B94:D94"/>
    <mergeCell ref="B41:C41"/>
    <mergeCell ref="D2:H2"/>
    <mergeCell ref="C5:G5"/>
    <mergeCell ref="C6:G6"/>
    <mergeCell ref="B62:D62"/>
    <mergeCell ref="C7:G7"/>
    <mergeCell ref="C9:G9"/>
    <mergeCell ref="C10:G10"/>
    <mergeCell ref="C11:G11"/>
    <mergeCell ref="B13:H13"/>
    <mergeCell ref="B30:D30"/>
    <mergeCell ref="B31:D31"/>
    <mergeCell ref="B34:D34"/>
    <mergeCell ref="B90:C90"/>
    <mergeCell ref="B44:D44"/>
  </mergeCells>
  <hyperlinks>
    <hyperlink ref="C11" r:id="rId1"/>
  </hyperlinks>
  <pageMargins left="0.7" right="0.7" top="0.75" bottom="0.75" header="0.3" footer="0.3"/>
  <pageSetup scale="65"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59999389629810485"/>
    <pageSetUpPr fitToPage="1"/>
  </sheetPr>
  <dimension ref="A1:F55"/>
  <sheetViews>
    <sheetView zoomScaleNormal="100" workbookViewId="0"/>
  </sheetViews>
  <sheetFormatPr defaultColWidth="9.265625" defaultRowHeight="12.75" x14ac:dyDescent="0.35"/>
  <cols>
    <col min="1" max="1" width="18.3984375" customWidth="1"/>
    <col min="2" max="2" width="51.73046875" bestFit="1" customWidth="1"/>
    <col min="3" max="3" width="19.265625" bestFit="1" customWidth="1"/>
    <col min="4" max="4" width="20.59765625" customWidth="1"/>
    <col min="5" max="5" width="23.265625" customWidth="1"/>
    <col min="6" max="6" width="25" customWidth="1"/>
  </cols>
  <sheetData>
    <row r="1" spans="1:6" ht="23.25" x14ac:dyDescent="0.7">
      <c r="A1" s="265" t="s">
        <v>694</v>
      </c>
      <c r="B1" s="224"/>
      <c r="C1" s="224"/>
      <c r="D1" s="225"/>
      <c r="E1" s="226"/>
      <c r="F1" s="223"/>
    </row>
    <row r="2" spans="1:6" ht="14.25" x14ac:dyDescent="0.45">
      <c r="A2" s="467" t="s">
        <v>543</v>
      </c>
      <c r="B2" s="467" t="s">
        <v>197</v>
      </c>
      <c r="C2" s="468" t="s">
        <v>200</v>
      </c>
      <c r="D2" s="469" t="s">
        <v>446</v>
      </c>
      <c r="E2" s="468" t="s">
        <v>491</v>
      </c>
      <c r="F2" s="470" t="s">
        <v>412</v>
      </c>
    </row>
    <row r="3" spans="1:6" ht="14.25" x14ac:dyDescent="0.45">
      <c r="A3" s="457">
        <v>210001</v>
      </c>
      <c r="B3" s="457" t="s">
        <v>194</v>
      </c>
      <c r="C3" s="448">
        <v>0</v>
      </c>
      <c r="D3" s="448">
        <v>325953</v>
      </c>
      <c r="E3" s="461">
        <v>4081165</v>
      </c>
      <c r="F3" s="461">
        <f>C3+D3+E3</f>
        <v>4407118</v>
      </c>
    </row>
    <row r="4" spans="1:6" ht="14.25" x14ac:dyDescent="0.45">
      <c r="A4" s="458" t="s">
        <v>656</v>
      </c>
      <c r="B4" s="457" t="s">
        <v>657</v>
      </c>
      <c r="C4" s="448">
        <v>119732582</v>
      </c>
      <c r="D4" s="448">
        <v>1603188</v>
      </c>
      <c r="E4" s="461">
        <v>16640790</v>
      </c>
      <c r="F4" s="461">
        <f t="shared" ref="F4:F52" si="0">C4+D4+E4</f>
        <v>137976560</v>
      </c>
    </row>
    <row r="5" spans="1:6" ht="14.25" x14ac:dyDescent="0.45">
      <c r="A5" s="458" t="s">
        <v>658</v>
      </c>
      <c r="B5" s="457" t="s">
        <v>693</v>
      </c>
      <c r="C5" s="448">
        <v>4654172</v>
      </c>
      <c r="D5" s="448">
        <v>394015</v>
      </c>
      <c r="E5" s="461">
        <v>11319765</v>
      </c>
      <c r="F5" s="461">
        <f t="shared" si="0"/>
        <v>16367952</v>
      </c>
    </row>
    <row r="6" spans="1:6" ht="14.25" x14ac:dyDescent="0.45">
      <c r="A6" s="457">
        <v>210004</v>
      </c>
      <c r="B6" s="457" t="s">
        <v>492</v>
      </c>
      <c r="C6" s="448">
        <v>0</v>
      </c>
      <c r="D6" s="448">
        <v>504632.60000000003</v>
      </c>
      <c r="E6" s="461">
        <v>22228197.24841658</v>
      </c>
      <c r="F6" s="461">
        <f t="shared" si="0"/>
        <v>22732829.848416582</v>
      </c>
    </row>
    <row r="7" spans="1:6" ht="14.25" x14ac:dyDescent="0.45">
      <c r="A7" s="457">
        <v>210005</v>
      </c>
      <c r="B7" s="457" t="s">
        <v>659</v>
      </c>
      <c r="C7" s="448">
        <v>0</v>
      </c>
      <c r="D7" s="448">
        <v>346113.4</v>
      </c>
      <c r="E7" s="461">
        <v>6317027.8267785748</v>
      </c>
      <c r="F7" s="461">
        <f t="shared" si="0"/>
        <v>6663141.2267785752</v>
      </c>
    </row>
    <row r="8" spans="1:6" ht="14.25" x14ac:dyDescent="0.45">
      <c r="A8" s="457">
        <v>210006</v>
      </c>
      <c r="B8" s="457" t="s">
        <v>660</v>
      </c>
      <c r="C8" s="448">
        <v>0</v>
      </c>
      <c r="D8" s="448">
        <v>105314.8</v>
      </c>
      <c r="E8" s="461">
        <v>1600564.5584563557</v>
      </c>
      <c r="F8" s="461">
        <f t="shared" si="0"/>
        <v>1705879.3584563558</v>
      </c>
    </row>
    <row r="9" spans="1:6" ht="14.25" x14ac:dyDescent="0.45">
      <c r="A9" s="457">
        <v>210008</v>
      </c>
      <c r="B9" s="457" t="s">
        <v>661</v>
      </c>
      <c r="C9" s="448">
        <v>5222206</v>
      </c>
      <c r="D9" s="448">
        <v>524091.4</v>
      </c>
      <c r="E9" s="461">
        <v>14645514.921748545</v>
      </c>
      <c r="F9" s="461">
        <f t="shared" si="0"/>
        <v>20391812.321748547</v>
      </c>
    </row>
    <row r="10" spans="1:6" ht="14.25" x14ac:dyDescent="0.45">
      <c r="A10" s="457">
        <v>210009</v>
      </c>
      <c r="B10" s="457" t="s">
        <v>493</v>
      </c>
      <c r="C10" s="448">
        <v>119235430</v>
      </c>
      <c r="D10" s="448">
        <v>2352718.9</v>
      </c>
      <c r="E10" s="461">
        <v>27205235.836739164</v>
      </c>
      <c r="F10" s="461">
        <f t="shared" si="0"/>
        <v>148793384.73673916</v>
      </c>
    </row>
    <row r="11" spans="1:6" ht="14.25" x14ac:dyDescent="0.45">
      <c r="A11" s="457">
        <v>210010</v>
      </c>
      <c r="B11" s="457" t="s">
        <v>662</v>
      </c>
      <c r="C11" s="448">
        <v>0</v>
      </c>
      <c r="D11" s="448">
        <v>49851.200000000004</v>
      </c>
      <c r="E11" s="461">
        <v>402744.76700570335</v>
      </c>
      <c r="F11" s="461">
        <f t="shared" si="0"/>
        <v>452595.96700570337</v>
      </c>
    </row>
    <row r="12" spans="1:6" ht="14.25" x14ac:dyDescent="0.45">
      <c r="A12" s="457">
        <v>210011</v>
      </c>
      <c r="B12" s="457" t="s">
        <v>663</v>
      </c>
      <c r="C12" s="448">
        <v>8822978.5049858764</v>
      </c>
      <c r="D12" s="448">
        <v>431097.2</v>
      </c>
      <c r="E12" s="461">
        <v>17628510.939470708</v>
      </c>
      <c r="F12" s="461">
        <f t="shared" si="0"/>
        <v>26882586.644456584</v>
      </c>
    </row>
    <row r="13" spans="1:6" ht="14.25" x14ac:dyDescent="0.45">
      <c r="A13" s="457">
        <v>210012</v>
      </c>
      <c r="B13" s="457" t="s">
        <v>664</v>
      </c>
      <c r="C13" s="448">
        <v>17345062.650161888</v>
      </c>
      <c r="D13" s="448">
        <v>769856.9</v>
      </c>
      <c r="E13" s="461">
        <v>4914750.730935812</v>
      </c>
      <c r="F13" s="461">
        <f t="shared" si="0"/>
        <v>23029670.281097699</v>
      </c>
    </row>
    <row r="14" spans="1:6" ht="14.25" x14ac:dyDescent="0.45">
      <c r="A14" s="457">
        <v>210013</v>
      </c>
      <c r="B14" s="457" t="s">
        <v>665</v>
      </c>
      <c r="C14" s="448">
        <v>0</v>
      </c>
      <c r="D14" s="448">
        <v>109889.83418000001</v>
      </c>
      <c r="E14" s="461">
        <v>495978.35025366338</v>
      </c>
      <c r="F14" s="461">
        <f t="shared" si="0"/>
        <v>605868.18443366338</v>
      </c>
    </row>
    <row r="15" spans="1:6" ht="14.25" x14ac:dyDescent="0.45">
      <c r="A15" s="457">
        <v>210015</v>
      </c>
      <c r="B15" s="457" t="s">
        <v>666</v>
      </c>
      <c r="C15" s="448">
        <v>8779316.6365507785</v>
      </c>
      <c r="D15" s="448">
        <v>518001.60000000003</v>
      </c>
      <c r="E15" s="461">
        <v>10912749.108153157</v>
      </c>
      <c r="F15" s="461">
        <f t="shared" si="0"/>
        <v>20210067.344703935</v>
      </c>
    </row>
    <row r="16" spans="1:6" ht="14.25" x14ac:dyDescent="0.45">
      <c r="A16" s="457">
        <v>210016</v>
      </c>
      <c r="B16" s="457" t="s">
        <v>667</v>
      </c>
      <c r="C16" s="448">
        <v>0</v>
      </c>
      <c r="D16" s="448">
        <v>271147.90000000002</v>
      </c>
      <c r="E16" s="461">
        <v>5728796.0661834069</v>
      </c>
      <c r="F16" s="461">
        <f t="shared" si="0"/>
        <v>5999943.9661834072</v>
      </c>
    </row>
    <row r="17" spans="1:6" ht="14.25" x14ac:dyDescent="0.45">
      <c r="A17" s="457">
        <v>210017</v>
      </c>
      <c r="B17" s="457" t="s">
        <v>668</v>
      </c>
      <c r="C17" s="448">
        <v>0</v>
      </c>
      <c r="D17" s="448">
        <v>55258.400000000001</v>
      </c>
      <c r="E17" s="461">
        <v>2837752.5490967655</v>
      </c>
      <c r="F17" s="461">
        <f t="shared" si="0"/>
        <v>2893010.9490967654</v>
      </c>
    </row>
    <row r="18" spans="1:6" ht="14.25" x14ac:dyDescent="0.45">
      <c r="A18" s="457">
        <v>210018</v>
      </c>
      <c r="B18" s="457" t="s">
        <v>669</v>
      </c>
      <c r="C18" s="448">
        <v>0</v>
      </c>
      <c r="D18" s="448">
        <v>178461.4</v>
      </c>
      <c r="E18" s="461">
        <v>2424193.5082367617</v>
      </c>
      <c r="F18" s="461">
        <f t="shared" si="0"/>
        <v>2602654.9082367616</v>
      </c>
    </row>
    <row r="19" spans="1:6" ht="14.25" x14ac:dyDescent="0.45">
      <c r="A19" s="457">
        <v>210019</v>
      </c>
      <c r="B19" s="457" t="s">
        <v>428</v>
      </c>
      <c r="C19" s="448">
        <v>0</v>
      </c>
      <c r="D19" s="448">
        <v>437069.3</v>
      </c>
      <c r="E19" s="461">
        <v>10845207.299606359</v>
      </c>
      <c r="F19" s="461">
        <f t="shared" si="0"/>
        <v>11282276.599606359</v>
      </c>
    </row>
    <row r="20" spans="1:6" ht="14.25" x14ac:dyDescent="0.45">
      <c r="A20" s="457">
        <v>210022</v>
      </c>
      <c r="B20" s="457" t="s">
        <v>670</v>
      </c>
      <c r="C20" s="448">
        <v>598256.29259507696</v>
      </c>
      <c r="D20" s="448">
        <v>310897.10000000003</v>
      </c>
      <c r="E20" s="461">
        <v>4356540.1008301247</v>
      </c>
      <c r="F20" s="461">
        <f t="shared" si="0"/>
        <v>5265693.4934252016</v>
      </c>
    </row>
    <row r="21" spans="1:6" ht="14.25" x14ac:dyDescent="0.45">
      <c r="A21" s="457">
        <v>210023</v>
      </c>
      <c r="B21" s="457" t="s">
        <v>671</v>
      </c>
      <c r="C21" s="448">
        <v>1295673.25376</v>
      </c>
      <c r="D21" s="448">
        <v>601774.6</v>
      </c>
      <c r="E21" s="461">
        <v>4691159.5250037713</v>
      </c>
      <c r="F21" s="461">
        <f t="shared" si="0"/>
        <v>6588607.3787637707</v>
      </c>
    </row>
    <row r="22" spans="1:6" ht="14.25" x14ac:dyDescent="0.45">
      <c r="A22" s="457">
        <v>210024</v>
      </c>
      <c r="B22" s="457" t="s">
        <v>430</v>
      </c>
      <c r="C22" s="448">
        <v>13134515.132040247</v>
      </c>
      <c r="D22" s="448">
        <v>434442.4</v>
      </c>
      <c r="E22" s="461">
        <v>8806074.8578447029</v>
      </c>
      <c r="F22" s="461">
        <f t="shared" si="0"/>
        <v>22375032.389884949</v>
      </c>
    </row>
    <row r="23" spans="1:6" ht="14.25" x14ac:dyDescent="0.45">
      <c r="A23" s="457">
        <v>210027</v>
      </c>
      <c r="B23" s="457" t="s">
        <v>672</v>
      </c>
      <c r="C23" s="448">
        <v>0</v>
      </c>
      <c r="D23" s="448">
        <v>329028.90000000002</v>
      </c>
      <c r="E23" s="461">
        <v>8739579.6322383396</v>
      </c>
      <c r="F23" s="461">
        <f t="shared" si="0"/>
        <v>9068608.53223834</v>
      </c>
    </row>
    <row r="24" spans="1:6" ht="14.25" x14ac:dyDescent="0.45">
      <c r="A24" s="457">
        <v>210028</v>
      </c>
      <c r="B24" s="457" t="s">
        <v>673</v>
      </c>
      <c r="C24" s="448">
        <v>0</v>
      </c>
      <c r="D24" s="448">
        <v>190011.2</v>
      </c>
      <c r="E24" s="461">
        <v>3969757.5659975237</v>
      </c>
      <c r="F24" s="461">
        <f t="shared" si="0"/>
        <v>4159768.7659975239</v>
      </c>
    </row>
    <row r="25" spans="1:6" ht="14.25" x14ac:dyDescent="0.45">
      <c r="A25" s="457">
        <v>210029</v>
      </c>
      <c r="B25" s="457" t="s">
        <v>674</v>
      </c>
      <c r="C25" s="448">
        <v>25126323.900739532</v>
      </c>
      <c r="D25" s="448">
        <v>645219.5</v>
      </c>
      <c r="E25" s="461">
        <v>16653222.070627615</v>
      </c>
      <c r="F25" s="461">
        <f t="shared" si="0"/>
        <v>42424765.471367151</v>
      </c>
    </row>
    <row r="26" spans="1:6" ht="14.25" x14ac:dyDescent="0.45">
      <c r="A26" s="457">
        <v>210030</v>
      </c>
      <c r="B26" s="457" t="s">
        <v>675</v>
      </c>
      <c r="C26" s="448">
        <v>0</v>
      </c>
      <c r="D26" s="448">
        <v>59206.5</v>
      </c>
      <c r="E26" s="461">
        <v>364502.4312519065</v>
      </c>
      <c r="F26" s="461">
        <f t="shared" si="0"/>
        <v>423708.9312519065</v>
      </c>
    </row>
    <row r="27" spans="1:6" ht="14.25" x14ac:dyDescent="0.45">
      <c r="A27" s="457">
        <v>210032</v>
      </c>
      <c r="B27" s="457" t="s">
        <v>230</v>
      </c>
      <c r="C27" s="448">
        <v>0</v>
      </c>
      <c r="D27" s="448">
        <v>160871.30000000002</v>
      </c>
      <c r="E27" s="461">
        <v>1505630.1281187702</v>
      </c>
      <c r="F27" s="461">
        <f t="shared" si="0"/>
        <v>1666501.4281187702</v>
      </c>
    </row>
    <row r="28" spans="1:6" ht="14.25" x14ac:dyDescent="0.45">
      <c r="A28" s="457">
        <v>210033</v>
      </c>
      <c r="B28" s="457" t="s">
        <v>676</v>
      </c>
      <c r="C28" s="448">
        <v>0</v>
      </c>
      <c r="D28" s="448">
        <v>235036.1</v>
      </c>
      <c r="E28" s="461">
        <v>289902.10982819396</v>
      </c>
      <c r="F28" s="461">
        <f t="shared" si="0"/>
        <v>524938.209828194</v>
      </c>
    </row>
    <row r="29" spans="1:6" ht="14.25" x14ac:dyDescent="0.45">
      <c r="A29" s="457">
        <v>210034</v>
      </c>
      <c r="B29" s="457" t="s">
        <v>677</v>
      </c>
      <c r="C29" s="448">
        <v>3866850.9143537958</v>
      </c>
      <c r="D29" s="448">
        <v>193637.5</v>
      </c>
      <c r="E29" s="461">
        <v>4986576.1859604474</v>
      </c>
      <c r="F29" s="461">
        <f t="shared" si="0"/>
        <v>9047064.6003142428</v>
      </c>
    </row>
    <row r="30" spans="1:6" ht="14.25" x14ac:dyDescent="0.45">
      <c r="A30" s="457">
        <v>210035</v>
      </c>
      <c r="B30" s="457" t="s">
        <v>678</v>
      </c>
      <c r="C30" s="448">
        <v>0</v>
      </c>
      <c r="D30" s="448">
        <v>148862.30000000002</v>
      </c>
      <c r="E30" s="461">
        <v>936409.69847818732</v>
      </c>
      <c r="F30" s="461">
        <f t="shared" si="0"/>
        <v>1085271.9984781872</v>
      </c>
    </row>
    <row r="31" spans="1:6" ht="14.25" x14ac:dyDescent="0.45">
      <c r="A31" s="457">
        <v>210037</v>
      </c>
      <c r="B31" s="457" t="s">
        <v>679</v>
      </c>
      <c r="C31" s="448">
        <v>0</v>
      </c>
      <c r="D31" s="448">
        <v>203067.80000000002</v>
      </c>
      <c r="E31" s="461">
        <v>1966084.2992441806</v>
      </c>
      <c r="F31" s="461">
        <f t="shared" si="0"/>
        <v>2169152.0992441806</v>
      </c>
    </row>
    <row r="32" spans="1:6" ht="14.25" x14ac:dyDescent="0.45">
      <c r="A32" s="457">
        <v>210038</v>
      </c>
      <c r="B32" s="457" t="s">
        <v>680</v>
      </c>
      <c r="C32" s="448">
        <v>4875718.937990238</v>
      </c>
      <c r="D32" s="448">
        <v>239136.4</v>
      </c>
      <c r="E32" s="461">
        <v>4202057.8106339974</v>
      </c>
      <c r="F32" s="461">
        <f t="shared" si="0"/>
        <v>9316913.1486242358</v>
      </c>
    </row>
    <row r="33" spans="1:6" ht="14.25" x14ac:dyDescent="0.45">
      <c r="A33" s="457">
        <v>210039</v>
      </c>
      <c r="B33" s="457" t="s">
        <v>681</v>
      </c>
      <c r="C33" s="448">
        <v>0</v>
      </c>
      <c r="D33" s="448">
        <v>149192</v>
      </c>
      <c r="E33" s="461">
        <v>4318079.5474103708</v>
      </c>
      <c r="F33" s="461">
        <f t="shared" si="0"/>
        <v>4467271.5474103708</v>
      </c>
    </row>
    <row r="34" spans="1:6" ht="14.25" x14ac:dyDescent="0.45">
      <c r="A34" s="457">
        <v>210040</v>
      </c>
      <c r="B34" s="457" t="s">
        <v>528</v>
      </c>
      <c r="C34" s="448">
        <v>0</v>
      </c>
      <c r="D34" s="448">
        <v>258801</v>
      </c>
      <c r="E34" s="461">
        <v>1828063.8752300926</v>
      </c>
      <c r="F34" s="461">
        <f t="shared" si="0"/>
        <v>2086864.8752300926</v>
      </c>
    </row>
    <row r="35" spans="1:6" ht="14.25" x14ac:dyDescent="0.45">
      <c r="A35" s="457">
        <v>210043</v>
      </c>
      <c r="B35" s="457" t="s">
        <v>682</v>
      </c>
      <c r="C35" s="448">
        <v>650488</v>
      </c>
      <c r="D35" s="448">
        <v>416534</v>
      </c>
      <c r="E35" s="461">
        <v>5595369</v>
      </c>
      <c r="F35" s="461">
        <f t="shared" si="0"/>
        <v>6662391</v>
      </c>
    </row>
    <row r="36" spans="1:6" ht="14.25" x14ac:dyDescent="0.45">
      <c r="A36" s="457">
        <v>210044</v>
      </c>
      <c r="B36" s="457" t="s">
        <v>482</v>
      </c>
      <c r="C36" s="448">
        <v>7731237</v>
      </c>
      <c r="D36" s="448">
        <v>462643</v>
      </c>
      <c r="E36" s="461">
        <v>1526879</v>
      </c>
      <c r="F36" s="461">
        <f t="shared" si="0"/>
        <v>9720759</v>
      </c>
    </row>
    <row r="37" spans="1:6" ht="14.25" x14ac:dyDescent="0.45">
      <c r="A37" s="457">
        <v>210045</v>
      </c>
      <c r="B37" s="457" t="s">
        <v>683</v>
      </c>
      <c r="C37" s="448">
        <v>0</v>
      </c>
      <c r="D37" s="448">
        <v>16897</v>
      </c>
      <c r="E37" s="461">
        <v>352315</v>
      </c>
      <c r="F37" s="461">
        <f t="shared" si="0"/>
        <v>369212</v>
      </c>
    </row>
    <row r="38" spans="1:6" ht="14.25" x14ac:dyDescent="0.45">
      <c r="A38" s="457">
        <v>210048</v>
      </c>
      <c r="B38" s="457" t="s">
        <v>281</v>
      </c>
      <c r="C38" s="448">
        <v>0</v>
      </c>
      <c r="D38" s="448">
        <v>303037</v>
      </c>
      <c r="E38" s="461">
        <v>4307426</v>
      </c>
      <c r="F38" s="461">
        <f t="shared" si="0"/>
        <v>4610463</v>
      </c>
    </row>
    <row r="39" spans="1:6" ht="14.25" x14ac:dyDescent="0.45">
      <c r="A39" s="457">
        <v>210049</v>
      </c>
      <c r="B39" s="457" t="s">
        <v>684</v>
      </c>
      <c r="C39" s="448">
        <v>0</v>
      </c>
      <c r="D39" s="448">
        <v>341416</v>
      </c>
      <c r="E39" s="461">
        <v>3453088</v>
      </c>
      <c r="F39" s="461">
        <f t="shared" si="0"/>
        <v>3794504</v>
      </c>
    </row>
    <row r="40" spans="1:6" ht="14.25" x14ac:dyDescent="0.45">
      <c r="A40" s="457">
        <v>210051</v>
      </c>
      <c r="B40" s="457" t="s">
        <v>685</v>
      </c>
      <c r="C40" s="448">
        <v>0</v>
      </c>
      <c r="D40" s="448">
        <v>232582</v>
      </c>
      <c r="E40" s="461">
        <v>5568577</v>
      </c>
      <c r="F40" s="461">
        <f t="shared" si="0"/>
        <v>5801159</v>
      </c>
    </row>
    <row r="41" spans="1:6" ht="14.25" x14ac:dyDescent="0.45">
      <c r="A41" s="457">
        <v>210056</v>
      </c>
      <c r="B41" s="459" t="s">
        <v>437</v>
      </c>
      <c r="C41" s="448">
        <v>4725287</v>
      </c>
      <c r="D41" s="448">
        <v>297578</v>
      </c>
      <c r="E41" s="461">
        <v>5531743</v>
      </c>
      <c r="F41" s="461">
        <f t="shared" si="0"/>
        <v>10554608</v>
      </c>
    </row>
    <row r="42" spans="1:6" ht="14.25" x14ac:dyDescent="0.45">
      <c r="A42" s="457">
        <v>210057</v>
      </c>
      <c r="B42" s="459" t="s">
        <v>686</v>
      </c>
      <c r="C42" s="448">
        <v>66671</v>
      </c>
      <c r="D42" s="448">
        <v>401328</v>
      </c>
      <c r="E42" s="461">
        <v>4995875</v>
      </c>
      <c r="F42" s="461">
        <f t="shared" si="0"/>
        <v>5463874</v>
      </c>
    </row>
    <row r="43" spans="1:6" ht="14.25" x14ac:dyDescent="0.45">
      <c r="A43" s="457">
        <v>210058</v>
      </c>
      <c r="B43" s="459" t="s">
        <v>687</v>
      </c>
      <c r="C43" s="448">
        <v>4059878</v>
      </c>
      <c r="D43" s="448">
        <v>124287</v>
      </c>
      <c r="E43" s="461">
        <v>0</v>
      </c>
      <c r="F43" s="461">
        <f t="shared" si="0"/>
        <v>4184165</v>
      </c>
    </row>
    <row r="44" spans="1:6" ht="14.25" x14ac:dyDescent="0.45">
      <c r="A44" s="457">
        <v>210060</v>
      </c>
      <c r="B44" s="459" t="s">
        <v>232</v>
      </c>
      <c r="C44" s="448">
        <v>0</v>
      </c>
      <c r="D44" s="448">
        <v>48728</v>
      </c>
      <c r="E44" s="461">
        <v>915508</v>
      </c>
      <c r="F44" s="461">
        <f t="shared" si="0"/>
        <v>964236</v>
      </c>
    </row>
    <row r="45" spans="1:6" ht="14.25" x14ac:dyDescent="0.45">
      <c r="A45" s="457">
        <v>210061</v>
      </c>
      <c r="B45" s="459" t="s">
        <v>242</v>
      </c>
      <c r="C45" s="448">
        <v>0</v>
      </c>
      <c r="D45" s="448">
        <v>107265</v>
      </c>
      <c r="E45" s="461">
        <v>2550944</v>
      </c>
      <c r="F45" s="461">
        <f t="shared" si="0"/>
        <v>2658209</v>
      </c>
    </row>
    <row r="46" spans="1:6" s="186" customFormat="1" ht="14.25" x14ac:dyDescent="0.45">
      <c r="A46" s="457">
        <v>210062</v>
      </c>
      <c r="B46" s="459" t="s">
        <v>688</v>
      </c>
      <c r="C46" s="448">
        <v>0</v>
      </c>
      <c r="D46" s="448">
        <v>270323</v>
      </c>
      <c r="E46" s="461">
        <v>4938308</v>
      </c>
      <c r="F46" s="461">
        <f t="shared" si="0"/>
        <v>5208631</v>
      </c>
    </row>
    <row r="47" spans="1:6" s="186" customFormat="1" ht="14.25" x14ac:dyDescent="0.45">
      <c r="A47" s="457">
        <v>210063</v>
      </c>
      <c r="B47" s="459" t="s">
        <v>689</v>
      </c>
      <c r="C47" s="448">
        <v>0</v>
      </c>
      <c r="D47" s="448">
        <v>408177</v>
      </c>
      <c r="E47" s="461">
        <v>8350882</v>
      </c>
      <c r="F47" s="461">
        <f t="shared" si="0"/>
        <v>8759059</v>
      </c>
    </row>
    <row r="48" spans="1:6" ht="14.25" x14ac:dyDescent="0.45">
      <c r="A48" s="457">
        <v>210064</v>
      </c>
      <c r="B48" s="459" t="s">
        <v>198</v>
      </c>
      <c r="C48" s="448">
        <v>0</v>
      </c>
      <c r="D48" s="448">
        <v>59432</v>
      </c>
      <c r="E48" s="461">
        <v>0</v>
      </c>
      <c r="F48" s="461">
        <f t="shared" si="0"/>
        <v>59432</v>
      </c>
    </row>
    <row r="49" spans="1:6" ht="14.25" x14ac:dyDescent="0.45">
      <c r="A49" s="457">
        <v>210065</v>
      </c>
      <c r="B49" s="459" t="s">
        <v>690</v>
      </c>
      <c r="C49" s="448">
        <v>0</v>
      </c>
      <c r="D49" s="448">
        <v>96340</v>
      </c>
      <c r="E49" s="461">
        <v>4391043</v>
      </c>
      <c r="F49" s="461">
        <f t="shared" si="0"/>
        <v>4487383</v>
      </c>
    </row>
    <row r="50" spans="1:6" ht="14.25" x14ac:dyDescent="0.45">
      <c r="A50" s="457">
        <v>213300</v>
      </c>
      <c r="B50" s="459" t="s">
        <v>691</v>
      </c>
      <c r="C50" s="448">
        <v>0</v>
      </c>
      <c r="D50" s="448">
        <v>59447</v>
      </c>
      <c r="E50" s="461">
        <v>0</v>
      </c>
      <c r="F50" s="461">
        <f t="shared" si="0"/>
        <v>59447</v>
      </c>
    </row>
    <row r="51" spans="1:6" ht="14.25" x14ac:dyDescent="0.45">
      <c r="A51" s="457">
        <v>214000</v>
      </c>
      <c r="B51" s="459" t="s">
        <v>199</v>
      </c>
      <c r="C51" s="448">
        <v>2692100</v>
      </c>
      <c r="D51" s="448">
        <v>150869</v>
      </c>
      <c r="E51" s="461">
        <v>0</v>
      </c>
      <c r="F51" s="461">
        <f t="shared" si="0"/>
        <v>2842969</v>
      </c>
    </row>
    <row r="52" spans="1:6" ht="14.25" x14ac:dyDescent="0.45">
      <c r="A52" s="457">
        <v>213029</v>
      </c>
      <c r="B52" s="459" t="s">
        <v>692</v>
      </c>
      <c r="C52" s="448">
        <v>0</v>
      </c>
      <c r="D52" s="448">
        <v>59478</v>
      </c>
      <c r="E52" s="461">
        <v>0</v>
      </c>
      <c r="F52" s="461">
        <f t="shared" si="0"/>
        <v>59478</v>
      </c>
    </row>
    <row r="53" spans="1:6" ht="14.25" x14ac:dyDescent="0.45">
      <c r="A53" s="471"/>
      <c r="B53" s="472" t="s">
        <v>195</v>
      </c>
      <c r="C53" s="473">
        <f>SUM(C3:C52)</f>
        <v>352614747.22317743</v>
      </c>
      <c r="D53" s="473">
        <f>SUM(D3:D52)</f>
        <v>16992206.434180003</v>
      </c>
      <c r="E53" s="474">
        <f>SUM(E3:E52)</f>
        <v>280320540.54977983</v>
      </c>
      <c r="F53" s="475">
        <f>SUM(F3:F52)</f>
        <v>649927494.20713711</v>
      </c>
    </row>
    <row r="55" spans="1:6" x14ac:dyDescent="0.35">
      <c r="E55" s="108"/>
    </row>
  </sheetData>
  <sortState ref="A5:F57">
    <sortCondition ref="A5:A57"/>
  </sortState>
  <pageMargins left="0.7" right="0.7" top="0.75" bottom="0.75" header="0.3" footer="0.3"/>
  <pageSetup scale="6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K156"/>
  <sheetViews>
    <sheetView showGridLines="0" zoomScale="80" zoomScaleNormal="80" zoomScaleSheetLayoutView="8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438</v>
      </c>
      <c r="D5" s="962"/>
      <c r="E5" s="962"/>
      <c r="F5" s="962"/>
      <c r="G5" s="963"/>
    </row>
    <row r="6" spans="1:11" ht="18" customHeight="1" x14ac:dyDescent="0.4">
      <c r="B6" s="183" t="s">
        <v>3</v>
      </c>
      <c r="C6" s="964">
        <v>64</v>
      </c>
      <c r="D6" s="965"/>
      <c r="E6" s="965"/>
      <c r="F6" s="965"/>
      <c r="G6" s="966"/>
    </row>
    <row r="7" spans="1:11" ht="18" customHeight="1" x14ac:dyDescent="0.4">
      <c r="B7" s="183" t="s">
        <v>4</v>
      </c>
      <c r="C7" s="1014">
        <v>860</v>
      </c>
      <c r="D7" s="1015"/>
      <c r="E7" s="1015"/>
      <c r="F7" s="1015"/>
      <c r="G7" s="1016"/>
    </row>
    <row r="9" spans="1:11" ht="18" customHeight="1" x14ac:dyDescent="0.4">
      <c r="B9" s="183" t="s">
        <v>1</v>
      </c>
      <c r="C9" s="961" t="s">
        <v>312</v>
      </c>
      <c r="D9" s="962"/>
      <c r="E9" s="962"/>
      <c r="F9" s="962"/>
      <c r="G9" s="963"/>
    </row>
    <row r="10" spans="1:11" ht="18" customHeight="1" x14ac:dyDescent="0.4">
      <c r="B10" s="183" t="s">
        <v>2</v>
      </c>
      <c r="C10" s="970" t="s">
        <v>313</v>
      </c>
      <c r="D10" s="971"/>
      <c r="E10" s="971"/>
      <c r="F10" s="971"/>
      <c r="G10" s="972"/>
    </row>
    <row r="11" spans="1:11" ht="18" customHeight="1" x14ac:dyDescent="0.4">
      <c r="B11" s="183" t="s">
        <v>32</v>
      </c>
      <c r="C11" s="954" t="s">
        <v>314</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1129573</v>
      </c>
      <c r="I18" s="144">
        <v>0</v>
      </c>
      <c r="J18" s="556">
        <v>939045</v>
      </c>
      <c r="K18" s="557">
        <f>(H18+I18)-J18</f>
        <v>190528</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22</v>
      </c>
      <c r="G21" s="555">
        <v>5</v>
      </c>
      <c r="H21" s="556">
        <v>890</v>
      </c>
      <c r="I21" s="144">
        <f t="shared" ref="I21:I34" si="0">H21*F$114</f>
        <v>773.05400000000009</v>
      </c>
      <c r="J21" s="556"/>
      <c r="K21" s="557">
        <f t="shared" ref="K21:K34" si="1">(H21+I21)-J21</f>
        <v>1663.0540000000001</v>
      </c>
    </row>
    <row r="22" spans="1:11" ht="18" customHeight="1" x14ac:dyDescent="0.4">
      <c r="A22" s="183" t="s">
        <v>76</v>
      </c>
      <c r="B22" s="189" t="s">
        <v>6</v>
      </c>
      <c r="F22" s="555"/>
      <c r="G22" s="555"/>
      <c r="H22" s="556"/>
      <c r="I22" s="144">
        <f t="shared" si="0"/>
        <v>0</v>
      </c>
      <c r="J22" s="556"/>
      <c r="K22" s="557">
        <f t="shared" si="1"/>
        <v>0</v>
      </c>
    </row>
    <row r="23" spans="1:11" ht="18" customHeight="1" x14ac:dyDescent="0.4">
      <c r="A23" s="183" t="s">
        <v>77</v>
      </c>
      <c r="B23" s="189" t="s">
        <v>43</v>
      </c>
      <c r="F23" s="555"/>
      <c r="G23" s="555"/>
      <c r="H23" s="556"/>
      <c r="I23" s="144">
        <f t="shared" si="0"/>
        <v>0</v>
      </c>
      <c r="J23" s="556"/>
      <c r="K23" s="557">
        <f t="shared" si="1"/>
        <v>0</v>
      </c>
    </row>
    <row r="24" spans="1:11" ht="18" customHeight="1" x14ac:dyDescent="0.4">
      <c r="A24" s="183" t="s">
        <v>78</v>
      </c>
      <c r="B24" s="189" t="s">
        <v>44</v>
      </c>
      <c r="F24" s="555"/>
      <c r="G24" s="555"/>
      <c r="H24" s="556"/>
      <c r="I24" s="144">
        <f t="shared" si="0"/>
        <v>0</v>
      </c>
      <c r="J24" s="556"/>
      <c r="K24" s="557">
        <f t="shared" si="1"/>
        <v>0</v>
      </c>
    </row>
    <row r="25" spans="1:11" ht="18" customHeight="1" x14ac:dyDescent="0.4">
      <c r="A25" s="183" t="s">
        <v>79</v>
      </c>
      <c r="B25" s="189" t="s">
        <v>5</v>
      </c>
      <c r="F25" s="555">
        <v>0</v>
      </c>
      <c r="G25" s="555">
        <v>0</v>
      </c>
      <c r="H25" s="556">
        <v>0</v>
      </c>
      <c r="I25" s="144">
        <f t="shared" si="0"/>
        <v>0</v>
      </c>
      <c r="J25" s="556"/>
      <c r="K25" s="557">
        <f t="shared" si="1"/>
        <v>0</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c r="G27" s="555"/>
      <c r="H27" s="556"/>
      <c r="I27" s="144">
        <f t="shared" si="0"/>
        <v>0</v>
      </c>
      <c r="J27" s="556"/>
      <c r="K27" s="557">
        <f t="shared" si="1"/>
        <v>0</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5">
        <v>0</v>
      </c>
      <c r="G29" s="555">
        <v>0</v>
      </c>
      <c r="H29" s="556">
        <v>84430</v>
      </c>
      <c r="I29" s="144">
        <f t="shared" si="0"/>
        <v>73335.898000000001</v>
      </c>
      <c r="J29" s="556"/>
      <c r="K29" s="557">
        <f t="shared" si="1"/>
        <v>157765.89799999999</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31"/>
      <c r="C32" s="532"/>
      <c r="D32" s="533"/>
      <c r="F32" s="555"/>
      <c r="G32" s="558" t="s">
        <v>85</v>
      </c>
      <c r="H32" s="556"/>
      <c r="I32" s="144">
        <f t="shared" si="0"/>
        <v>0</v>
      </c>
      <c r="J32" s="556"/>
      <c r="K32" s="557">
        <f t="shared" si="1"/>
        <v>0</v>
      </c>
    </row>
    <row r="33" spans="1:11" ht="18" customHeight="1" x14ac:dyDescent="0.4">
      <c r="A33" s="183" t="s">
        <v>135</v>
      </c>
      <c r="B33" s="531"/>
      <c r="C33" s="532"/>
      <c r="D33" s="533"/>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22</v>
      </c>
      <c r="G36" s="560">
        <f t="shared" si="2"/>
        <v>5</v>
      </c>
      <c r="H36" s="560">
        <f t="shared" si="2"/>
        <v>85320</v>
      </c>
      <c r="I36" s="557">
        <f t="shared" si="2"/>
        <v>74108.952000000005</v>
      </c>
      <c r="J36" s="557">
        <f t="shared" si="2"/>
        <v>0</v>
      </c>
      <c r="K36" s="557">
        <f t="shared" si="2"/>
        <v>159428.95199999999</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c r="G40" s="555"/>
      <c r="H40" s="556"/>
      <c r="I40" s="144">
        <f t="shared" ref="I40:I47" si="3">H40*F$114</f>
        <v>0</v>
      </c>
      <c r="J40" s="556"/>
      <c r="K40" s="557">
        <f t="shared" ref="K40:K47" si="4">(H40+I40)-J40</f>
        <v>0</v>
      </c>
    </row>
    <row r="41" spans="1:11" ht="18" customHeight="1" x14ac:dyDescent="0.4">
      <c r="A41" s="183" t="s">
        <v>88</v>
      </c>
      <c r="B41" s="956" t="s">
        <v>50</v>
      </c>
      <c r="C41" s="957"/>
      <c r="F41" s="555"/>
      <c r="G41" s="555"/>
      <c r="H41" s="556"/>
      <c r="I41" s="144">
        <f t="shared" si="3"/>
        <v>0</v>
      </c>
      <c r="J41" s="556"/>
      <c r="K41" s="557">
        <f t="shared" si="4"/>
        <v>0</v>
      </c>
    </row>
    <row r="42" spans="1:11" ht="18" customHeight="1" x14ac:dyDescent="0.4">
      <c r="A42" s="183" t="s">
        <v>89</v>
      </c>
      <c r="B42" s="116" t="s">
        <v>11</v>
      </c>
      <c r="F42" s="555">
        <f>1776+299</f>
        <v>2075</v>
      </c>
      <c r="G42" s="555"/>
      <c r="H42" s="556">
        <f>13455+87206</f>
        <v>100661</v>
      </c>
      <c r="I42" s="144">
        <f t="shared" si="3"/>
        <v>87434.1446</v>
      </c>
      <c r="J42" s="556">
        <v>374</v>
      </c>
      <c r="K42" s="557">
        <f t="shared" si="4"/>
        <v>187721.1446</v>
      </c>
    </row>
    <row r="43" spans="1:11" ht="18" customHeight="1" x14ac:dyDescent="0.4">
      <c r="A43" s="183" t="s">
        <v>90</v>
      </c>
      <c r="B43" s="141" t="s">
        <v>10</v>
      </c>
      <c r="C43" s="123"/>
      <c r="D43" s="123"/>
      <c r="F43" s="555"/>
      <c r="G43" s="555"/>
      <c r="H43" s="556"/>
      <c r="I43" s="144">
        <f>H43*F$114</f>
        <v>0</v>
      </c>
      <c r="J43" s="556"/>
      <c r="K43" s="557">
        <f t="shared" si="4"/>
        <v>0</v>
      </c>
    </row>
    <row r="44" spans="1:11" ht="18" customHeight="1" x14ac:dyDescent="0.4">
      <c r="A44" s="183" t="s">
        <v>91</v>
      </c>
      <c r="B44" s="951"/>
      <c r="C44" s="952"/>
      <c r="D44" s="953"/>
      <c r="F44" s="561"/>
      <c r="G44" s="561"/>
      <c r="H44" s="561"/>
      <c r="I44" s="144">
        <f t="shared" si="3"/>
        <v>0</v>
      </c>
      <c r="J44" s="561"/>
      <c r="K44" s="562">
        <f t="shared" si="4"/>
        <v>0</v>
      </c>
    </row>
    <row r="45" spans="1:11" ht="18" customHeight="1" x14ac:dyDescent="0.4">
      <c r="A45" s="183" t="s">
        <v>139</v>
      </c>
      <c r="B45" s="951"/>
      <c r="C45" s="952"/>
      <c r="D45" s="953"/>
      <c r="F45" s="555"/>
      <c r="G45" s="555"/>
      <c r="H45" s="556"/>
      <c r="I45" s="144">
        <f t="shared" si="3"/>
        <v>0</v>
      </c>
      <c r="J45" s="556"/>
      <c r="K45" s="557">
        <f t="shared" si="4"/>
        <v>0</v>
      </c>
    </row>
    <row r="46" spans="1:11" ht="18" customHeight="1" x14ac:dyDescent="0.4">
      <c r="A46" s="183" t="s">
        <v>140</v>
      </c>
      <c r="B46" s="951"/>
      <c r="C46" s="952"/>
      <c r="D46" s="953"/>
      <c r="F46" s="555"/>
      <c r="G46" s="555"/>
      <c r="H46" s="556"/>
      <c r="I46" s="144">
        <f t="shared" si="3"/>
        <v>0</v>
      </c>
      <c r="J46" s="556"/>
      <c r="K46" s="557">
        <f t="shared" si="4"/>
        <v>0</v>
      </c>
    </row>
    <row r="47" spans="1:11" ht="18" customHeight="1" x14ac:dyDescent="0.4">
      <c r="A47" s="183" t="s">
        <v>141</v>
      </c>
      <c r="B47" s="951"/>
      <c r="C47" s="952"/>
      <c r="D47" s="953"/>
      <c r="F47" s="555"/>
      <c r="G47" s="555"/>
      <c r="H47" s="556"/>
      <c r="I47" s="144">
        <f t="shared" si="3"/>
        <v>0</v>
      </c>
      <c r="J47" s="556"/>
      <c r="K47" s="557">
        <f t="shared" si="4"/>
        <v>0</v>
      </c>
    </row>
    <row r="49" spans="1:11" ht="18" customHeight="1" x14ac:dyDescent="0.4">
      <c r="A49" s="120" t="s">
        <v>142</v>
      </c>
      <c r="B49" s="117" t="s">
        <v>143</v>
      </c>
      <c r="E49" s="117" t="s">
        <v>7</v>
      </c>
      <c r="F49" s="563">
        <f t="shared" ref="F49:K49" si="5">SUM(F40:F47)</f>
        <v>2075</v>
      </c>
      <c r="G49" s="563">
        <f t="shared" si="5"/>
        <v>0</v>
      </c>
      <c r="H49" s="557">
        <f t="shared" si="5"/>
        <v>100661</v>
      </c>
      <c r="I49" s="557">
        <f t="shared" si="5"/>
        <v>87434.1446</v>
      </c>
      <c r="J49" s="557">
        <f t="shared" si="5"/>
        <v>374</v>
      </c>
      <c r="K49" s="557">
        <f t="shared" si="5"/>
        <v>187721.1446</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019" t="s">
        <v>579</v>
      </c>
      <c r="C53" s="979"/>
      <c r="D53" s="975"/>
      <c r="F53" s="555"/>
      <c r="G53" s="555"/>
      <c r="H53" s="556">
        <v>273021</v>
      </c>
      <c r="I53" s="144">
        <f>H53*F$114</f>
        <v>237146.04060000001</v>
      </c>
      <c r="J53" s="556">
        <v>9575</v>
      </c>
      <c r="K53" s="557">
        <f t="shared" ref="K53:K62" si="6">(H53+I53)-J53</f>
        <v>500592.04060000001</v>
      </c>
    </row>
    <row r="54" spans="1:11" ht="18" customHeight="1" x14ac:dyDescent="0.4">
      <c r="A54" s="183" t="s">
        <v>93</v>
      </c>
      <c r="B54" s="536" t="s">
        <v>580</v>
      </c>
      <c r="C54" s="537"/>
      <c r="D54" s="538"/>
      <c r="F54" s="555"/>
      <c r="G54" s="555"/>
      <c r="H54" s="556">
        <v>39000</v>
      </c>
      <c r="I54" s="144">
        <f t="shared" ref="I54:I62" si="7">H54*F$114</f>
        <v>33875.4</v>
      </c>
      <c r="J54" s="556"/>
      <c r="K54" s="557">
        <f t="shared" si="6"/>
        <v>72875.399999999994</v>
      </c>
    </row>
    <row r="55" spans="1:11" ht="18" customHeight="1" x14ac:dyDescent="0.4">
      <c r="A55" s="183" t="s">
        <v>94</v>
      </c>
      <c r="B55" s="980"/>
      <c r="C55" s="974"/>
      <c r="D55" s="975"/>
      <c r="F55" s="555"/>
      <c r="G55" s="555"/>
      <c r="H55" s="556"/>
      <c r="I55" s="144">
        <f t="shared" si="7"/>
        <v>0</v>
      </c>
      <c r="J55" s="556"/>
      <c r="K55" s="557">
        <f t="shared" si="6"/>
        <v>0</v>
      </c>
    </row>
    <row r="56" spans="1:11" ht="18" customHeight="1" x14ac:dyDescent="0.4">
      <c r="A56" s="183" t="s">
        <v>95</v>
      </c>
      <c r="B56" s="980"/>
      <c r="C56" s="974"/>
      <c r="D56" s="975"/>
      <c r="F56" s="555"/>
      <c r="G56" s="555"/>
      <c r="H56" s="556"/>
      <c r="I56" s="144">
        <f t="shared" si="7"/>
        <v>0</v>
      </c>
      <c r="J56" s="556"/>
      <c r="K56" s="557">
        <f t="shared" si="6"/>
        <v>0</v>
      </c>
    </row>
    <row r="57" spans="1:11" ht="18" customHeight="1" x14ac:dyDescent="0.4">
      <c r="A57" s="183" t="s">
        <v>96</v>
      </c>
      <c r="B57" s="980"/>
      <c r="C57" s="974"/>
      <c r="D57" s="975"/>
      <c r="F57" s="555"/>
      <c r="G57" s="555"/>
      <c r="H57" s="556"/>
      <c r="I57" s="144">
        <f t="shared" si="7"/>
        <v>0</v>
      </c>
      <c r="J57" s="556"/>
      <c r="K57" s="557">
        <f t="shared" si="6"/>
        <v>0</v>
      </c>
    </row>
    <row r="58" spans="1:11" ht="18" customHeight="1" x14ac:dyDescent="0.4">
      <c r="A58" s="183" t="s">
        <v>97</v>
      </c>
      <c r="B58" s="536"/>
      <c r="C58" s="537"/>
      <c r="D58" s="538"/>
      <c r="F58" s="555"/>
      <c r="G58" s="555"/>
      <c r="H58" s="556"/>
      <c r="I58" s="144">
        <f t="shared" si="7"/>
        <v>0</v>
      </c>
      <c r="J58" s="556"/>
      <c r="K58" s="557">
        <f t="shared" si="6"/>
        <v>0</v>
      </c>
    </row>
    <row r="59" spans="1:11" ht="18" customHeight="1" x14ac:dyDescent="0.4">
      <c r="A59" s="183" t="s">
        <v>98</v>
      </c>
      <c r="B59" s="980"/>
      <c r="C59" s="974"/>
      <c r="D59" s="975"/>
      <c r="F59" s="555"/>
      <c r="G59" s="555"/>
      <c r="H59" s="556"/>
      <c r="I59" s="144">
        <f t="shared" si="7"/>
        <v>0</v>
      </c>
      <c r="J59" s="556"/>
      <c r="K59" s="557">
        <f t="shared" si="6"/>
        <v>0</v>
      </c>
    </row>
    <row r="60" spans="1:11" ht="18" customHeight="1" x14ac:dyDescent="0.4">
      <c r="A60" s="183" t="s">
        <v>99</v>
      </c>
      <c r="B60" s="536"/>
      <c r="C60" s="537"/>
      <c r="D60" s="538"/>
      <c r="F60" s="555"/>
      <c r="G60" s="555"/>
      <c r="H60" s="556"/>
      <c r="I60" s="144">
        <f t="shared" si="7"/>
        <v>0</v>
      </c>
      <c r="J60" s="556"/>
      <c r="K60" s="557">
        <f t="shared" si="6"/>
        <v>0</v>
      </c>
    </row>
    <row r="61" spans="1:11" ht="18" customHeight="1" x14ac:dyDescent="0.4">
      <c r="A61" s="183" t="s">
        <v>100</v>
      </c>
      <c r="B61" s="536"/>
      <c r="C61" s="537"/>
      <c r="D61" s="538"/>
      <c r="F61" s="555"/>
      <c r="G61" s="555"/>
      <c r="H61" s="556"/>
      <c r="I61" s="144">
        <f t="shared" si="7"/>
        <v>0</v>
      </c>
      <c r="J61" s="556"/>
      <c r="K61" s="557">
        <f t="shared" si="6"/>
        <v>0</v>
      </c>
    </row>
    <row r="62" spans="1:11" ht="18" customHeight="1" x14ac:dyDescent="0.4">
      <c r="A62" s="183" t="s">
        <v>101</v>
      </c>
      <c r="B62" s="980"/>
      <c r="C62" s="974"/>
      <c r="D62" s="975"/>
      <c r="F62" s="555"/>
      <c r="G62" s="555"/>
      <c r="H62" s="556"/>
      <c r="I62" s="144">
        <f t="shared" si="7"/>
        <v>0</v>
      </c>
      <c r="J62" s="556"/>
      <c r="K62" s="557">
        <f t="shared" si="6"/>
        <v>0</v>
      </c>
    </row>
    <row r="63" spans="1:11" ht="18" customHeight="1" x14ac:dyDescent="0.4">
      <c r="A63" s="183"/>
      <c r="I63" s="140"/>
    </row>
    <row r="64" spans="1:11" ht="18" customHeight="1" x14ac:dyDescent="0.4">
      <c r="A64" s="183" t="s">
        <v>144</v>
      </c>
      <c r="B64" s="117" t="s">
        <v>145</v>
      </c>
      <c r="E64" s="117" t="s">
        <v>7</v>
      </c>
      <c r="F64" s="560">
        <f t="shared" ref="F64:K64" si="8">SUM(F53:F62)</f>
        <v>0</v>
      </c>
      <c r="G64" s="560">
        <f t="shared" si="8"/>
        <v>0</v>
      </c>
      <c r="H64" s="557">
        <f t="shared" si="8"/>
        <v>312021</v>
      </c>
      <c r="I64" s="557">
        <f t="shared" si="8"/>
        <v>271021.44060000003</v>
      </c>
      <c r="J64" s="557">
        <f t="shared" si="8"/>
        <v>9575</v>
      </c>
      <c r="K64" s="557">
        <f t="shared" si="8"/>
        <v>573467.44059999997</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f>(H68+I68)-J68</f>
        <v>0</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36"/>
      <c r="C70" s="537"/>
      <c r="D70" s="538"/>
      <c r="E70" s="117"/>
      <c r="F70" s="131"/>
      <c r="G70" s="131"/>
      <c r="H70" s="132"/>
      <c r="I70" s="144">
        <v>0</v>
      </c>
      <c r="J70" s="132"/>
      <c r="K70" s="557">
        <f>(H70+I70)-J70</f>
        <v>0</v>
      </c>
    </row>
    <row r="71" spans="1:11" ht="18" customHeight="1" x14ac:dyDescent="0.4">
      <c r="A71" s="183" t="s">
        <v>179</v>
      </c>
      <c r="B71" s="536"/>
      <c r="C71" s="537"/>
      <c r="D71" s="538"/>
      <c r="E71" s="117"/>
      <c r="F71" s="131"/>
      <c r="G71" s="131"/>
      <c r="H71" s="132"/>
      <c r="I71" s="144">
        <v>0</v>
      </c>
      <c r="J71" s="132"/>
      <c r="K71" s="557">
        <f>(H71+I71)-J71</f>
        <v>0</v>
      </c>
    </row>
    <row r="72" spans="1:11" ht="18" customHeight="1" x14ac:dyDescent="0.4">
      <c r="A72" s="183" t="s">
        <v>180</v>
      </c>
      <c r="B72" s="544"/>
      <c r="C72" s="543"/>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9">SUM(F68:F72)</f>
        <v>0</v>
      </c>
      <c r="G74" s="566">
        <f t="shared" si="9"/>
        <v>0</v>
      </c>
      <c r="H74" s="566">
        <f t="shared" si="9"/>
        <v>0</v>
      </c>
      <c r="I74" s="145">
        <f t="shared" si="9"/>
        <v>0</v>
      </c>
      <c r="J74" s="566">
        <f t="shared" si="9"/>
        <v>0</v>
      </c>
      <c r="K74" s="567">
        <f t="shared" si="9"/>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v>27892</v>
      </c>
      <c r="I77" s="144">
        <v>0</v>
      </c>
      <c r="J77" s="556"/>
      <c r="K77" s="557">
        <f>(H77+I77)-J77</f>
        <v>27892</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c r="G79" s="555"/>
      <c r="H79" s="556"/>
      <c r="I79" s="144">
        <v>0</v>
      </c>
      <c r="J79" s="556"/>
      <c r="K79" s="557">
        <f>(H79+I79)-J79</f>
        <v>0</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10">SUM(F77:F80)</f>
        <v>0</v>
      </c>
      <c r="G82" s="566">
        <f t="shared" si="10"/>
        <v>0</v>
      </c>
      <c r="H82" s="567">
        <f t="shared" si="10"/>
        <v>27892</v>
      </c>
      <c r="I82" s="567">
        <f t="shared" si="10"/>
        <v>0</v>
      </c>
      <c r="J82" s="567">
        <f t="shared" si="10"/>
        <v>0</v>
      </c>
      <c r="K82" s="567">
        <f t="shared" si="10"/>
        <v>27892</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11">H86*F$114</f>
        <v>0</v>
      </c>
      <c r="J86" s="556"/>
      <c r="K86" s="557">
        <f t="shared" ref="K86:K96" si="12">(H86+I86)-J86</f>
        <v>0</v>
      </c>
    </row>
    <row r="87" spans="1:11" ht="18" customHeight="1" x14ac:dyDescent="0.4">
      <c r="A87" s="183" t="s">
        <v>114</v>
      </c>
      <c r="B87" s="116" t="s">
        <v>14</v>
      </c>
      <c r="F87" s="555"/>
      <c r="G87" s="555"/>
      <c r="H87" s="556"/>
      <c r="I87" s="144">
        <f t="shared" si="11"/>
        <v>0</v>
      </c>
      <c r="J87" s="556"/>
      <c r="K87" s="557">
        <f t="shared" si="12"/>
        <v>0</v>
      </c>
    </row>
    <row r="88" spans="1:11" ht="18" customHeight="1" x14ac:dyDescent="0.4">
      <c r="A88" s="183" t="s">
        <v>115</v>
      </c>
      <c r="B88" s="116" t="s">
        <v>116</v>
      </c>
      <c r="F88" s="555"/>
      <c r="G88" s="555"/>
      <c r="H88" s="556"/>
      <c r="I88" s="144">
        <f t="shared" si="11"/>
        <v>0</v>
      </c>
      <c r="J88" s="556"/>
      <c r="K88" s="557">
        <f t="shared" si="12"/>
        <v>0</v>
      </c>
    </row>
    <row r="89" spans="1:11" ht="18" customHeight="1" x14ac:dyDescent="0.4">
      <c r="A89" s="183" t="s">
        <v>117</v>
      </c>
      <c r="B89" s="116" t="s">
        <v>58</v>
      </c>
      <c r="F89" s="555"/>
      <c r="G89" s="555"/>
      <c r="H89" s="556"/>
      <c r="I89" s="144">
        <f t="shared" si="11"/>
        <v>0</v>
      </c>
      <c r="J89" s="556"/>
      <c r="K89" s="557">
        <f t="shared" si="12"/>
        <v>0</v>
      </c>
    </row>
    <row r="90" spans="1:11" ht="18" customHeight="1" x14ac:dyDescent="0.4">
      <c r="A90" s="183" t="s">
        <v>118</v>
      </c>
      <c r="B90" s="956" t="s">
        <v>59</v>
      </c>
      <c r="C90" s="957"/>
      <c r="F90" s="555"/>
      <c r="G90" s="555"/>
      <c r="H90" s="556"/>
      <c r="I90" s="144">
        <f t="shared" si="11"/>
        <v>0</v>
      </c>
      <c r="J90" s="556"/>
      <c r="K90" s="557">
        <f t="shared" si="12"/>
        <v>0</v>
      </c>
    </row>
    <row r="91" spans="1:11" ht="18" customHeight="1" x14ac:dyDescent="0.4">
      <c r="A91" s="183" t="s">
        <v>119</v>
      </c>
      <c r="B91" s="116" t="s">
        <v>60</v>
      </c>
      <c r="F91" s="555"/>
      <c r="G91" s="555"/>
      <c r="H91" s="556"/>
      <c r="I91" s="144">
        <f t="shared" si="11"/>
        <v>0</v>
      </c>
      <c r="J91" s="556"/>
      <c r="K91" s="557">
        <f t="shared" si="12"/>
        <v>0</v>
      </c>
    </row>
    <row r="92" spans="1:11" ht="18" customHeight="1" x14ac:dyDescent="0.4">
      <c r="A92" s="183" t="s">
        <v>120</v>
      </c>
      <c r="B92" s="116" t="s">
        <v>121</v>
      </c>
      <c r="F92" s="134"/>
      <c r="G92" s="134"/>
      <c r="H92" s="135"/>
      <c r="I92" s="144">
        <f t="shared" si="11"/>
        <v>0</v>
      </c>
      <c r="J92" s="135"/>
      <c r="K92" s="557">
        <f t="shared" si="12"/>
        <v>0</v>
      </c>
    </row>
    <row r="93" spans="1:11" ht="18" customHeight="1" x14ac:dyDescent="0.4">
      <c r="A93" s="183" t="s">
        <v>122</v>
      </c>
      <c r="B93" s="116" t="s">
        <v>123</v>
      </c>
      <c r="F93" s="555"/>
      <c r="G93" s="555"/>
      <c r="H93" s="556">
        <v>43311</v>
      </c>
      <c r="I93" s="144">
        <f t="shared" si="11"/>
        <v>37619.934600000001</v>
      </c>
      <c r="J93" s="556"/>
      <c r="K93" s="557">
        <f t="shared" si="12"/>
        <v>80930.934600000008</v>
      </c>
    </row>
    <row r="94" spans="1:11" ht="18" customHeight="1" x14ac:dyDescent="0.4">
      <c r="A94" s="183" t="s">
        <v>124</v>
      </c>
      <c r="B94" s="980"/>
      <c r="C94" s="974"/>
      <c r="D94" s="975"/>
      <c r="F94" s="555"/>
      <c r="G94" s="555"/>
      <c r="H94" s="556"/>
      <c r="I94" s="144">
        <f t="shared" si="11"/>
        <v>0</v>
      </c>
      <c r="J94" s="556"/>
      <c r="K94" s="557">
        <f t="shared" si="12"/>
        <v>0</v>
      </c>
    </row>
    <row r="95" spans="1:11" ht="18" customHeight="1" x14ac:dyDescent="0.4">
      <c r="A95" s="183" t="s">
        <v>125</v>
      </c>
      <c r="B95" s="980"/>
      <c r="C95" s="974"/>
      <c r="D95" s="975"/>
      <c r="F95" s="555"/>
      <c r="G95" s="555"/>
      <c r="H95" s="556"/>
      <c r="I95" s="144">
        <f t="shared" si="11"/>
        <v>0</v>
      </c>
      <c r="J95" s="556"/>
      <c r="K95" s="557">
        <f t="shared" si="12"/>
        <v>0</v>
      </c>
    </row>
    <row r="96" spans="1:11" ht="18" customHeight="1" x14ac:dyDescent="0.4">
      <c r="A96" s="183" t="s">
        <v>126</v>
      </c>
      <c r="B96" s="980"/>
      <c r="C96" s="974"/>
      <c r="D96" s="975"/>
      <c r="F96" s="555"/>
      <c r="G96" s="555"/>
      <c r="H96" s="556"/>
      <c r="I96" s="144">
        <f t="shared" si="11"/>
        <v>0</v>
      </c>
      <c r="J96" s="556"/>
      <c r="K96" s="557">
        <f t="shared" si="12"/>
        <v>0</v>
      </c>
    </row>
    <row r="97" spans="1:11" ht="18" customHeight="1" x14ac:dyDescent="0.4">
      <c r="A97" s="183"/>
      <c r="B97" s="116"/>
    </row>
    <row r="98" spans="1:11" ht="18" customHeight="1" x14ac:dyDescent="0.4">
      <c r="A98" s="120" t="s">
        <v>150</v>
      </c>
      <c r="B98" s="117" t="s">
        <v>151</v>
      </c>
      <c r="E98" s="117" t="s">
        <v>7</v>
      </c>
      <c r="F98" s="560">
        <f t="shared" ref="F98:K98" si="13">SUM(F86:F96)</f>
        <v>0</v>
      </c>
      <c r="G98" s="560">
        <f t="shared" si="13"/>
        <v>0</v>
      </c>
      <c r="H98" s="560">
        <f t="shared" si="13"/>
        <v>43311</v>
      </c>
      <c r="I98" s="560">
        <f t="shared" si="13"/>
        <v>37619.934600000001</v>
      </c>
      <c r="J98" s="560">
        <f t="shared" si="13"/>
        <v>0</v>
      </c>
      <c r="K98" s="560">
        <f t="shared" si="13"/>
        <v>80930.934600000008</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182</v>
      </c>
      <c r="G102" s="555"/>
      <c r="H102" s="556">
        <v>16860</v>
      </c>
      <c r="I102" s="144">
        <f>H102*F$114</f>
        <v>14644.596000000001</v>
      </c>
      <c r="J102" s="556"/>
      <c r="K102" s="557">
        <f>(H102+I102)-J102</f>
        <v>31504.596000000001</v>
      </c>
    </row>
    <row r="103" spans="1:11" ht="18" customHeight="1" x14ac:dyDescent="0.4">
      <c r="A103" s="183" t="s">
        <v>132</v>
      </c>
      <c r="B103" s="956" t="s">
        <v>62</v>
      </c>
      <c r="C103" s="956"/>
      <c r="F103" s="555"/>
      <c r="G103" s="555"/>
      <c r="H103" s="556"/>
      <c r="I103" s="144">
        <f>H103*F$114</f>
        <v>0</v>
      </c>
      <c r="J103" s="556"/>
      <c r="K103" s="557">
        <f>(H103+I103)-J103</f>
        <v>0</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4">SUM(F102:F106)</f>
        <v>182</v>
      </c>
      <c r="G108" s="560">
        <f t="shared" si="14"/>
        <v>0</v>
      </c>
      <c r="H108" s="557">
        <f t="shared" si="14"/>
        <v>16860</v>
      </c>
      <c r="I108" s="557">
        <f t="shared" si="14"/>
        <v>14644.596000000001</v>
      </c>
      <c r="J108" s="557">
        <f t="shared" si="14"/>
        <v>0</v>
      </c>
      <c r="K108" s="557">
        <f t="shared" si="14"/>
        <v>31504.596000000001</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1142100</v>
      </c>
    </row>
    <row r="112" spans="1:11" ht="18" customHeight="1" x14ac:dyDescent="0.4">
      <c r="B112" s="117"/>
      <c r="E112" s="117"/>
      <c r="F112" s="184"/>
    </row>
    <row r="113" spans="1:8" ht="18" customHeight="1" x14ac:dyDescent="0.4">
      <c r="A113" s="120"/>
      <c r="B113" s="117" t="s">
        <v>15</v>
      </c>
    </row>
    <row r="114" spans="1:8" ht="18" customHeight="1" x14ac:dyDescent="0.4">
      <c r="A114" s="183" t="s">
        <v>171</v>
      </c>
      <c r="B114" s="116" t="s">
        <v>35</v>
      </c>
      <c r="F114" s="570">
        <v>0.86860000000000004</v>
      </c>
    </row>
    <row r="115" spans="1:8" ht="18" customHeight="1" x14ac:dyDescent="0.4">
      <c r="A115" s="183"/>
      <c r="B115" s="117"/>
    </row>
    <row r="116" spans="1:8" ht="18" customHeight="1" x14ac:dyDescent="0.4">
      <c r="A116" s="183" t="s">
        <v>170</v>
      </c>
      <c r="B116" s="117" t="s">
        <v>16</v>
      </c>
    </row>
    <row r="117" spans="1:8" ht="18" customHeight="1" x14ac:dyDescent="0.4">
      <c r="A117" s="183" t="s">
        <v>172</v>
      </c>
      <c r="B117" s="116" t="s">
        <v>17</v>
      </c>
      <c r="F117" s="556">
        <v>77444000</v>
      </c>
      <c r="G117" s="185"/>
    </row>
    <row r="118" spans="1:8" ht="18" customHeight="1" x14ac:dyDescent="0.4">
      <c r="A118" s="183" t="s">
        <v>173</v>
      </c>
      <c r="B118" s="189" t="s">
        <v>18</v>
      </c>
      <c r="F118" s="556">
        <f>146000+1398000</f>
        <v>1544000</v>
      </c>
      <c r="G118" s="654"/>
      <c r="H118" s="185"/>
    </row>
    <row r="119" spans="1:8" ht="18" customHeight="1" x14ac:dyDescent="0.4">
      <c r="A119" s="183" t="s">
        <v>174</v>
      </c>
      <c r="B119" s="117" t="s">
        <v>19</v>
      </c>
      <c r="F119" s="567">
        <f>SUM(F117:F118)</f>
        <v>78988000</v>
      </c>
      <c r="G119" s="185"/>
    </row>
    <row r="120" spans="1:8" ht="18" customHeight="1" x14ac:dyDescent="0.4">
      <c r="A120" s="183"/>
      <c r="B120" s="117"/>
    </row>
    <row r="121" spans="1:8" ht="18" customHeight="1" x14ac:dyDescent="0.4">
      <c r="A121" s="183" t="s">
        <v>167</v>
      </c>
      <c r="B121" s="117" t="s">
        <v>36</v>
      </c>
      <c r="F121" s="556">
        <v>77338000</v>
      </c>
    </row>
    <row r="122" spans="1:8" ht="18" customHeight="1" x14ac:dyDescent="0.4">
      <c r="A122" s="183"/>
    </row>
    <row r="123" spans="1:8" ht="18" customHeight="1" x14ac:dyDescent="0.4">
      <c r="A123" s="183" t="s">
        <v>175</v>
      </c>
      <c r="B123" s="117" t="s">
        <v>20</v>
      </c>
      <c r="F123" s="556">
        <f>F119-F121</f>
        <v>1650000</v>
      </c>
    </row>
    <row r="124" spans="1:8" ht="18" customHeight="1" x14ac:dyDescent="0.4">
      <c r="A124" s="183"/>
    </row>
    <row r="125" spans="1:8" ht="18" customHeight="1" x14ac:dyDescent="0.4">
      <c r="A125" s="183" t="s">
        <v>176</v>
      </c>
      <c r="B125" s="117" t="s">
        <v>21</v>
      </c>
      <c r="F125" s="556">
        <v>1381000</v>
      </c>
    </row>
    <row r="126" spans="1:8" ht="18" customHeight="1" x14ac:dyDescent="0.4">
      <c r="A126" s="183"/>
    </row>
    <row r="127" spans="1:8" ht="18" customHeight="1" x14ac:dyDescent="0.4">
      <c r="A127" s="183" t="s">
        <v>177</v>
      </c>
      <c r="B127" s="117" t="s">
        <v>22</v>
      </c>
      <c r="F127" s="556">
        <f>F123+F125</f>
        <v>3031000</v>
      </c>
    </row>
    <row r="128" spans="1:8"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5">SUM(F131:F135)</f>
        <v>0</v>
      </c>
      <c r="G137" s="560">
        <f t="shared" si="15"/>
        <v>0</v>
      </c>
      <c r="H137" s="557">
        <f t="shared" si="15"/>
        <v>0</v>
      </c>
      <c r="I137" s="557">
        <f t="shared" si="15"/>
        <v>0</v>
      </c>
      <c r="J137" s="557">
        <f t="shared" si="15"/>
        <v>0</v>
      </c>
      <c r="K137" s="557">
        <f t="shared" si="15"/>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6">F36</f>
        <v>22</v>
      </c>
      <c r="G141" s="136">
        <f t="shared" si="16"/>
        <v>5</v>
      </c>
      <c r="H141" s="136">
        <f t="shared" si="16"/>
        <v>85320</v>
      </c>
      <c r="I141" s="136">
        <f t="shared" si="16"/>
        <v>74108.952000000005</v>
      </c>
      <c r="J141" s="136">
        <f t="shared" si="16"/>
        <v>0</v>
      </c>
      <c r="K141" s="136">
        <f t="shared" si="16"/>
        <v>159428.95199999999</v>
      </c>
    </row>
    <row r="142" spans="1:11" ht="18" customHeight="1" x14ac:dyDescent="0.4">
      <c r="A142" s="183" t="s">
        <v>142</v>
      </c>
      <c r="B142" s="117" t="s">
        <v>65</v>
      </c>
      <c r="F142" s="136">
        <f t="shared" ref="F142:K142" si="17">F49</f>
        <v>2075</v>
      </c>
      <c r="G142" s="136">
        <f t="shared" si="17"/>
        <v>0</v>
      </c>
      <c r="H142" s="136">
        <f t="shared" si="17"/>
        <v>100661</v>
      </c>
      <c r="I142" s="136">
        <f t="shared" si="17"/>
        <v>87434.1446</v>
      </c>
      <c r="J142" s="136">
        <f t="shared" si="17"/>
        <v>374</v>
      </c>
      <c r="K142" s="136">
        <f t="shared" si="17"/>
        <v>187721.1446</v>
      </c>
    </row>
    <row r="143" spans="1:11" ht="18" customHeight="1" x14ac:dyDescent="0.4">
      <c r="A143" s="183" t="s">
        <v>144</v>
      </c>
      <c r="B143" s="117" t="s">
        <v>66</v>
      </c>
      <c r="F143" s="136">
        <f t="shared" ref="F143:K143" si="18">F64</f>
        <v>0</v>
      </c>
      <c r="G143" s="136">
        <f t="shared" si="18"/>
        <v>0</v>
      </c>
      <c r="H143" s="136">
        <f t="shared" si="18"/>
        <v>312021</v>
      </c>
      <c r="I143" s="136">
        <f t="shared" si="18"/>
        <v>271021.44060000003</v>
      </c>
      <c r="J143" s="136">
        <f t="shared" si="18"/>
        <v>9575</v>
      </c>
      <c r="K143" s="136">
        <f t="shared" si="18"/>
        <v>573467.44059999997</v>
      </c>
    </row>
    <row r="144" spans="1:11" ht="18" customHeight="1" x14ac:dyDescent="0.4">
      <c r="A144" s="183" t="s">
        <v>146</v>
      </c>
      <c r="B144" s="117" t="s">
        <v>67</v>
      </c>
      <c r="F144" s="136">
        <f t="shared" ref="F144:K144" si="19">F74</f>
        <v>0</v>
      </c>
      <c r="G144" s="136">
        <f t="shared" si="19"/>
        <v>0</v>
      </c>
      <c r="H144" s="136">
        <f t="shared" si="19"/>
        <v>0</v>
      </c>
      <c r="I144" s="136">
        <f t="shared" si="19"/>
        <v>0</v>
      </c>
      <c r="J144" s="136">
        <f t="shared" si="19"/>
        <v>0</v>
      </c>
      <c r="K144" s="136">
        <f t="shared" si="19"/>
        <v>0</v>
      </c>
    </row>
    <row r="145" spans="1:11" ht="18" customHeight="1" x14ac:dyDescent="0.4">
      <c r="A145" s="183" t="s">
        <v>148</v>
      </c>
      <c r="B145" s="117" t="s">
        <v>68</v>
      </c>
      <c r="F145" s="136">
        <f t="shared" ref="F145:K145" si="20">F82</f>
        <v>0</v>
      </c>
      <c r="G145" s="136">
        <f t="shared" si="20"/>
        <v>0</v>
      </c>
      <c r="H145" s="136">
        <f t="shared" si="20"/>
        <v>27892</v>
      </c>
      <c r="I145" s="136">
        <f t="shared" si="20"/>
        <v>0</v>
      </c>
      <c r="J145" s="136">
        <f t="shared" si="20"/>
        <v>0</v>
      </c>
      <c r="K145" s="136">
        <f t="shared" si="20"/>
        <v>27892</v>
      </c>
    </row>
    <row r="146" spans="1:11" ht="18" customHeight="1" x14ac:dyDescent="0.4">
      <c r="A146" s="183" t="s">
        <v>150</v>
      </c>
      <c r="B146" s="117" t="s">
        <v>69</v>
      </c>
      <c r="F146" s="136">
        <f t="shared" ref="F146:K146" si="21">F98</f>
        <v>0</v>
      </c>
      <c r="G146" s="136">
        <f t="shared" si="21"/>
        <v>0</v>
      </c>
      <c r="H146" s="136">
        <f t="shared" si="21"/>
        <v>43311</v>
      </c>
      <c r="I146" s="136">
        <f t="shared" si="21"/>
        <v>37619.934600000001</v>
      </c>
      <c r="J146" s="136">
        <f t="shared" si="21"/>
        <v>0</v>
      </c>
      <c r="K146" s="136">
        <f t="shared" si="21"/>
        <v>80930.934600000008</v>
      </c>
    </row>
    <row r="147" spans="1:11" ht="18" customHeight="1" x14ac:dyDescent="0.4">
      <c r="A147" s="183" t="s">
        <v>153</v>
      </c>
      <c r="B147" s="117" t="s">
        <v>61</v>
      </c>
      <c r="F147" s="560">
        <f t="shared" ref="F147:K147" si="22">F108</f>
        <v>182</v>
      </c>
      <c r="G147" s="560">
        <f t="shared" si="22"/>
        <v>0</v>
      </c>
      <c r="H147" s="560">
        <f t="shared" si="22"/>
        <v>16860</v>
      </c>
      <c r="I147" s="560">
        <f t="shared" si="22"/>
        <v>14644.596000000001</v>
      </c>
      <c r="J147" s="560">
        <f t="shared" si="22"/>
        <v>0</v>
      </c>
      <c r="K147" s="560">
        <f t="shared" si="22"/>
        <v>31504.596000000001</v>
      </c>
    </row>
    <row r="148" spans="1:11" ht="18" customHeight="1" x14ac:dyDescent="0.4">
      <c r="A148" s="183" t="s">
        <v>155</v>
      </c>
      <c r="B148" s="117" t="s">
        <v>70</v>
      </c>
      <c r="F148" s="137" t="s">
        <v>73</v>
      </c>
      <c r="G148" s="137" t="s">
        <v>73</v>
      </c>
      <c r="H148" s="138" t="s">
        <v>73</v>
      </c>
      <c r="I148" s="138" t="s">
        <v>73</v>
      </c>
      <c r="J148" s="138" t="s">
        <v>73</v>
      </c>
      <c r="K148" s="133">
        <f>F111</f>
        <v>1142100</v>
      </c>
    </row>
    <row r="149" spans="1:11" ht="18" customHeight="1" x14ac:dyDescent="0.4">
      <c r="A149" s="183" t="s">
        <v>163</v>
      </c>
      <c r="B149" s="117" t="s">
        <v>71</v>
      </c>
      <c r="F149" s="560">
        <f t="shared" ref="F149:K149" si="23">F137</f>
        <v>0</v>
      </c>
      <c r="G149" s="560">
        <f t="shared" si="23"/>
        <v>0</v>
      </c>
      <c r="H149" s="560">
        <f t="shared" si="23"/>
        <v>0</v>
      </c>
      <c r="I149" s="560">
        <f t="shared" si="23"/>
        <v>0</v>
      </c>
      <c r="J149" s="560">
        <f t="shared" si="23"/>
        <v>0</v>
      </c>
      <c r="K149" s="560">
        <f t="shared" si="23"/>
        <v>0</v>
      </c>
    </row>
    <row r="150" spans="1:11" ht="18" customHeight="1" x14ac:dyDescent="0.4">
      <c r="A150" s="183" t="s">
        <v>185</v>
      </c>
      <c r="B150" s="117" t="s">
        <v>186</v>
      </c>
      <c r="F150" s="137" t="s">
        <v>73</v>
      </c>
      <c r="G150" s="137" t="s">
        <v>73</v>
      </c>
      <c r="H150" s="560">
        <f>H18</f>
        <v>1129573</v>
      </c>
      <c r="I150" s="560">
        <f>I18</f>
        <v>0</v>
      </c>
      <c r="J150" s="560">
        <f>J18</f>
        <v>939045</v>
      </c>
      <c r="K150" s="560">
        <f>K18</f>
        <v>190528</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4">SUM(F141:F150)</f>
        <v>2279</v>
      </c>
      <c r="G152" s="143">
        <f t="shared" si="24"/>
        <v>5</v>
      </c>
      <c r="H152" s="143">
        <f t="shared" si="24"/>
        <v>1715638</v>
      </c>
      <c r="I152" s="143">
        <f t="shared" si="24"/>
        <v>484829.06780000002</v>
      </c>
      <c r="J152" s="143">
        <f t="shared" si="24"/>
        <v>948994</v>
      </c>
      <c r="K152" s="143">
        <f t="shared" si="24"/>
        <v>2393573.0677999998</v>
      </c>
    </row>
    <row r="154" spans="1:11" ht="18" customHeight="1" x14ac:dyDescent="0.4">
      <c r="A154" s="120" t="s">
        <v>168</v>
      </c>
      <c r="B154" s="117" t="s">
        <v>28</v>
      </c>
      <c r="F154" s="571">
        <f>K152/F121</f>
        <v>3.094950823398588E-2</v>
      </c>
    </row>
    <row r="155" spans="1:11" ht="18" customHeight="1" x14ac:dyDescent="0.4">
      <c r="A155" s="120" t="s">
        <v>169</v>
      </c>
      <c r="B155" s="117" t="s">
        <v>72</v>
      </c>
      <c r="F155" s="571">
        <f>K152/F127</f>
        <v>0.7896974819531507</v>
      </c>
      <c r="G155" s="117"/>
    </row>
    <row r="156" spans="1:11" ht="18" customHeight="1" x14ac:dyDescent="0.4">
      <c r="G156" s="117"/>
    </row>
  </sheetData>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31:D31"/>
    <mergeCell ref="B62:D62"/>
    <mergeCell ref="B57:D57"/>
    <mergeCell ref="B52:C52"/>
    <mergeCell ref="B90:C90"/>
    <mergeCell ref="B53:D53"/>
    <mergeCell ref="B55:D55"/>
    <mergeCell ref="B56:D56"/>
    <mergeCell ref="B59:D59"/>
    <mergeCell ref="B103:C103"/>
    <mergeCell ref="B96:D96"/>
    <mergeCell ref="B95:D95"/>
    <mergeCell ref="B94:D94"/>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K156"/>
  <sheetViews>
    <sheetView showGridLines="0" view="pageBreakPreview" zoomScale="85" zoomScaleNormal="50" zoomScaleSheetLayoutView="85" workbookViewId="0">
      <selection activeCell="K18" sqref="K18"/>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1017" t="s">
        <v>444</v>
      </c>
      <c r="D5" s="962"/>
      <c r="E5" s="962"/>
      <c r="F5" s="962"/>
      <c r="G5" s="963"/>
    </row>
    <row r="6" spans="1:11" ht="18" customHeight="1" x14ac:dyDescent="0.4">
      <c r="B6" s="183" t="s">
        <v>3</v>
      </c>
      <c r="C6" s="964">
        <v>65</v>
      </c>
      <c r="D6" s="965"/>
      <c r="E6" s="965"/>
      <c r="F6" s="965"/>
      <c r="G6" s="966"/>
    </row>
    <row r="7" spans="1:11" ht="18" customHeight="1" x14ac:dyDescent="0.4">
      <c r="B7" s="183" t="s">
        <v>4</v>
      </c>
      <c r="C7" s="1014">
        <v>681</v>
      </c>
      <c r="D7" s="1015"/>
      <c r="E7" s="1015"/>
      <c r="F7" s="1015"/>
      <c r="G7" s="1016"/>
    </row>
    <row r="9" spans="1:11" ht="18" customHeight="1" x14ac:dyDescent="0.4">
      <c r="B9" s="183" t="s">
        <v>1</v>
      </c>
      <c r="C9" s="1017" t="s">
        <v>577</v>
      </c>
      <c r="D9" s="962"/>
      <c r="E9" s="962"/>
      <c r="F9" s="962"/>
      <c r="G9" s="963"/>
    </row>
    <row r="10" spans="1:11" ht="18" customHeight="1" x14ac:dyDescent="0.4">
      <c r="B10" s="183" t="s">
        <v>2</v>
      </c>
      <c r="C10" s="1018" t="s">
        <v>279</v>
      </c>
      <c r="D10" s="971"/>
      <c r="E10" s="971"/>
      <c r="F10" s="971"/>
      <c r="G10" s="972"/>
    </row>
    <row r="11" spans="1:11" ht="18" customHeight="1" x14ac:dyDescent="0.4">
      <c r="B11" s="183" t="s">
        <v>32</v>
      </c>
      <c r="C11" s="954" t="s">
        <v>280</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2034625.9556564067</v>
      </c>
      <c r="I18" s="144">
        <v>0</v>
      </c>
      <c r="J18" s="556">
        <v>1691439.8152695168</v>
      </c>
      <c r="K18" s="557">
        <f>H18+I18-J18</f>
        <v>343186.14038688992</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1550.5</v>
      </c>
      <c r="G21" s="555">
        <v>37026</v>
      </c>
      <c r="H21" s="556">
        <v>116350</v>
      </c>
      <c r="I21" s="144">
        <v>19972</v>
      </c>
      <c r="J21" s="556">
        <v>18322</v>
      </c>
      <c r="K21" s="557">
        <f t="shared" ref="K21:K34" si="0">(H21+I21)-J21</f>
        <v>118000</v>
      </c>
    </row>
    <row r="22" spans="1:11" ht="18" customHeight="1" x14ac:dyDescent="0.4">
      <c r="A22" s="183" t="s">
        <v>76</v>
      </c>
      <c r="B22" s="189" t="s">
        <v>6</v>
      </c>
      <c r="F22" s="555"/>
      <c r="G22" s="555"/>
      <c r="H22" s="556"/>
      <c r="I22" s="144">
        <f t="shared" ref="I22:I34" si="1">H22*F$114</f>
        <v>0</v>
      </c>
      <c r="J22" s="556"/>
      <c r="K22" s="557">
        <f t="shared" si="0"/>
        <v>0</v>
      </c>
    </row>
    <row r="23" spans="1:11" ht="18" customHeight="1" x14ac:dyDescent="0.4">
      <c r="A23" s="183" t="s">
        <v>77</v>
      </c>
      <c r="B23" s="189" t="s">
        <v>43</v>
      </c>
      <c r="F23" s="555"/>
      <c r="G23" s="555"/>
      <c r="H23" s="556"/>
      <c r="I23" s="144">
        <f t="shared" si="1"/>
        <v>0</v>
      </c>
      <c r="J23" s="556"/>
      <c r="K23" s="557">
        <f t="shared" si="0"/>
        <v>0</v>
      </c>
    </row>
    <row r="24" spans="1:11" ht="18" customHeight="1" x14ac:dyDescent="0.4">
      <c r="A24" s="183" t="s">
        <v>78</v>
      </c>
      <c r="B24" s="189" t="s">
        <v>44</v>
      </c>
      <c r="F24" s="555"/>
      <c r="G24" s="555"/>
      <c r="H24" s="556"/>
      <c r="I24" s="144">
        <f t="shared" si="1"/>
        <v>0</v>
      </c>
      <c r="J24" s="556"/>
      <c r="K24" s="557">
        <f t="shared" si="0"/>
        <v>0</v>
      </c>
    </row>
    <row r="25" spans="1:11" ht="18" customHeight="1" x14ac:dyDescent="0.4">
      <c r="A25" s="183" t="s">
        <v>79</v>
      </c>
      <c r="B25" s="189" t="s">
        <v>5</v>
      </c>
      <c r="F25" s="555"/>
      <c r="G25" s="555"/>
      <c r="H25" s="556"/>
      <c r="I25" s="144">
        <f t="shared" si="1"/>
        <v>0</v>
      </c>
      <c r="J25" s="556"/>
      <c r="K25" s="557">
        <f t="shared" si="0"/>
        <v>0</v>
      </c>
    </row>
    <row r="26" spans="1:11" ht="18" customHeight="1" x14ac:dyDescent="0.4">
      <c r="A26" s="183" t="s">
        <v>80</v>
      </c>
      <c r="B26" s="189" t="s">
        <v>45</v>
      </c>
      <c r="F26" s="555"/>
      <c r="G26" s="555"/>
      <c r="H26" s="556"/>
      <c r="I26" s="144">
        <f t="shared" si="1"/>
        <v>0</v>
      </c>
      <c r="J26" s="556"/>
      <c r="K26" s="557">
        <f t="shared" si="0"/>
        <v>0</v>
      </c>
    </row>
    <row r="27" spans="1:11" ht="18" customHeight="1" x14ac:dyDescent="0.4">
      <c r="A27" s="183" t="s">
        <v>81</v>
      </c>
      <c r="B27" s="189" t="s">
        <v>498</v>
      </c>
      <c r="F27" s="555"/>
      <c r="G27" s="555"/>
      <c r="H27" s="556"/>
      <c r="I27" s="144">
        <f t="shared" si="1"/>
        <v>0</v>
      </c>
      <c r="J27" s="556"/>
      <c r="K27" s="557">
        <f t="shared" si="0"/>
        <v>0</v>
      </c>
    </row>
    <row r="28" spans="1:11" ht="18" customHeight="1" x14ac:dyDescent="0.4">
      <c r="A28" s="183" t="s">
        <v>82</v>
      </c>
      <c r="B28" s="189" t="s">
        <v>47</v>
      </c>
      <c r="F28" s="555"/>
      <c r="G28" s="555"/>
      <c r="H28" s="556"/>
      <c r="I28" s="144">
        <f t="shared" si="1"/>
        <v>0</v>
      </c>
      <c r="J28" s="556"/>
      <c r="K28" s="557">
        <f t="shared" si="0"/>
        <v>0</v>
      </c>
    </row>
    <row r="29" spans="1:11" ht="18" customHeight="1" x14ac:dyDescent="0.4">
      <c r="A29" s="183" t="s">
        <v>83</v>
      </c>
      <c r="B29" s="189" t="s">
        <v>48</v>
      </c>
      <c r="F29" s="555">
        <v>6238.8</v>
      </c>
      <c r="G29" s="555">
        <v>0</v>
      </c>
      <c r="H29" s="556">
        <v>166452</v>
      </c>
      <c r="I29" s="144">
        <v>47100</v>
      </c>
      <c r="J29" s="556">
        <v>0</v>
      </c>
      <c r="K29" s="557">
        <f t="shared" si="0"/>
        <v>213552</v>
      </c>
    </row>
    <row r="30" spans="1:11" ht="18" customHeight="1" x14ac:dyDescent="0.4">
      <c r="A30" s="183" t="s">
        <v>84</v>
      </c>
      <c r="B30" s="951" t="s">
        <v>485</v>
      </c>
      <c r="C30" s="952"/>
      <c r="D30" s="953"/>
      <c r="F30" s="555">
        <v>749</v>
      </c>
      <c r="G30" s="555">
        <v>0</v>
      </c>
      <c r="H30" s="556">
        <v>298368</v>
      </c>
      <c r="I30" s="144">
        <v>8811</v>
      </c>
      <c r="J30" s="556">
        <v>0</v>
      </c>
      <c r="K30" s="557">
        <f t="shared" si="0"/>
        <v>307179</v>
      </c>
    </row>
    <row r="31" spans="1:11" ht="18" customHeight="1" x14ac:dyDescent="0.4">
      <c r="A31" s="183" t="s">
        <v>133</v>
      </c>
      <c r="B31" s="951"/>
      <c r="C31" s="952"/>
      <c r="D31" s="953"/>
      <c r="F31" s="555"/>
      <c r="G31" s="555"/>
      <c r="H31" s="556"/>
      <c r="I31" s="144">
        <f t="shared" si="1"/>
        <v>0</v>
      </c>
      <c r="J31" s="556"/>
      <c r="K31" s="557">
        <f t="shared" si="0"/>
        <v>0</v>
      </c>
    </row>
    <row r="32" spans="1:11" ht="18" customHeight="1" x14ac:dyDescent="0.4">
      <c r="A32" s="183" t="s">
        <v>134</v>
      </c>
      <c r="B32" s="531"/>
      <c r="C32" s="532"/>
      <c r="D32" s="533"/>
      <c r="F32" s="555"/>
      <c r="G32" s="558" t="s">
        <v>85</v>
      </c>
      <c r="H32" s="556"/>
      <c r="I32" s="144">
        <f t="shared" si="1"/>
        <v>0</v>
      </c>
      <c r="J32" s="556"/>
      <c r="K32" s="557">
        <f t="shared" si="0"/>
        <v>0</v>
      </c>
    </row>
    <row r="33" spans="1:11" ht="18" customHeight="1" x14ac:dyDescent="0.4">
      <c r="A33" s="183" t="s">
        <v>135</v>
      </c>
      <c r="B33" s="531"/>
      <c r="C33" s="532"/>
      <c r="D33" s="533"/>
      <c r="F33" s="555"/>
      <c r="G33" s="558" t="s">
        <v>85</v>
      </c>
      <c r="H33" s="556"/>
      <c r="I33" s="144">
        <f t="shared" si="1"/>
        <v>0</v>
      </c>
      <c r="J33" s="556"/>
      <c r="K33" s="557">
        <f t="shared" si="0"/>
        <v>0</v>
      </c>
    </row>
    <row r="34" spans="1:11" ht="18" customHeight="1" x14ac:dyDescent="0.4">
      <c r="A34" s="183" t="s">
        <v>136</v>
      </c>
      <c r="B34" s="951"/>
      <c r="C34" s="952"/>
      <c r="D34" s="953"/>
      <c r="F34" s="555"/>
      <c r="G34" s="558" t="s">
        <v>85</v>
      </c>
      <c r="H34" s="556"/>
      <c r="I34" s="144">
        <f t="shared" si="1"/>
        <v>0</v>
      </c>
      <c r="J34" s="556"/>
      <c r="K34" s="557">
        <f t="shared" si="0"/>
        <v>0</v>
      </c>
    </row>
    <row r="35" spans="1:11" ht="18" customHeight="1" x14ac:dyDescent="0.35">
      <c r="K35" s="559"/>
    </row>
    <row r="36" spans="1:11" ht="18" customHeight="1" x14ac:dyDescent="0.4">
      <c r="A36" s="120" t="s">
        <v>137</v>
      </c>
      <c r="B36" s="117" t="s">
        <v>138</v>
      </c>
      <c r="E36" s="117" t="s">
        <v>7</v>
      </c>
      <c r="F36" s="560">
        <f t="shared" ref="F36:K36" si="2">SUM(F21:F34)</f>
        <v>8538.2999999999993</v>
      </c>
      <c r="G36" s="560">
        <f t="shared" si="2"/>
        <v>37026</v>
      </c>
      <c r="H36" s="560">
        <f t="shared" si="2"/>
        <v>581170</v>
      </c>
      <c r="I36" s="557">
        <f t="shared" si="2"/>
        <v>75883</v>
      </c>
      <c r="J36" s="557">
        <f t="shared" si="2"/>
        <v>18322</v>
      </c>
      <c r="K36" s="557">
        <f t="shared" si="2"/>
        <v>638731</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c r="G40" s="555"/>
      <c r="H40" s="556"/>
      <c r="I40" s="144">
        <v>0</v>
      </c>
      <c r="J40" s="556"/>
      <c r="K40" s="557">
        <f t="shared" ref="K40:K47" si="3">(H40+I40)-J40</f>
        <v>0</v>
      </c>
    </row>
    <row r="41" spans="1:11" ht="18" customHeight="1" x14ac:dyDescent="0.4">
      <c r="A41" s="183" t="s">
        <v>88</v>
      </c>
      <c r="B41" s="956" t="s">
        <v>50</v>
      </c>
      <c r="C41" s="957"/>
      <c r="F41" s="555">
        <v>60.5</v>
      </c>
      <c r="G41" s="555">
        <v>0</v>
      </c>
      <c r="H41" s="556">
        <v>3678</v>
      </c>
      <c r="I41" s="144">
        <v>1041</v>
      </c>
      <c r="J41" s="556">
        <v>0</v>
      </c>
      <c r="K41" s="557">
        <f t="shared" si="3"/>
        <v>4719</v>
      </c>
    </row>
    <row r="42" spans="1:11" ht="18" customHeight="1" x14ac:dyDescent="0.4">
      <c r="A42" s="183" t="s">
        <v>89</v>
      </c>
      <c r="B42" s="116" t="s">
        <v>11</v>
      </c>
      <c r="F42" s="555"/>
      <c r="G42" s="555"/>
      <c r="H42" s="556"/>
      <c r="I42" s="144">
        <v>0</v>
      </c>
      <c r="J42" s="556"/>
      <c r="K42" s="557">
        <f t="shared" si="3"/>
        <v>0</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60.5</v>
      </c>
      <c r="G49" s="563">
        <f t="shared" si="4"/>
        <v>0</v>
      </c>
      <c r="H49" s="557">
        <f t="shared" si="4"/>
        <v>3678</v>
      </c>
      <c r="I49" s="557">
        <f t="shared" si="4"/>
        <v>1041</v>
      </c>
      <c r="J49" s="557">
        <f t="shared" si="4"/>
        <v>0</v>
      </c>
      <c r="K49" s="557">
        <f t="shared" si="4"/>
        <v>4719</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978" t="s">
        <v>315</v>
      </c>
      <c r="C53" s="979"/>
      <c r="D53" s="975"/>
      <c r="F53" s="555">
        <v>0</v>
      </c>
      <c r="G53" s="555">
        <v>0</v>
      </c>
      <c r="H53" s="556">
        <v>1693497</v>
      </c>
      <c r="I53" s="144">
        <v>479257</v>
      </c>
      <c r="J53" s="556">
        <v>0</v>
      </c>
      <c r="K53" s="557">
        <f t="shared" ref="K53:K62" si="5">(H53+I53)-J53</f>
        <v>2172754</v>
      </c>
    </row>
    <row r="54" spans="1:11" ht="18" customHeight="1" x14ac:dyDescent="0.4">
      <c r="A54" s="183" t="s">
        <v>93</v>
      </c>
      <c r="B54" s="539" t="s">
        <v>578</v>
      </c>
      <c r="C54" s="537"/>
      <c r="D54" s="538"/>
      <c r="F54" s="555">
        <v>0</v>
      </c>
      <c r="G54" s="555">
        <v>17100</v>
      </c>
      <c r="H54" s="556">
        <v>0</v>
      </c>
      <c r="I54" s="144">
        <v>99076</v>
      </c>
      <c r="J54" s="556">
        <v>0</v>
      </c>
      <c r="K54" s="557">
        <f t="shared" si="5"/>
        <v>99076</v>
      </c>
    </row>
    <row r="55" spans="1:11" ht="18" customHeight="1" x14ac:dyDescent="0.4">
      <c r="A55" s="183" t="s">
        <v>94</v>
      </c>
      <c r="B55" s="980"/>
      <c r="C55" s="974"/>
      <c r="D55" s="975"/>
      <c r="F55" s="555"/>
      <c r="G55" s="555"/>
      <c r="H55" s="556"/>
      <c r="I55" s="144">
        <v>0</v>
      </c>
      <c r="J55" s="556"/>
      <c r="K55" s="557">
        <f t="shared" si="5"/>
        <v>0</v>
      </c>
    </row>
    <row r="56" spans="1:11" ht="18" customHeight="1" x14ac:dyDescent="0.4">
      <c r="A56" s="183" t="s">
        <v>95</v>
      </c>
      <c r="B56" s="980"/>
      <c r="C56" s="974"/>
      <c r="D56" s="975"/>
      <c r="F56" s="555"/>
      <c r="G56" s="555"/>
      <c r="H56" s="556"/>
      <c r="I56" s="144">
        <v>0</v>
      </c>
      <c r="J56" s="556"/>
      <c r="K56" s="557">
        <f t="shared" si="5"/>
        <v>0</v>
      </c>
    </row>
    <row r="57" spans="1:11" ht="18" customHeight="1" x14ac:dyDescent="0.4">
      <c r="A57" s="183" t="s">
        <v>96</v>
      </c>
      <c r="B57" s="980"/>
      <c r="C57" s="974"/>
      <c r="D57" s="975"/>
      <c r="F57" s="555"/>
      <c r="G57" s="555"/>
      <c r="H57" s="556"/>
      <c r="I57" s="144">
        <v>0</v>
      </c>
      <c r="J57" s="556"/>
      <c r="K57" s="557">
        <f t="shared" si="5"/>
        <v>0</v>
      </c>
    </row>
    <row r="58" spans="1:11" ht="18" customHeight="1" x14ac:dyDescent="0.4">
      <c r="A58" s="183" t="s">
        <v>97</v>
      </c>
      <c r="B58" s="536"/>
      <c r="C58" s="537"/>
      <c r="D58" s="538"/>
      <c r="F58" s="555"/>
      <c r="G58" s="555"/>
      <c r="H58" s="556"/>
      <c r="I58" s="144">
        <v>0</v>
      </c>
      <c r="J58" s="556"/>
      <c r="K58" s="557">
        <f t="shared" si="5"/>
        <v>0</v>
      </c>
    </row>
    <row r="59" spans="1:11" ht="18" customHeight="1" x14ac:dyDescent="0.4">
      <c r="A59" s="183" t="s">
        <v>98</v>
      </c>
      <c r="B59" s="980"/>
      <c r="C59" s="974"/>
      <c r="D59" s="975"/>
      <c r="F59" s="555"/>
      <c r="G59" s="555"/>
      <c r="H59" s="556"/>
      <c r="I59" s="144">
        <v>0</v>
      </c>
      <c r="J59" s="556"/>
      <c r="K59" s="557">
        <f t="shared" si="5"/>
        <v>0</v>
      </c>
    </row>
    <row r="60" spans="1:11" ht="18" customHeight="1" x14ac:dyDescent="0.4">
      <c r="A60" s="183" t="s">
        <v>99</v>
      </c>
      <c r="B60" s="536"/>
      <c r="C60" s="537"/>
      <c r="D60" s="538"/>
      <c r="F60" s="555"/>
      <c r="G60" s="555"/>
      <c r="H60" s="556"/>
      <c r="I60" s="144">
        <v>0</v>
      </c>
      <c r="J60" s="556"/>
      <c r="K60" s="557">
        <f t="shared" si="5"/>
        <v>0</v>
      </c>
    </row>
    <row r="61" spans="1:11" ht="18" customHeight="1" x14ac:dyDescent="0.4">
      <c r="A61" s="183" t="s">
        <v>100</v>
      </c>
      <c r="B61" s="536"/>
      <c r="C61" s="537"/>
      <c r="D61" s="538"/>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0</v>
      </c>
      <c r="G64" s="560">
        <f t="shared" si="6"/>
        <v>17100</v>
      </c>
      <c r="H64" s="557">
        <f t="shared" si="6"/>
        <v>1693497</v>
      </c>
      <c r="I64" s="557">
        <f t="shared" si="6"/>
        <v>578333</v>
      </c>
      <c r="J64" s="557">
        <f t="shared" si="6"/>
        <v>0</v>
      </c>
      <c r="K64" s="557">
        <f t="shared" si="6"/>
        <v>2271830</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f>(H68+I68)-J68</f>
        <v>0</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36"/>
      <c r="C70" s="537"/>
      <c r="D70" s="538"/>
      <c r="E70" s="117"/>
      <c r="F70" s="131"/>
      <c r="G70" s="131"/>
      <c r="H70" s="132"/>
      <c r="I70" s="144">
        <v>0</v>
      </c>
      <c r="J70" s="132"/>
      <c r="K70" s="557">
        <f>(H70+I70)-J70</f>
        <v>0</v>
      </c>
    </row>
    <row r="71" spans="1:11" ht="18" customHeight="1" x14ac:dyDescent="0.4">
      <c r="A71" s="183" t="s">
        <v>179</v>
      </c>
      <c r="B71" s="536"/>
      <c r="C71" s="537"/>
      <c r="D71" s="538"/>
      <c r="E71" s="117"/>
      <c r="F71" s="131"/>
      <c r="G71" s="131"/>
      <c r="H71" s="132"/>
      <c r="I71" s="144">
        <v>0</v>
      </c>
      <c r="J71" s="132"/>
      <c r="K71" s="557">
        <f>(H71+I71)-J71</f>
        <v>0</v>
      </c>
    </row>
    <row r="72" spans="1:11" ht="18" customHeight="1" x14ac:dyDescent="0.4">
      <c r="A72" s="183" t="s">
        <v>180</v>
      </c>
      <c r="B72" s="544"/>
      <c r="C72" s="543"/>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0</v>
      </c>
      <c r="G74" s="566">
        <f t="shared" si="7"/>
        <v>0</v>
      </c>
      <c r="H74" s="566">
        <f t="shared" si="7"/>
        <v>0</v>
      </c>
      <c r="I74" s="145">
        <f t="shared" si="7"/>
        <v>0</v>
      </c>
      <c r="J74" s="566">
        <f t="shared" si="7"/>
        <v>0</v>
      </c>
      <c r="K74" s="567">
        <f t="shared" si="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c r="G77" s="555"/>
      <c r="H77" s="556"/>
      <c r="I77" s="144">
        <v>0</v>
      </c>
      <c r="J77" s="556"/>
      <c r="K77" s="557">
        <f>(H77+I77)-J77</f>
        <v>0</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1896</v>
      </c>
      <c r="G79" s="555">
        <v>0</v>
      </c>
      <c r="H79" s="556">
        <v>65712</v>
      </c>
      <c r="I79" s="144">
        <v>0</v>
      </c>
      <c r="J79" s="556">
        <v>0</v>
      </c>
      <c r="K79" s="557">
        <f>(H79+I79)-J79</f>
        <v>65712</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1896</v>
      </c>
      <c r="G82" s="566">
        <f t="shared" si="8"/>
        <v>0</v>
      </c>
      <c r="H82" s="567">
        <f t="shared" si="8"/>
        <v>65712</v>
      </c>
      <c r="I82" s="567">
        <f t="shared" si="8"/>
        <v>0</v>
      </c>
      <c r="J82" s="567">
        <f t="shared" si="8"/>
        <v>0</v>
      </c>
      <c r="K82" s="567">
        <f t="shared" si="8"/>
        <v>65712</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9">H86*F$114</f>
        <v>0</v>
      </c>
      <c r="J86" s="556"/>
      <c r="K86" s="557">
        <f t="shared" ref="K86:K96" si="10">(H86+I86)-J86</f>
        <v>0</v>
      </c>
    </row>
    <row r="87" spans="1:11" ht="18" customHeight="1" x14ac:dyDescent="0.4">
      <c r="A87" s="183" t="s">
        <v>114</v>
      </c>
      <c r="B87" s="116" t="s">
        <v>14</v>
      </c>
      <c r="F87" s="555"/>
      <c r="G87" s="555"/>
      <c r="H87" s="556"/>
      <c r="I87" s="144">
        <f t="shared" si="9"/>
        <v>0</v>
      </c>
      <c r="J87" s="556"/>
      <c r="K87" s="557">
        <f t="shared" si="10"/>
        <v>0</v>
      </c>
    </row>
    <row r="88" spans="1:11" ht="18" customHeight="1" x14ac:dyDescent="0.4">
      <c r="A88" s="183" t="s">
        <v>115</v>
      </c>
      <c r="B88" s="116" t="s">
        <v>116</v>
      </c>
      <c r="F88" s="555"/>
      <c r="G88" s="555"/>
      <c r="H88" s="556"/>
      <c r="I88" s="144">
        <f t="shared" si="9"/>
        <v>0</v>
      </c>
      <c r="J88" s="556"/>
      <c r="K88" s="557">
        <f t="shared" si="10"/>
        <v>0</v>
      </c>
    </row>
    <row r="89" spans="1:11" ht="18" customHeight="1" x14ac:dyDescent="0.4">
      <c r="A89" s="183" t="s">
        <v>117</v>
      </c>
      <c r="B89" s="116" t="s">
        <v>58</v>
      </c>
      <c r="F89" s="555"/>
      <c r="G89" s="555"/>
      <c r="H89" s="556"/>
      <c r="I89" s="144">
        <f t="shared" si="9"/>
        <v>0</v>
      </c>
      <c r="J89" s="556"/>
      <c r="K89" s="557">
        <f t="shared" si="10"/>
        <v>0</v>
      </c>
    </row>
    <row r="90" spans="1:11" ht="18" customHeight="1" x14ac:dyDescent="0.4">
      <c r="A90" s="183" t="s">
        <v>118</v>
      </c>
      <c r="B90" s="956" t="s">
        <v>59</v>
      </c>
      <c r="C90" s="957"/>
      <c r="F90" s="555"/>
      <c r="G90" s="555"/>
      <c r="H90" s="556"/>
      <c r="I90" s="144">
        <f t="shared" si="9"/>
        <v>0</v>
      </c>
      <c r="J90" s="556"/>
      <c r="K90" s="557">
        <f t="shared" si="10"/>
        <v>0</v>
      </c>
    </row>
    <row r="91" spans="1:11" ht="18" customHeight="1" x14ac:dyDescent="0.4">
      <c r="A91" s="183" t="s">
        <v>119</v>
      </c>
      <c r="B91" s="116" t="s">
        <v>60</v>
      </c>
      <c r="F91" s="555"/>
      <c r="G91" s="555"/>
      <c r="H91" s="556"/>
      <c r="I91" s="144">
        <f t="shared" si="9"/>
        <v>0</v>
      </c>
      <c r="J91" s="556"/>
      <c r="K91" s="557">
        <f t="shared" si="10"/>
        <v>0</v>
      </c>
    </row>
    <row r="92" spans="1:11" ht="18" customHeight="1" x14ac:dyDescent="0.4">
      <c r="A92" s="183" t="s">
        <v>120</v>
      </c>
      <c r="B92" s="116" t="s">
        <v>121</v>
      </c>
      <c r="F92" s="134"/>
      <c r="G92" s="134"/>
      <c r="H92" s="135"/>
      <c r="I92" s="144">
        <f t="shared" si="9"/>
        <v>0</v>
      </c>
      <c r="J92" s="135"/>
      <c r="K92" s="557">
        <f t="shared" si="10"/>
        <v>0</v>
      </c>
    </row>
    <row r="93" spans="1:11" ht="18" customHeight="1" x14ac:dyDescent="0.4">
      <c r="A93" s="183" t="s">
        <v>122</v>
      </c>
      <c r="B93" s="116" t="s">
        <v>123</v>
      </c>
      <c r="F93" s="555"/>
      <c r="G93" s="555"/>
      <c r="H93" s="556"/>
      <c r="I93" s="144">
        <f t="shared" si="9"/>
        <v>0</v>
      </c>
      <c r="J93" s="556"/>
      <c r="K93" s="557">
        <f t="shared" si="10"/>
        <v>0</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0</v>
      </c>
      <c r="G98" s="560">
        <f t="shared" si="11"/>
        <v>0</v>
      </c>
      <c r="H98" s="560">
        <f t="shared" si="11"/>
        <v>0</v>
      </c>
      <c r="I98" s="560">
        <f t="shared" si="11"/>
        <v>0</v>
      </c>
      <c r="J98" s="560">
        <f t="shared" si="11"/>
        <v>0</v>
      </c>
      <c r="K98" s="560">
        <f t="shared" si="11"/>
        <v>0</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348</v>
      </c>
      <c r="G102" s="555">
        <v>0</v>
      </c>
      <c r="H102" s="556">
        <v>32592</v>
      </c>
      <c r="I102" s="144">
        <v>9228</v>
      </c>
      <c r="J102" s="556">
        <v>0</v>
      </c>
      <c r="K102" s="557">
        <f>(H102+I102)-J102</f>
        <v>41820</v>
      </c>
    </row>
    <row r="103" spans="1:11" ht="18" customHeight="1" x14ac:dyDescent="0.4">
      <c r="A103" s="183" t="s">
        <v>132</v>
      </c>
      <c r="B103" s="956" t="s">
        <v>62</v>
      </c>
      <c r="C103" s="956"/>
      <c r="F103" s="555">
        <v>6</v>
      </c>
      <c r="G103" s="555">
        <v>4</v>
      </c>
      <c r="H103" s="556">
        <v>25396</v>
      </c>
      <c r="I103" s="144">
        <v>112</v>
      </c>
      <c r="J103" s="556">
        <v>0</v>
      </c>
      <c r="K103" s="557">
        <f>(H103+I103)-J103</f>
        <v>25508</v>
      </c>
    </row>
    <row r="104" spans="1:11" ht="18" customHeight="1" x14ac:dyDescent="0.4">
      <c r="A104" s="183" t="s">
        <v>128</v>
      </c>
      <c r="B104" s="973" t="s">
        <v>318</v>
      </c>
      <c r="C104" s="974"/>
      <c r="D104" s="975"/>
      <c r="F104" s="555">
        <v>0</v>
      </c>
      <c r="G104" s="555">
        <v>0</v>
      </c>
      <c r="H104" s="556">
        <v>925</v>
      </c>
      <c r="I104" s="144">
        <v>0</v>
      </c>
      <c r="J104" s="556">
        <v>0</v>
      </c>
      <c r="K104" s="557">
        <f>(H104+I104)-J104</f>
        <v>925</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354</v>
      </c>
      <c r="G108" s="560">
        <f t="shared" si="12"/>
        <v>4</v>
      </c>
      <c r="H108" s="557">
        <f t="shared" si="12"/>
        <v>58913</v>
      </c>
      <c r="I108" s="557">
        <f t="shared" si="12"/>
        <v>9340</v>
      </c>
      <c r="J108" s="557">
        <f t="shared" si="12"/>
        <v>0</v>
      </c>
      <c r="K108" s="557">
        <f t="shared" si="12"/>
        <v>68253</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4282298</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0.28299999999999997</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96005887</v>
      </c>
    </row>
    <row r="118" spans="1:6" ht="18" customHeight="1" x14ac:dyDescent="0.4">
      <c r="A118" s="183" t="s">
        <v>173</v>
      </c>
      <c r="B118" s="189" t="s">
        <v>18</v>
      </c>
      <c r="F118" s="556">
        <v>1319388</v>
      </c>
    </row>
    <row r="119" spans="1:6" ht="18" customHeight="1" x14ac:dyDescent="0.4">
      <c r="A119" s="183" t="s">
        <v>174</v>
      </c>
      <c r="B119" s="117" t="s">
        <v>19</v>
      </c>
      <c r="F119" s="567">
        <f>SUM(F117:F118)</f>
        <v>97325275</v>
      </c>
    </row>
    <row r="120" spans="1:6" ht="18" customHeight="1" x14ac:dyDescent="0.4">
      <c r="A120" s="183"/>
      <c r="B120" s="117"/>
    </row>
    <row r="121" spans="1:6" ht="18" customHeight="1" x14ac:dyDescent="0.4">
      <c r="A121" s="183" t="s">
        <v>167</v>
      </c>
      <c r="B121" s="117" t="s">
        <v>36</v>
      </c>
      <c r="F121" s="556">
        <v>108725994</v>
      </c>
    </row>
    <row r="122" spans="1:6" ht="18" customHeight="1" x14ac:dyDescent="0.4">
      <c r="A122" s="183"/>
    </row>
    <row r="123" spans="1:6" ht="18" customHeight="1" x14ac:dyDescent="0.4">
      <c r="A123" s="183" t="s">
        <v>175</v>
      </c>
      <c r="B123" s="117" t="s">
        <v>20</v>
      </c>
      <c r="F123" s="556">
        <v>-11400098</v>
      </c>
    </row>
    <row r="124" spans="1:6" ht="18" customHeight="1" x14ac:dyDescent="0.4">
      <c r="A124" s="183"/>
    </row>
    <row r="125" spans="1:6" ht="18" customHeight="1" x14ac:dyDescent="0.4">
      <c r="A125" s="183" t="s">
        <v>176</v>
      </c>
      <c r="B125" s="117" t="s">
        <v>21</v>
      </c>
      <c r="F125" s="556">
        <v>6442237</v>
      </c>
    </row>
    <row r="126" spans="1:6" ht="18" customHeight="1" x14ac:dyDescent="0.4">
      <c r="A126" s="183"/>
    </row>
    <row r="127" spans="1:6" ht="18" customHeight="1" x14ac:dyDescent="0.4">
      <c r="A127" s="183" t="s">
        <v>177</v>
      </c>
      <c r="B127" s="117" t="s">
        <v>22</v>
      </c>
      <c r="F127" s="556">
        <v>-4957861</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8538.2999999999993</v>
      </c>
      <c r="G141" s="136">
        <f t="shared" si="14"/>
        <v>37026</v>
      </c>
      <c r="H141" s="136">
        <f t="shared" si="14"/>
        <v>581170</v>
      </c>
      <c r="I141" s="136">
        <f t="shared" si="14"/>
        <v>75883</v>
      </c>
      <c r="J141" s="136">
        <f t="shared" si="14"/>
        <v>18322</v>
      </c>
      <c r="K141" s="136">
        <f t="shared" si="14"/>
        <v>638731</v>
      </c>
    </row>
    <row r="142" spans="1:11" ht="18" customHeight="1" x14ac:dyDescent="0.4">
      <c r="A142" s="183" t="s">
        <v>142</v>
      </c>
      <c r="B142" s="117" t="s">
        <v>65</v>
      </c>
      <c r="F142" s="136">
        <f t="shared" ref="F142:K142" si="15">F49</f>
        <v>60.5</v>
      </c>
      <c r="G142" s="136">
        <f t="shared" si="15"/>
        <v>0</v>
      </c>
      <c r="H142" s="136">
        <f t="shared" si="15"/>
        <v>3678</v>
      </c>
      <c r="I142" s="136">
        <f t="shared" si="15"/>
        <v>1041</v>
      </c>
      <c r="J142" s="136">
        <f t="shared" si="15"/>
        <v>0</v>
      </c>
      <c r="K142" s="136">
        <f t="shared" si="15"/>
        <v>4719</v>
      </c>
    </row>
    <row r="143" spans="1:11" ht="18" customHeight="1" x14ac:dyDescent="0.4">
      <c r="A143" s="183" t="s">
        <v>144</v>
      </c>
      <c r="B143" s="117" t="s">
        <v>66</v>
      </c>
      <c r="F143" s="136">
        <f t="shared" ref="F143:K143" si="16">F64</f>
        <v>0</v>
      </c>
      <c r="G143" s="136">
        <f t="shared" si="16"/>
        <v>17100</v>
      </c>
      <c r="H143" s="136">
        <f t="shared" si="16"/>
        <v>1693497</v>
      </c>
      <c r="I143" s="136">
        <f t="shared" si="16"/>
        <v>578333</v>
      </c>
      <c r="J143" s="136">
        <f t="shared" si="16"/>
        <v>0</v>
      </c>
      <c r="K143" s="136">
        <f t="shared" si="16"/>
        <v>2271830</v>
      </c>
    </row>
    <row r="144" spans="1:11" ht="18" customHeight="1" x14ac:dyDescent="0.4">
      <c r="A144" s="183" t="s">
        <v>146</v>
      </c>
      <c r="B144" s="117" t="s">
        <v>67</v>
      </c>
      <c r="F144" s="136">
        <f t="shared" ref="F144:K144" si="17">F74</f>
        <v>0</v>
      </c>
      <c r="G144" s="136">
        <f t="shared" si="17"/>
        <v>0</v>
      </c>
      <c r="H144" s="136">
        <f t="shared" si="17"/>
        <v>0</v>
      </c>
      <c r="I144" s="136">
        <f t="shared" si="17"/>
        <v>0</v>
      </c>
      <c r="J144" s="136">
        <f t="shared" si="17"/>
        <v>0</v>
      </c>
      <c r="K144" s="136">
        <f t="shared" si="17"/>
        <v>0</v>
      </c>
    </row>
    <row r="145" spans="1:11" ht="18" customHeight="1" x14ac:dyDescent="0.4">
      <c r="A145" s="183" t="s">
        <v>148</v>
      </c>
      <c r="B145" s="117" t="s">
        <v>68</v>
      </c>
      <c r="F145" s="136">
        <f t="shared" ref="F145:K145" si="18">F82</f>
        <v>1896</v>
      </c>
      <c r="G145" s="136">
        <f t="shared" si="18"/>
        <v>0</v>
      </c>
      <c r="H145" s="136">
        <f t="shared" si="18"/>
        <v>65712</v>
      </c>
      <c r="I145" s="136">
        <f t="shared" si="18"/>
        <v>0</v>
      </c>
      <c r="J145" s="136">
        <f t="shared" si="18"/>
        <v>0</v>
      </c>
      <c r="K145" s="136">
        <f t="shared" si="18"/>
        <v>65712</v>
      </c>
    </row>
    <row r="146" spans="1:11" ht="18" customHeight="1" x14ac:dyDescent="0.4">
      <c r="A146" s="183" t="s">
        <v>150</v>
      </c>
      <c r="B146" s="117" t="s">
        <v>69</v>
      </c>
      <c r="F146" s="136">
        <f t="shared" ref="F146:K146" si="19">F98</f>
        <v>0</v>
      </c>
      <c r="G146" s="136">
        <f t="shared" si="19"/>
        <v>0</v>
      </c>
      <c r="H146" s="136">
        <f t="shared" si="19"/>
        <v>0</v>
      </c>
      <c r="I146" s="136">
        <f t="shared" si="19"/>
        <v>0</v>
      </c>
      <c r="J146" s="136">
        <f t="shared" si="19"/>
        <v>0</v>
      </c>
      <c r="K146" s="136">
        <f t="shared" si="19"/>
        <v>0</v>
      </c>
    </row>
    <row r="147" spans="1:11" ht="18" customHeight="1" x14ac:dyDescent="0.4">
      <c r="A147" s="183" t="s">
        <v>153</v>
      </c>
      <c r="B147" s="117" t="s">
        <v>61</v>
      </c>
      <c r="F147" s="560">
        <f t="shared" ref="F147:K147" si="20">F108</f>
        <v>354</v>
      </c>
      <c r="G147" s="560">
        <f t="shared" si="20"/>
        <v>4</v>
      </c>
      <c r="H147" s="560">
        <f t="shared" si="20"/>
        <v>58913</v>
      </c>
      <c r="I147" s="560">
        <f t="shared" si="20"/>
        <v>9340</v>
      </c>
      <c r="J147" s="560">
        <f t="shared" si="20"/>
        <v>0</v>
      </c>
      <c r="K147" s="560">
        <f t="shared" si="20"/>
        <v>68253</v>
      </c>
    </row>
    <row r="148" spans="1:11" ht="18" customHeight="1" x14ac:dyDescent="0.4">
      <c r="A148" s="183" t="s">
        <v>155</v>
      </c>
      <c r="B148" s="117" t="s">
        <v>70</v>
      </c>
      <c r="F148" s="137" t="s">
        <v>73</v>
      </c>
      <c r="G148" s="137" t="s">
        <v>73</v>
      </c>
      <c r="H148" s="138" t="s">
        <v>73</v>
      </c>
      <c r="I148" s="138" t="s">
        <v>73</v>
      </c>
      <c r="J148" s="138" t="s">
        <v>73</v>
      </c>
      <c r="K148" s="133">
        <f>F111</f>
        <v>4282298</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2034625.9556564067</v>
      </c>
      <c r="I150" s="560">
        <f>I18</f>
        <v>0</v>
      </c>
      <c r="J150" s="560">
        <f>J18</f>
        <v>1691439.8152695168</v>
      </c>
      <c r="K150" s="560">
        <f>K18</f>
        <v>343186.14038688992</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10848.8</v>
      </c>
      <c r="G152" s="143">
        <f t="shared" si="22"/>
        <v>54130</v>
      </c>
      <c r="H152" s="143">
        <f t="shared" si="22"/>
        <v>4437595.9556564065</v>
      </c>
      <c r="I152" s="143">
        <f t="shared" si="22"/>
        <v>664597</v>
      </c>
      <c r="J152" s="143">
        <f t="shared" si="22"/>
        <v>1709761.8152695168</v>
      </c>
      <c r="K152" s="143">
        <f t="shared" si="22"/>
        <v>7674729.1403868897</v>
      </c>
    </row>
    <row r="154" spans="1:11" ht="18" customHeight="1" x14ac:dyDescent="0.4">
      <c r="A154" s="120" t="s">
        <v>168</v>
      </c>
      <c r="B154" s="117" t="s">
        <v>28</v>
      </c>
      <c r="F154" s="571">
        <f>K152/F121</f>
        <v>7.0587803873164767E-2</v>
      </c>
    </row>
    <row r="155" spans="1:11" ht="18" customHeight="1" x14ac:dyDescent="0.4">
      <c r="A155" s="120" t="s">
        <v>169</v>
      </c>
      <c r="B155" s="117" t="s">
        <v>72</v>
      </c>
      <c r="F155" s="571">
        <f>K152/F127</f>
        <v>-1.5479919950129482</v>
      </c>
      <c r="G155" s="117"/>
    </row>
    <row r="156" spans="1:11" ht="18" customHeight="1" x14ac:dyDescent="0.4">
      <c r="G156" s="117"/>
    </row>
  </sheetData>
  <mergeCells count="34">
    <mergeCell ref="B62:D62"/>
    <mergeCell ref="B31:D31"/>
    <mergeCell ref="B103:C103"/>
    <mergeCell ref="B96:D96"/>
    <mergeCell ref="B95:D95"/>
    <mergeCell ref="B57:D57"/>
    <mergeCell ref="B94:D94"/>
    <mergeCell ref="B52:C52"/>
    <mergeCell ref="B90:C90"/>
    <mergeCell ref="B53:D53"/>
    <mergeCell ref="B55:D55"/>
    <mergeCell ref="B56:D56"/>
    <mergeCell ref="B59:D59"/>
    <mergeCell ref="B46:D46"/>
    <mergeCell ref="B47:D47"/>
    <mergeCell ref="D2:H2"/>
    <mergeCell ref="B34:D34"/>
    <mergeCell ref="C11:G11"/>
    <mergeCell ref="B41:C41"/>
    <mergeCell ref="B45:D45"/>
    <mergeCell ref="B44:D44"/>
    <mergeCell ref="B13:H13"/>
    <mergeCell ref="C5:G5"/>
    <mergeCell ref="C6:G6"/>
    <mergeCell ref="C7:G7"/>
    <mergeCell ref="C9:G9"/>
    <mergeCell ref="C10:G10"/>
    <mergeCell ref="B30:D30"/>
    <mergeCell ref="B134:D134"/>
    <mergeCell ref="B135:D135"/>
    <mergeCell ref="B133:D133"/>
    <mergeCell ref="B104:D104"/>
    <mergeCell ref="B105:D105"/>
    <mergeCell ref="B106:D106"/>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156"/>
  <sheetViews>
    <sheetView showGridLines="0" topLeftCell="A88" zoomScale="80" zoomScaleNormal="80" zoomScaleSheetLayoutView="50" workbookViewId="0">
      <selection activeCell="G102" sqref="G102"/>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2" width="10.265625" style="189" bestFit="1" customWidth="1"/>
    <col min="13"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1017" t="s">
        <v>487</v>
      </c>
      <c r="D5" s="1147"/>
      <c r="E5" s="1147"/>
      <c r="F5" s="1147"/>
      <c r="G5" s="1148"/>
    </row>
    <row r="6" spans="1:11" ht="18" customHeight="1" x14ac:dyDescent="0.4">
      <c r="B6" s="183" t="s">
        <v>3</v>
      </c>
      <c r="C6" s="1017">
        <v>210058</v>
      </c>
      <c r="D6" s="1147"/>
      <c r="E6" s="1147"/>
      <c r="F6" s="1147"/>
      <c r="G6" s="1148"/>
    </row>
    <row r="7" spans="1:11" ht="18" customHeight="1" x14ac:dyDescent="0.4">
      <c r="B7" s="183" t="s">
        <v>4</v>
      </c>
      <c r="C7" s="967">
        <v>660</v>
      </c>
      <c r="D7" s="968"/>
      <c r="E7" s="968"/>
      <c r="F7" s="968"/>
      <c r="G7" s="969"/>
    </row>
    <row r="9" spans="1:11" ht="18" customHeight="1" x14ac:dyDescent="0.4">
      <c r="B9" s="183" t="s">
        <v>1</v>
      </c>
      <c r="C9" s="1017" t="s">
        <v>535</v>
      </c>
      <c r="D9" s="1147"/>
      <c r="E9" s="1147"/>
      <c r="F9" s="1147"/>
      <c r="G9" s="1148"/>
    </row>
    <row r="10" spans="1:11" ht="18" customHeight="1" x14ac:dyDescent="0.4">
      <c r="B10" s="183" t="s">
        <v>2</v>
      </c>
      <c r="C10" s="1017" t="s">
        <v>536</v>
      </c>
      <c r="D10" s="1147"/>
      <c r="E10" s="1147"/>
      <c r="F10" s="1147"/>
      <c r="G10" s="1148"/>
    </row>
    <row r="11" spans="1:11" ht="18" customHeight="1" x14ac:dyDescent="0.4">
      <c r="B11" s="183" t="s">
        <v>32</v>
      </c>
      <c r="C11" s="1017" t="s">
        <v>537</v>
      </c>
      <c r="D11" s="1147"/>
      <c r="E11" s="1147"/>
      <c r="F11" s="1147"/>
      <c r="G11" s="1148"/>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2485833</v>
      </c>
      <c r="I18" s="144">
        <v>0</v>
      </c>
      <c r="J18" s="556">
        <v>2066540</v>
      </c>
      <c r="K18" s="557">
        <v>419293</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252.75</v>
      </c>
      <c r="G21" s="555">
        <v>418</v>
      </c>
      <c r="H21" s="556">
        <v>19811</v>
      </c>
      <c r="I21" s="144">
        <v>11787.545</v>
      </c>
      <c r="J21" s="556">
        <v>0</v>
      </c>
      <c r="K21" s="557">
        <v>31598.544999999998</v>
      </c>
    </row>
    <row r="22" spans="1:11" ht="18" customHeight="1" x14ac:dyDescent="0.4">
      <c r="A22" s="183" t="s">
        <v>76</v>
      </c>
      <c r="B22" s="189" t="s">
        <v>6</v>
      </c>
      <c r="F22" s="555">
        <v>224</v>
      </c>
      <c r="G22" s="555">
        <v>687</v>
      </c>
      <c r="H22" s="556">
        <v>22796</v>
      </c>
      <c r="I22" s="144">
        <v>13563.619999999999</v>
      </c>
      <c r="J22" s="556">
        <v>0</v>
      </c>
      <c r="K22" s="557">
        <v>36359.619999999995</v>
      </c>
    </row>
    <row r="23" spans="1:11" ht="18" customHeight="1" x14ac:dyDescent="0.4">
      <c r="A23" s="183" t="s">
        <v>77</v>
      </c>
      <c r="B23" s="189" t="s">
        <v>43</v>
      </c>
      <c r="F23" s="555">
        <v>0</v>
      </c>
      <c r="G23" s="555">
        <v>0</v>
      </c>
      <c r="H23" s="556">
        <v>0</v>
      </c>
      <c r="I23" s="144">
        <v>0</v>
      </c>
      <c r="J23" s="556">
        <v>0</v>
      </c>
      <c r="K23" s="557">
        <v>0</v>
      </c>
    </row>
    <row r="24" spans="1:11" ht="18" customHeight="1" x14ac:dyDescent="0.4">
      <c r="A24" s="183" t="s">
        <v>78</v>
      </c>
      <c r="B24" s="189" t="s">
        <v>44</v>
      </c>
      <c r="F24" s="555">
        <v>0</v>
      </c>
      <c r="G24" s="555">
        <v>0</v>
      </c>
      <c r="H24" s="556">
        <v>0</v>
      </c>
      <c r="I24" s="144">
        <v>0</v>
      </c>
      <c r="J24" s="556">
        <v>0</v>
      </c>
      <c r="K24" s="557">
        <v>0</v>
      </c>
    </row>
    <row r="25" spans="1:11" ht="18" customHeight="1" x14ac:dyDescent="0.4">
      <c r="A25" s="183" t="s">
        <v>79</v>
      </c>
      <c r="B25" s="189" t="s">
        <v>5</v>
      </c>
      <c r="F25" s="555">
        <v>0</v>
      </c>
      <c r="G25" s="555">
        <v>0</v>
      </c>
      <c r="H25" s="556">
        <v>0</v>
      </c>
      <c r="I25" s="144">
        <v>0</v>
      </c>
      <c r="J25" s="556">
        <v>0</v>
      </c>
      <c r="K25" s="557">
        <v>0</v>
      </c>
    </row>
    <row r="26" spans="1:11" ht="18" customHeight="1" x14ac:dyDescent="0.4">
      <c r="A26" s="183" t="s">
        <v>80</v>
      </c>
      <c r="B26" s="189" t="s">
        <v>45</v>
      </c>
      <c r="F26" s="555">
        <v>0</v>
      </c>
      <c r="G26" s="555">
        <v>0</v>
      </c>
      <c r="H26" s="556">
        <v>0</v>
      </c>
      <c r="I26" s="144">
        <v>0</v>
      </c>
      <c r="J26" s="556">
        <v>0</v>
      </c>
      <c r="K26" s="557">
        <v>0</v>
      </c>
    </row>
    <row r="27" spans="1:11" ht="18" customHeight="1" x14ac:dyDescent="0.4">
      <c r="A27" s="183" t="s">
        <v>81</v>
      </c>
      <c r="B27" s="189" t="s">
        <v>498</v>
      </c>
      <c r="F27" s="555">
        <v>0</v>
      </c>
      <c r="G27" s="555">
        <v>0</v>
      </c>
      <c r="H27" s="556">
        <v>0</v>
      </c>
      <c r="I27" s="144">
        <v>0</v>
      </c>
      <c r="J27" s="556">
        <v>0</v>
      </c>
      <c r="K27" s="557">
        <v>0</v>
      </c>
    </row>
    <row r="28" spans="1:11" ht="18" customHeight="1" x14ac:dyDescent="0.4">
      <c r="A28" s="183" t="s">
        <v>82</v>
      </c>
      <c r="B28" s="189" t="s">
        <v>47</v>
      </c>
      <c r="F28" s="555">
        <v>0</v>
      </c>
      <c r="G28" s="555">
        <v>0</v>
      </c>
      <c r="H28" s="556">
        <v>0</v>
      </c>
      <c r="I28" s="144">
        <v>0</v>
      </c>
      <c r="J28" s="556">
        <v>0</v>
      </c>
      <c r="K28" s="557">
        <v>0</v>
      </c>
    </row>
    <row r="29" spans="1:11" ht="18" customHeight="1" x14ac:dyDescent="0.4">
      <c r="A29" s="183" t="s">
        <v>83</v>
      </c>
      <c r="B29" s="189" t="s">
        <v>48</v>
      </c>
      <c r="F29" s="555">
        <v>24</v>
      </c>
      <c r="G29" s="555">
        <v>39</v>
      </c>
      <c r="H29" s="556">
        <v>1200</v>
      </c>
      <c r="I29" s="144">
        <v>714</v>
      </c>
      <c r="J29" s="556">
        <v>0</v>
      </c>
      <c r="K29" s="557">
        <v>1914</v>
      </c>
    </row>
    <row r="30" spans="1:11" ht="18" customHeight="1" x14ac:dyDescent="0.4">
      <c r="A30" s="183" t="s">
        <v>84</v>
      </c>
      <c r="B30" s="531" t="s">
        <v>538</v>
      </c>
      <c r="C30" s="553"/>
      <c r="D30" s="554"/>
      <c r="F30" s="555">
        <v>1</v>
      </c>
      <c r="G30" s="555">
        <v>300</v>
      </c>
      <c r="H30" s="556">
        <v>500</v>
      </c>
      <c r="I30" s="144">
        <v>297.5</v>
      </c>
      <c r="J30" s="556">
        <v>0</v>
      </c>
      <c r="K30" s="557">
        <v>797.5</v>
      </c>
    </row>
    <row r="31" spans="1:11" ht="18" customHeight="1" x14ac:dyDescent="0.4">
      <c r="A31" s="183" t="s">
        <v>133</v>
      </c>
      <c r="B31" s="531" t="s">
        <v>420</v>
      </c>
      <c r="C31" s="553"/>
      <c r="D31" s="554"/>
      <c r="F31" s="555">
        <v>24</v>
      </c>
      <c r="G31" s="555">
        <v>39</v>
      </c>
      <c r="H31" s="556">
        <v>1200</v>
      </c>
      <c r="I31" s="144">
        <v>714</v>
      </c>
      <c r="J31" s="556">
        <v>0</v>
      </c>
      <c r="K31" s="557">
        <v>1914</v>
      </c>
    </row>
    <row r="32" spans="1:11" ht="18" customHeight="1" x14ac:dyDescent="0.4">
      <c r="A32" s="183" t="s">
        <v>134</v>
      </c>
      <c r="B32" s="531" t="s">
        <v>798</v>
      </c>
      <c r="C32" s="553"/>
      <c r="D32" s="554"/>
      <c r="F32" s="555">
        <v>72</v>
      </c>
      <c r="G32" s="558" t="s">
        <v>85</v>
      </c>
      <c r="H32" s="556">
        <v>6894</v>
      </c>
      <c r="I32" s="144">
        <v>4101.9299999999994</v>
      </c>
      <c r="J32" s="556">
        <v>0</v>
      </c>
      <c r="K32" s="557">
        <v>10995.93</v>
      </c>
    </row>
    <row r="33" spans="1:11" ht="18" customHeight="1" x14ac:dyDescent="0.4">
      <c r="A33" s="183" t="s">
        <v>135</v>
      </c>
      <c r="B33" s="531">
        <v>0</v>
      </c>
      <c r="C33" s="553"/>
      <c r="D33" s="554"/>
      <c r="F33" s="555">
        <v>0</v>
      </c>
      <c r="G33" s="558" t="s">
        <v>85</v>
      </c>
      <c r="H33" s="556">
        <v>0</v>
      </c>
      <c r="I33" s="144">
        <v>0</v>
      </c>
      <c r="J33" s="556">
        <v>0</v>
      </c>
      <c r="K33" s="557">
        <v>0</v>
      </c>
    </row>
    <row r="34" spans="1:11" ht="18" customHeight="1" x14ac:dyDescent="0.4">
      <c r="A34" s="183" t="s">
        <v>136</v>
      </c>
      <c r="B34" s="531">
        <v>0</v>
      </c>
      <c r="C34" s="553"/>
      <c r="D34" s="554"/>
      <c r="F34" s="555">
        <v>0</v>
      </c>
      <c r="G34" s="558" t="s">
        <v>85</v>
      </c>
      <c r="H34" s="556">
        <v>0</v>
      </c>
      <c r="I34" s="144">
        <v>0</v>
      </c>
      <c r="J34" s="556">
        <v>0</v>
      </c>
      <c r="K34" s="557">
        <v>0</v>
      </c>
    </row>
    <row r="35" spans="1:11" ht="18" customHeight="1" x14ac:dyDescent="0.35">
      <c r="K35" s="559"/>
    </row>
    <row r="36" spans="1:11" ht="18" customHeight="1" x14ac:dyDescent="0.4">
      <c r="A36" s="120" t="s">
        <v>137</v>
      </c>
      <c r="B36" s="117" t="s">
        <v>138</v>
      </c>
      <c r="E36" s="117" t="s">
        <v>7</v>
      </c>
      <c r="F36" s="560">
        <v>597.75</v>
      </c>
      <c r="G36" s="560">
        <v>1483</v>
      </c>
      <c r="H36" s="560">
        <v>52401</v>
      </c>
      <c r="I36" s="557">
        <v>31178.595000000001</v>
      </c>
      <c r="J36" s="557">
        <v>0</v>
      </c>
      <c r="K36" s="557">
        <v>83579.595000000001</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60165.196510570109</v>
      </c>
      <c r="G40" s="555">
        <v>0</v>
      </c>
      <c r="H40" s="556">
        <v>4059877.7676000004</v>
      </c>
      <c r="I40" s="144">
        <v>2415627.2717220001</v>
      </c>
      <c r="J40" s="556">
        <v>0</v>
      </c>
      <c r="K40" s="557">
        <v>6475505.039322</v>
      </c>
    </row>
    <row r="41" spans="1:11" ht="18" customHeight="1" x14ac:dyDescent="0.4">
      <c r="A41" s="183" t="s">
        <v>88</v>
      </c>
      <c r="B41" s="956" t="s">
        <v>50</v>
      </c>
      <c r="C41" s="957"/>
      <c r="F41" s="555">
        <v>919</v>
      </c>
      <c r="G41" s="555">
        <v>76</v>
      </c>
      <c r="H41" s="556">
        <v>42274</v>
      </c>
      <c r="I41" s="144">
        <v>25153.03</v>
      </c>
      <c r="J41" s="556">
        <v>0</v>
      </c>
      <c r="K41" s="557">
        <v>67427.03</v>
      </c>
    </row>
    <row r="42" spans="1:11" ht="18" customHeight="1" x14ac:dyDescent="0.4">
      <c r="A42" s="183" t="s">
        <v>89</v>
      </c>
      <c r="B42" s="116" t="s">
        <v>11</v>
      </c>
      <c r="F42" s="555">
        <v>22092</v>
      </c>
      <c r="G42" s="555">
        <v>258</v>
      </c>
      <c r="H42" s="556">
        <v>1231505</v>
      </c>
      <c r="I42" s="144">
        <v>732745.47499999998</v>
      </c>
      <c r="J42" s="556">
        <v>0</v>
      </c>
      <c r="K42" s="557">
        <v>1964250.4750000001</v>
      </c>
    </row>
    <row r="43" spans="1:11" ht="18" customHeight="1" x14ac:dyDescent="0.4">
      <c r="A43" s="183" t="s">
        <v>90</v>
      </c>
      <c r="B43" s="141" t="s">
        <v>10</v>
      </c>
      <c r="C43" s="123"/>
      <c r="D43" s="123"/>
      <c r="F43" s="555">
        <v>0</v>
      </c>
      <c r="G43" s="555">
        <v>0</v>
      </c>
      <c r="H43" s="556">
        <v>0</v>
      </c>
      <c r="I43" s="144">
        <v>0</v>
      </c>
      <c r="J43" s="556">
        <v>0</v>
      </c>
      <c r="K43" s="557">
        <v>0</v>
      </c>
    </row>
    <row r="44" spans="1:11" ht="18" customHeight="1" x14ac:dyDescent="0.4">
      <c r="A44" s="183" t="s">
        <v>91</v>
      </c>
      <c r="B44" s="531" t="s">
        <v>799</v>
      </c>
      <c r="C44" s="553"/>
      <c r="D44" s="554"/>
      <c r="F44" s="561">
        <v>0</v>
      </c>
      <c r="G44" s="561">
        <v>0</v>
      </c>
      <c r="H44" s="556">
        <v>0</v>
      </c>
      <c r="I44" s="146">
        <v>0</v>
      </c>
      <c r="J44" s="556">
        <v>0</v>
      </c>
      <c r="K44" s="562">
        <v>0</v>
      </c>
    </row>
    <row r="45" spans="1:11" ht="18" customHeight="1" x14ac:dyDescent="0.4">
      <c r="A45" s="183" t="s">
        <v>139</v>
      </c>
      <c r="B45" s="531" t="s">
        <v>800</v>
      </c>
      <c r="C45" s="553"/>
      <c r="D45" s="554"/>
      <c r="F45" s="555">
        <v>0</v>
      </c>
      <c r="G45" s="555">
        <v>0</v>
      </c>
      <c r="H45" s="556">
        <v>0</v>
      </c>
      <c r="I45" s="144">
        <v>0</v>
      </c>
      <c r="J45" s="556">
        <v>0</v>
      </c>
      <c r="K45" s="557">
        <v>0</v>
      </c>
    </row>
    <row r="46" spans="1:11" ht="18" customHeight="1" x14ac:dyDescent="0.4">
      <c r="A46" s="183" t="s">
        <v>140</v>
      </c>
      <c r="B46" s="531">
        <v>0</v>
      </c>
      <c r="C46" s="553"/>
      <c r="D46" s="554"/>
      <c r="F46" s="555">
        <v>0</v>
      </c>
      <c r="G46" s="555">
        <v>0</v>
      </c>
      <c r="H46" s="556">
        <v>0</v>
      </c>
      <c r="I46" s="144">
        <v>0</v>
      </c>
      <c r="J46" s="556">
        <v>0</v>
      </c>
      <c r="K46" s="557">
        <v>0</v>
      </c>
    </row>
    <row r="47" spans="1:11" ht="18" customHeight="1" x14ac:dyDescent="0.4">
      <c r="A47" s="183" t="s">
        <v>141</v>
      </c>
      <c r="B47" s="531">
        <v>0</v>
      </c>
      <c r="C47" s="553"/>
      <c r="D47" s="554"/>
      <c r="F47" s="555">
        <v>0</v>
      </c>
      <c r="G47" s="555">
        <v>0</v>
      </c>
      <c r="H47" s="556">
        <v>0</v>
      </c>
      <c r="I47" s="144">
        <v>0</v>
      </c>
      <c r="J47" s="556">
        <v>0</v>
      </c>
      <c r="K47" s="557">
        <v>0</v>
      </c>
    </row>
    <row r="49" spans="1:11" ht="18" customHeight="1" x14ac:dyDescent="0.4">
      <c r="A49" s="120" t="s">
        <v>142</v>
      </c>
      <c r="B49" s="117" t="s">
        <v>143</v>
      </c>
      <c r="E49" s="117" t="s">
        <v>7</v>
      </c>
      <c r="F49" s="563">
        <v>83176.196510570109</v>
      </c>
      <c r="G49" s="563">
        <v>334</v>
      </c>
      <c r="H49" s="557">
        <v>5333656.7675999999</v>
      </c>
      <c r="I49" s="557">
        <v>3173525.776722</v>
      </c>
      <c r="J49" s="557">
        <v>0</v>
      </c>
      <c r="K49" s="557">
        <v>8507182.5443220008</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542" t="s">
        <v>696</v>
      </c>
      <c r="C53" s="310"/>
      <c r="D53" s="311"/>
      <c r="F53" s="555">
        <v>133</v>
      </c>
      <c r="G53" s="555">
        <v>194</v>
      </c>
      <c r="H53" s="556">
        <v>8292</v>
      </c>
      <c r="I53" s="144">
        <v>4933.74</v>
      </c>
      <c r="J53" s="556">
        <v>0</v>
      </c>
      <c r="K53" s="557">
        <v>13225.74</v>
      </c>
    </row>
    <row r="54" spans="1:11" ht="18" customHeight="1" x14ac:dyDescent="0.4">
      <c r="A54" s="183" t="s">
        <v>93</v>
      </c>
      <c r="B54" s="542" t="s">
        <v>697</v>
      </c>
      <c r="C54" s="310"/>
      <c r="D54" s="311"/>
      <c r="F54" s="555">
        <v>0</v>
      </c>
      <c r="G54" s="555">
        <v>0</v>
      </c>
      <c r="H54" s="556">
        <v>0</v>
      </c>
      <c r="I54" s="144">
        <v>0</v>
      </c>
      <c r="J54" s="556">
        <v>0</v>
      </c>
      <c r="K54" s="557">
        <v>0</v>
      </c>
    </row>
    <row r="55" spans="1:11" ht="18" customHeight="1" x14ac:dyDescent="0.4">
      <c r="A55" s="183" t="s">
        <v>94</v>
      </c>
      <c r="B55" s="542" t="s">
        <v>698</v>
      </c>
      <c r="C55" s="310"/>
      <c r="D55" s="311"/>
      <c r="F55" s="555">
        <v>56</v>
      </c>
      <c r="G55" s="555">
        <v>9</v>
      </c>
      <c r="H55" s="556">
        <v>2569</v>
      </c>
      <c r="I55" s="144">
        <v>1528.5549999999998</v>
      </c>
      <c r="J55" s="556">
        <v>0</v>
      </c>
      <c r="K55" s="557">
        <v>4097.5550000000003</v>
      </c>
    </row>
    <row r="56" spans="1:11" ht="18" customHeight="1" x14ac:dyDescent="0.4">
      <c r="A56" s="183" t="s">
        <v>95</v>
      </c>
      <c r="B56" s="542" t="s">
        <v>699</v>
      </c>
      <c r="C56" s="310"/>
      <c r="D56" s="311"/>
      <c r="F56" s="555">
        <v>64</v>
      </c>
      <c r="G56" s="555">
        <v>60</v>
      </c>
      <c r="H56" s="556">
        <v>22550</v>
      </c>
      <c r="I56" s="144">
        <v>13417.25</v>
      </c>
      <c r="J56" s="556">
        <v>0</v>
      </c>
      <c r="K56" s="557">
        <v>35967.25</v>
      </c>
    </row>
    <row r="57" spans="1:11" ht="18" customHeight="1" x14ac:dyDescent="0.4">
      <c r="A57" s="183" t="s">
        <v>96</v>
      </c>
      <c r="B57" s="542" t="s">
        <v>801</v>
      </c>
      <c r="C57" s="310"/>
      <c r="D57" s="311"/>
      <c r="F57" s="561">
        <v>0</v>
      </c>
      <c r="G57" s="561">
        <v>0</v>
      </c>
      <c r="H57" s="556">
        <v>0</v>
      </c>
      <c r="I57" s="146">
        <v>0</v>
      </c>
      <c r="J57" s="556">
        <v>0</v>
      </c>
      <c r="K57" s="562">
        <v>0</v>
      </c>
    </row>
    <row r="58" spans="1:11" ht="18" customHeight="1" x14ac:dyDescent="0.4">
      <c r="A58" s="183" t="s">
        <v>97</v>
      </c>
      <c r="B58" s="542" t="s">
        <v>802</v>
      </c>
      <c r="C58" s="310"/>
      <c r="D58" s="311"/>
      <c r="F58" s="555">
        <v>0</v>
      </c>
      <c r="G58" s="555">
        <v>0</v>
      </c>
      <c r="H58" s="556">
        <v>0</v>
      </c>
      <c r="I58" s="144">
        <v>0</v>
      </c>
      <c r="J58" s="556">
        <v>0</v>
      </c>
      <c r="K58" s="557">
        <v>0</v>
      </c>
    </row>
    <row r="59" spans="1:11" ht="18" customHeight="1" x14ac:dyDescent="0.4">
      <c r="A59" s="183" t="s">
        <v>98</v>
      </c>
      <c r="B59" s="542" t="s">
        <v>613</v>
      </c>
      <c r="C59" s="310"/>
      <c r="D59" s="311"/>
      <c r="F59" s="555">
        <v>0</v>
      </c>
      <c r="G59" s="555">
        <v>294</v>
      </c>
      <c r="H59" s="556">
        <v>1734.32</v>
      </c>
      <c r="I59" s="144">
        <v>1031.9204</v>
      </c>
      <c r="J59" s="556">
        <v>0</v>
      </c>
      <c r="K59" s="557">
        <v>2766.2403999999997</v>
      </c>
    </row>
    <row r="60" spans="1:11" ht="18" customHeight="1" x14ac:dyDescent="0.4">
      <c r="A60" s="183" t="s">
        <v>99</v>
      </c>
      <c r="B60" s="542" t="s">
        <v>803</v>
      </c>
      <c r="C60" s="310"/>
      <c r="D60" s="311"/>
      <c r="F60" s="555">
        <v>0</v>
      </c>
      <c r="G60" s="555">
        <v>0</v>
      </c>
      <c r="H60" s="556">
        <v>0</v>
      </c>
      <c r="I60" s="144">
        <v>0</v>
      </c>
      <c r="J60" s="556">
        <v>0</v>
      </c>
      <c r="K60" s="557">
        <v>0</v>
      </c>
    </row>
    <row r="61" spans="1:11" ht="18" customHeight="1" x14ac:dyDescent="0.4">
      <c r="A61" s="183" t="s">
        <v>100</v>
      </c>
      <c r="B61" s="542" t="s">
        <v>804</v>
      </c>
      <c r="C61" s="310"/>
      <c r="D61" s="311"/>
      <c r="F61" s="555">
        <v>32072</v>
      </c>
      <c r="G61" s="555">
        <v>6971</v>
      </c>
      <c r="H61" s="556">
        <v>1682000</v>
      </c>
      <c r="I61" s="144">
        <v>1000790</v>
      </c>
      <c r="J61" s="556">
        <v>1023000</v>
      </c>
      <c r="K61" s="557">
        <v>1659790</v>
      </c>
    </row>
    <row r="62" spans="1:11" ht="18" customHeight="1" x14ac:dyDescent="0.4">
      <c r="A62" s="183" t="s">
        <v>101</v>
      </c>
      <c r="B62" s="542">
        <v>0</v>
      </c>
      <c r="C62" s="310"/>
      <c r="D62" s="311"/>
      <c r="F62" s="555">
        <v>0</v>
      </c>
      <c r="G62" s="555">
        <v>0</v>
      </c>
      <c r="H62" s="556">
        <v>0</v>
      </c>
      <c r="I62" s="144">
        <v>0</v>
      </c>
      <c r="J62" s="556">
        <v>0</v>
      </c>
      <c r="K62" s="557">
        <v>0</v>
      </c>
    </row>
    <row r="63" spans="1:11" ht="18" customHeight="1" x14ac:dyDescent="0.4">
      <c r="A63" s="183"/>
      <c r="I63" s="140"/>
    </row>
    <row r="64" spans="1:11" ht="18" customHeight="1" x14ac:dyDescent="0.4">
      <c r="A64" s="183" t="s">
        <v>144</v>
      </c>
      <c r="B64" s="117" t="s">
        <v>145</v>
      </c>
      <c r="E64" s="117" t="s">
        <v>7</v>
      </c>
      <c r="F64" s="560">
        <v>32325</v>
      </c>
      <c r="G64" s="560">
        <v>7528</v>
      </c>
      <c r="H64" s="557">
        <v>1717145.32</v>
      </c>
      <c r="I64" s="557">
        <v>1021701.4654</v>
      </c>
      <c r="J64" s="557">
        <v>1023000</v>
      </c>
      <c r="K64" s="557">
        <v>1715846.7853999999</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55">
        <v>0</v>
      </c>
      <c r="G68" s="555">
        <v>0</v>
      </c>
      <c r="H68" s="556">
        <v>0</v>
      </c>
      <c r="I68" s="144">
        <v>0</v>
      </c>
      <c r="J68" s="556">
        <v>0</v>
      </c>
      <c r="K68" s="557">
        <v>0</v>
      </c>
    </row>
    <row r="69" spans="1:11" ht="18" customHeight="1" x14ac:dyDescent="0.4">
      <c r="A69" s="183" t="s">
        <v>104</v>
      </c>
      <c r="B69" s="116" t="s">
        <v>53</v>
      </c>
      <c r="F69" s="555">
        <v>0</v>
      </c>
      <c r="G69" s="555">
        <v>0</v>
      </c>
      <c r="H69" s="556">
        <v>0</v>
      </c>
      <c r="I69" s="144">
        <v>0</v>
      </c>
      <c r="J69" s="556">
        <v>0</v>
      </c>
      <c r="K69" s="557">
        <v>0</v>
      </c>
    </row>
    <row r="70" spans="1:11" ht="18" customHeight="1" x14ac:dyDescent="0.4">
      <c r="A70" s="183" t="s">
        <v>178</v>
      </c>
      <c r="B70" s="539">
        <v>0</v>
      </c>
      <c r="C70" s="537"/>
      <c r="D70" s="538"/>
      <c r="E70" s="117"/>
      <c r="F70" s="555">
        <v>0</v>
      </c>
      <c r="G70" s="555">
        <v>0</v>
      </c>
      <c r="H70" s="556">
        <v>0</v>
      </c>
      <c r="I70" s="144">
        <v>0</v>
      </c>
      <c r="J70" s="556">
        <v>0</v>
      </c>
      <c r="K70" s="557">
        <v>0</v>
      </c>
    </row>
    <row r="71" spans="1:11" ht="18" customHeight="1" x14ac:dyDescent="0.4">
      <c r="A71" s="183" t="s">
        <v>179</v>
      </c>
      <c r="B71" s="542">
        <v>0</v>
      </c>
      <c r="C71" s="537"/>
      <c r="D71" s="538"/>
      <c r="E71" s="117"/>
      <c r="F71" s="555">
        <v>0</v>
      </c>
      <c r="G71" s="555">
        <v>0</v>
      </c>
      <c r="H71" s="556">
        <v>0</v>
      </c>
      <c r="I71" s="144">
        <v>0</v>
      </c>
      <c r="J71" s="556">
        <v>0</v>
      </c>
      <c r="K71" s="557">
        <v>0</v>
      </c>
    </row>
    <row r="72" spans="1:11" ht="18" customHeight="1" x14ac:dyDescent="0.4">
      <c r="A72" s="183" t="s">
        <v>180</v>
      </c>
      <c r="B72" s="542">
        <v>0</v>
      </c>
      <c r="C72" s="543"/>
      <c r="D72" s="130"/>
      <c r="E72" s="117"/>
      <c r="F72" s="561">
        <v>0</v>
      </c>
      <c r="G72" s="561">
        <v>0</v>
      </c>
      <c r="H72" s="556">
        <v>0</v>
      </c>
      <c r="I72" s="146">
        <v>0</v>
      </c>
      <c r="J72" s="556">
        <v>0</v>
      </c>
      <c r="K72" s="562">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v>0</v>
      </c>
      <c r="G74" s="566">
        <v>0</v>
      </c>
      <c r="H74" s="566">
        <v>0</v>
      </c>
      <c r="I74" s="145">
        <v>0</v>
      </c>
      <c r="J74" s="566">
        <v>0</v>
      </c>
      <c r="K74" s="56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v>0</v>
      </c>
      <c r="G77" s="555">
        <v>0</v>
      </c>
      <c r="H77" s="556">
        <v>31038.54</v>
      </c>
      <c r="I77" s="144">
        <v>18467.9313</v>
      </c>
      <c r="J77" s="556">
        <v>0</v>
      </c>
      <c r="K77" s="557">
        <v>49506.471300000005</v>
      </c>
    </row>
    <row r="78" spans="1:11" ht="18" customHeight="1" x14ac:dyDescent="0.4">
      <c r="A78" s="183" t="s">
        <v>108</v>
      </c>
      <c r="B78" s="116" t="s">
        <v>55</v>
      </c>
      <c r="F78" s="555">
        <v>0</v>
      </c>
      <c r="G78" s="555">
        <v>0</v>
      </c>
      <c r="H78" s="556">
        <v>0</v>
      </c>
      <c r="I78" s="144">
        <v>0</v>
      </c>
      <c r="J78" s="556">
        <v>0</v>
      </c>
      <c r="K78" s="557">
        <v>0</v>
      </c>
    </row>
    <row r="79" spans="1:11" ht="18" customHeight="1" x14ac:dyDescent="0.4">
      <c r="A79" s="183" t="s">
        <v>109</v>
      </c>
      <c r="B79" s="116" t="s">
        <v>13</v>
      </c>
      <c r="F79" s="555">
        <v>0</v>
      </c>
      <c r="G79" s="555">
        <v>0</v>
      </c>
      <c r="H79" s="556">
        <v>35545</v>
      </c>
      <c r="I79" s="144">
        <v>21149.274999999998</v>
      </c>
      <c r="J79" s="556">
        <v>0</v>
      </c>
      <c r="K79" s="557">
        <v>56694.274999999994</v>
      </c>
    </row>
    <row r="80" spans="1:11" ht="18" customHeight="1" x14ac:dyDescent="0.4">
      <c r="A80" s="183" t="s">
        <v>110</v>
      </c>
      <c r="B80" s="116" t="s">
        <v>56</v>
      </c>
      <c r="F80" s="555">
        <v>0</v>
      </c>
      <c r="G80" s="555">
        <v>0</v>
      </c>
      <c r="H80" s="556">
        <v>0</v>
      </c>
      <c r="I80" s="144">
        <v>0</v>
      </c>
      <c r="J80" s="556">
        <v>0</v>
      </c>
      <c r="K80" s="557">
        <v>0</v>
      </c>
    </row>
    <row r="81" spans="1:11" ht="18" customHeight="1" x14ac:dyDescent="0.4">
      <c r="A81" s="183"/>
      <c r="K81" s="568"/>
    </row>
    <row r="82" spans="1:11" ht="18" customHeight="1" x14ac:dyDescent="0.4">
      <c r="A82" s="183" t="s">
        <v>148</v>
      </c>
      <c r="B82" s="117" t="s">
        <v>149</v>
      </c>
      <c r="E82" s="117" t="s">
        <v>7</v>
      </c>
      <c r="F82" s="566">
        <v>0</v>
      </c>
      <c r="G82" s="566">
        <v>0</v>
      </c>
      <c r="H82" s="567">
        <v>66583.540000000008</v>
      </c>
      <c r="I82" s="567">
        <v>39617.206299999998</v>
      </c>
      <c r="J82" s="567">
        <v>0</v>
      </c>
      <c r="K82" s="567">
        <v>106200.7463</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0</v>
      </c>
      <c r="G86" s="555">
        <v>0</v>
      </c>
      <c r="H86" s="556">
        <v>0</v>
      </c>
      <c r="I86" s="144">
        <v>0</v>
      </c>
      <c r="J86" s="556">
        <v>0</v>
      </c>
      <c r="K86" s="557">
        <v>0</v>
      </c>
    </row>
    <row r="87" spans="1:11" ht="18" customHeight="1" x14ac:dyDescent="0.4">
      <c r="A87" s="183" t="s">
        <v>114</v>
      </c>
      <c r="B87" s="116" t="s">
        <v>14</v>
      </c>
      <c r="F87" s="555">
        <v>0</v>
      </c>
      <c r="G87" s="555">
        <v>0</v>
      </c>
      <c r="H87" s="556">
        <v>0</v>
      </c>
      <c r="I87" s="144">
        <v>0</v>
      </c>
      <c r="J87" s="556">
        <v>0</v>
      </c>
      <c r="K87" s="557">
        <v>0</v>
      </c>
    </row>
    <row r="88" spans="1:11" ht="18" customHeight="1" x14ac:dyDescent="0.4">
      <c r="A88" s="183" t="s">
        <v>115</v>
      </c>
      <c r="B88" s="116" t="s">
        <v>116</v>
      </c>
      <c r="F88" s="555">
        <v>0</v>
      </c>
      <c r="G88" s="555">
        <v>0</v>
      </c>
      <c r="H88" s="556">
        <v>0</v>
      </c>
      <c r="I88" s="144">
        <v>0</v>
      </c>
      <c r="J88" s="556">
        <v>0</v>
      </c>
      <c r="K88" s="557">
        <v>0</v>
      </c>
    </row>
    <row r="89" spans="1:11" ht="18" customHeight="1" x14ac:dyDescent="0.4">
      <c r="A89" s="183" t="s">
        <v>117</v>
      </c>
      <c r="B89" s="116" t="s">
        <v>58</v>
      </c>
      <c r="F89" s="555">
        <v>0</v>
      </c>
      <c r="G89" s="555">
        <v>0</v>
      </c>
      <c r="H89" s="556">
        <v>0</v>
      </c>
      <c r="I89" s="144">
        <v>0</v>
      </c>
      <c r="J89" s="556">
        <v>0</v>
      </c>
      <c r="K89" s="557">
        <v>0</v>
      </c>
    </row>
    <row r="90" spans="1:11" ht="18" customHeight="1" x14ac:dyDescent="0.4">
      <c r="A90" s="183" t="s">
        <v>118</v>
      </c>
      <c r="B90" s="956" t="s">
        <v>59</v>
      </c>
      <c r="C90" s="957"/>
      <c r="F90" s="555">
        <v>0</v>
      </c>
      <c r="G90" s="555">
        <v>0</v>
      </c>
      <c r="H90" s="556">
        <v>0</v>
      </c>
      <c r="I90" s="144">
        <v>0</v>
      </c>
      <c r="J90" s="556">
        <v>0</v>
      </c>
      <c r="K90" s="557">
        <v>0</v>
      </c>
    </row>
    <row r="91" spans="1:11" ht="18" customHeight="1" x14ac:dyDescent="0.4">
      <c r="A91" s="183" t="s">
        <v>119</v>
      </c>
      <c r="B91" s="116" t="s">
        <v>60</v>
      </c>
      <c r="F91" s="555">
        <v>0</v>
      </c>
      <c r="G91" s="555">
        <v>0</v>
      </c>
      <c r="H91" s="556">
        <v>0</v>
      </c>
      <c r="I91" s="144">
        <v>0</v>
      </c>
      <c r="J91" s="556">
        <v>0</v>
      </c>
      <c r="K91" s="557">
        <v>0</v>
      </c>
    </row>
    <row r="92" spans="1:11" ht="18" customHeight="1" x14ac:dyDescent="0.4">
      <c r="A92" s="183" t="s">
        <v>120</v>
      </c>
      <c r="B92" s="116" t="s">
        <v>121</v>
      </c>
      <c r="F92" s="555">
        <v>0</v>
      </c>
      <c r="G92" s="555">
        <v>0</v>
      </c>
      <c r="H92" s="556">
        <v>0</v>
      </c>
      <c r="I92" s="144">
        <v>0</v>
      </c>
      <c r="J92" s="556">
        <v>0</v>
      </c>
      <c r="K92" s="557">
        <v>0</v>
      </c>
    </row>
    <row r="93" spans="1:11" ht="18" customHeight="1" x14ac:dyDescent="0.4">
      <c r="A93" s="183" t="s">
        <v>122</v>
      </c>
      <c r="B93" s="116" t="s">
        <v>123</v>
      </c>
      <c r="F93" s="555">
        <v>0</v>
      </c>
      <c r="G93" s="555">
        <v>0</v>
      </c>
      <c r="H93" s="556">
        <v>0</v>
      </c>
      <c r="I93" s="144">
        <v>0</v>
      </c>
      <c r="J93" s="556">
        <v>0</v>
      </c>
      <c r="K93" s="557">
        <v>0</v>
      </c>
    </row>
    <row r="94" spans="1:11" ht="18" customHeight="1" x14ac:dyDescent="0.4">
      <c r="A94" s="183" t="s">
        <v>124</v>
      </c>
      <c r="B94" s="539">
        <v>0</v>
      </c>
      <c r="C94" s="537"/>
      <c r="D94" s="538"/>
      <c r="F94" s="555">
        <v>0</v>
      </c>
      <c r="G94" s="555">
        <v>0</v>
      </c>
      <c r="H94" s="556">
        <v>0</v>
      </c>
      <c r="I94" s="144">
        <v>0</v>
      </c>
      <c r="J94" s="556">
        <v>0</v>
      </c>
      <c r="K94" s="557">
        <v>0</v>
      </c>
    </row>
    <row r="95" spans="1:11" ht="18" customHeight="1" x14ac:dyDescent="0.4">
      <c r="A95" s="183" t="s">
        <v>125</v>
      </c>
      <c r="B95" s="542">
        <v>0</v>
      </c>
      <c r="C95" s="537"/>
      <c r="D95" s="538"/>
      <c r="F95" s="555">
        <v>0</v>
      </c>
      <c r="G95" s="555">
        <v>0</v>
      </c>
      <c r="H95" s="556">
        <v>0</v>
      </c>
      <c r="I95" s="144">
        <v>0</v>
      </c>
      <c r="J95" s="556">
        <v>0</v>
      </c>
      <c r="K95" s="557">
        <v>0</v>
      </c>
    </row>
    <row r="96" spans="1:11" ht="18" customHeight="1" x14ac:dyDescent="0.4">
      <c r="A96" s="183" t="s">
        <v>126</v>
      </c>
      <c r="B96" s="542">
        <v>0</v>
      </c>
      <c r="C96" s="537"/>
      <c r="D96" s="538"/>
      <c r="F96" s="555">
        <v>0</v>
      </c>
      <c r="G96" s="555">
        <v>0</v>
      </c>
      <c r="H96" s="556">
        <v>0</v>
      </c>
      <c r="I96" s="144">
        <v>0</v>
      </c>
      <c r="J96" s="556">
        <v>0</v>
      </c>
      <c r="K96" s="557">
        <v>0</v>
      </c>
    </row>
    <row r="97" spans="1:12" ht="18" customHeight="1" x14ac:dyDescent="0.4">
      <c r="A97" s="183"/>
      <c r="B97" s="116"/>
    </row>
    <row r="98" spans="1:12" ht="18" customHeight="1" x14ac:dyDescent="0.4">
      <c r="A98" s="120" t="s">
        <v>150</v>
      </c>
      <c r="B98" s="117" t="s">
        <v>151</v>
      </c>
      <c r="E98" s="117" t="s">
        <v>7</v>
      </c>
      <c r="F98" s="560">
        <v>0</v>
      </c>
      <c r="G98" s="560">
        <v>0</v>
      </c>
      <c r="H98" s="560">
        <v>0</v>
      </c>
      <c r="I98" s="560">
        <v>0</v>
      </c>
      <c r="J98" s="560">
        <v>0</v>
      </c>
      <c r="K98" s="560">
        <v>0</v>
      </c>
    </row>
    <row r="99" spans="1:12" ht="18" customHeight="1" thickBot="1" x14ac:dyDescent="0.45">
      <c r="B99" s="117"/>
      <c r="F99" s="129"/>
      <c r="G99" s="129"/>
      <c r="H99" s="129"/>
      <c r="I99" s="129"/>
      <c r="J99" s="129"/>
      <c r="K99" s="129"/>
    </row>
    <row r="100" spans="1:12" ht="42.75" customHeight="1" x14ac:dyDescent="0.4">
      <c r="F100" s="122" t="s">
        <v>9</v>
      </c>
      <c r="G100" s="122" t="s">
        <v>37</v>
      </c>
      <c r="H100" s="122" t="s">
        <v>29</v>
      </c>
      <c r="I100" s="122" t="s">
        <v>30</v>
      </c>
      <c r="J100" s="122" t="s">
        <v>33</v>
      </c>
      <c r="K100" s="122" t="s">
        <v>34</v>
      </c>
    </row>
    <row r="101" spans="1:12" ht="18" customHeight="1" x14ac:dyDescent="0.4">
      <c r="A101" s="120" t="s">
        <v>130</v>
      </c>
      <c r="B101" s="117" t="s">
        <v>63</v>
      </c>
    </row>
    <row r="102" spans="1:12" ht="18" customHeight="1" x14ac:dyDescent="0.4">
      <c r="A102" s="183" t="s">
        <v>131</v>
      </c>
      <c r="B102" s="116" t="s">
        <v>152</v>
      </c>
      <c r="F102" s="555">
        <v>750</v>
      </c>
      <c r="G102" s="555">
        <v>0</v>
      </c>
      <c r="H102" s="556">
        <v>72080.384615384624</v>
      </c>
      <c r="I102" s="144">
        <v>42887.828846153847</v>
      </c>
      <c r="J102" s="556">
        <v>0</v>
      </c>
      <c r="K102" s="557">
        <v>114968.21346153847</v>
      </c>
    </row>
    <row r="103" spans="1:12" ht="18" customHeight="1" x14ac:dyDescent="0.4">
      <c r="A103" s="183" t="s">
        <v>132</v>
      </c>
      <c r="B103" s="956" t="s">
        <v>62</v>
      </c>
      <c r="C103" s="956"/>
      <c r="F103" s="555">
        <v>0</v>
      </c>
      <c r="G103" s="555">
        <v>0</v>
      </c>
      <c r="H103" s="556">
        <v>0</v>
      </c>
      <c r="I103" s="144">
        <v>0</v>
      </c>
      <c r="J103" s="556">
        <v>0</v>
      </c>
      <c r="K103" s="557">
        <v>0</v>
      </c>
    </row>
    <row r="104" spans="1:12" ht="18" customHeight="1" x14ac:dyDescent="0.4">
      <c r="A104" s="183" t="s">
        <v>128</v>
      </c>
      <c r="B104" s="539">
        <v>0</v>
      </c>
      <c r="C104" s="537"/>
      <c r="D104" s="538"/>
      <c r="F104" s="555">
        <v>0</v>
      </c>
      <c r="G104" s="555">
        <v>0</v>
      </c>
      <c r="H104" s="556">
        <v>0</v>
      </c>
      <c r="I104" s="144">
        <v>0</v>
      </c>
      <c r="J104" s="556">
        <v>0</v>
      </c>
      <c r="K104" s="557">
        <v>0</v>
      </c>
    </row>
    <row r="105" spans="1:12" ht="18" customHeight="1" x14ac:dyDescent="0.4">
      <c r="A105" s="183" t="s">
        <v>127</v>
      </c>
      <c r="B105" s="542">
        <v>0</v>
      </c>
      <c r="C105" s="537"/>
      <c r="D105" s="538"/>
      <c r="F105" s="555">
        <v>0</v>
      </c>
      <c r="G105" s="555">
        <v>0</v>
      </c>
      <c r="H105" s="556">
        <v>0</v>
      </c>
      <c r="I105" s="144">
        <v>0</v>
      </c>
      <c r="J105" s="556">
        <v>0</v>
      </c>
      <c r="K105" s="557">
        <v>0</v>
      </c>
    </row>
    <row r="106" spans="1:12" ht="18" customHeight="1" x14ac:dyDescent="0.4">
      <c r="A106" s="183" t="s">
        <v>129</v>
      </c>
      <c r="B106" s="542">
        <v>0</v>
      </c>
      <c r="C106" s="537"/>
      <c r="D106" s="538"/>
      <c r="F106" s="555">
        <v>0</v>
      </c>
      <c r="G106" s="555">
        <v>0</v>
      </c>
      <c r="H106" s="556">
        <v>0</v>
      </c>
      <c r="I106" s="144">
        <v>0</v>
      </c>
      <c r="J106" s="556">
        <v>0</v>
      </c>
      <c r="K106" s="557">
        <v>0</v>
      </c>
    </row>
    <row r="107" spans="1:12" ht="18" customHeight="1" x14ac:dyDescent="0.4">
      <c r="B107" s="117"/>
    </row>
    <row r="108" spans="1:12" s="123" customFormat="1" ht="18" customHeight="1" x14ac:dyDescent="0.4">
      <c r="A108" s="120" t="s">
        <v>153</v>
      </c>
      <c r="B108" s="153" t="s">
        <v>154</v>
      </c>
      <c r="C108" s="189"/>
      <c r="D108" s="189"/>
      <c r="E108" s="117" t="s">
        <v>7</v>
      </c>
      <c r="F108" s="560">
        <v>750</v>
      </c>
      <c r="G108" s="560">
        <v>0</v>
      </c>
      <c r="H108" s="557">
        <v>72080.384615384624</v>
      </c>
      <c r="I108" s="557">
        <v>42887.828846153847</v>
      </c>
      <c r="J108" s="557">
        <v>0</v>
      </c>
      <c r="K108" s="557">
        <v>114968.21346153847</v>
      </c>
    </row>
    <row r="109" spans="1:12" ht="18" customHeight="1" thickBot="1" x14ac:dyDescent="0.45">
      <c r="A109" s="124"/>
      <c r="B109" s="125"/>
      <c r="C109" s="126"/>
      <c r="D109" s="126"/>
      <c r="E109" s="126"/>
      <c r="F109" s="129"/>
      <c r="G109" s="129"/>
      <c r="H109" s="129"/>
      <c r="I109" s="129"/>
      <c r="J109" s="129"/>
      <c r="K109" s="129"/>
      <c r="L109" s="123"/>
    </row>
    <row r="110" spans="1:12" s="123" customFormat="1" ht="18" customHeight="1" x14ac:dyDescent="0.4">
      <c r="A110" s="120" t="s">
        <v>156</v>
      </c>
      <c r="B110" s="117" t="s">
        <v>39</v>
      </c>
      <c r="C110" s="189"/>
      <c r="D110" s="189"/>
      <c r="E110" s="189"/>
      <c r="F110" s="189"/>
      <c r="G110" s="189"/>
      <c r="H110" s="189"/>
      <c r="I110" s="189"/>
      <c r="J110" s="189"/>
      <c r="K110" s="189"/>
    </row>
    <row r="111" spans="1:12" ht="18" customHeight="1" x14ac:dyDescent="0.4">
      <c r="A111" s="120" t="s">
        <v>155</v>
      </c>
      <c r="B111" s="117" t="s">
        <v>164</v>
      </c>
      <c r="E111" s="117" t="s">
        <v>7</v>
      </c>
      <c r="F111" s="556">
        <v>1668000</v>
      </c>
    </row>
    <row r="112" spans="1:12"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0.59499999999999997</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109644000</v>
      </c>
    </row>
    <row r="118" spans="1:6" ht="18" customHeight="1" x14ac:dyDescent="0.4">
      <c r="A118" s="183" t="s">
        <v>173</v>
      </c>
      <c r="B118" s="189" t="s">
        <v>18</v>
      </c>
      <c r="F118" s="556">
        <v>2013000</v>
      </c>
    </row>
    <row r="119" spans="1:6" ht="18" customHeight="1" x14ac:dyDescent="0.4">
      <c r="A119" s="183" t="s">
        <v>174</v>
      </c>
      <c r="B119" s="117" t="s">
        <v>19</v>
      </c>
      <c r="F119" s="567">
        <v>111657000</v>
      </c>
    </row>
    <row r="120" spans="1:6" ht="18" customHeight="1" x14ac:dyDescent="0.4">
      <c r="A120" s="183"/>
      <c r="B120" s="117"/>
    </row>
    <row r="121" spans="1:6" ht="18" customHeight="1" x14ac:dyDescent="0.4">
      <c r="A121" s="183" t="s">
        <v>167</v>
      </c>
      <c r="B121" s="117" t="s">
        <v>36</v>
      </c>
      <c r="F121" s="556">
        <v>109077000</v>
      </c>
    </row>
    <row r="122" spans="1:6" ht="18" customHeight="1" x14ac:dyDescent="0.4">
      <c r="A122" s="183"/>
    </row>
    <row r="123" spans="1:6" ht="18" customHeight="1" x14ac:dyDescent="0.4">
      <c r="A123" s="183" t="s">
        <v>175</v>
      </c>
      <c r="B123" s="117" t="s">
        <v>20</v>
      </c>
      <c r="F123" s="556">
        <v>2580000</v>
      </c>
    </row>
    <row r="124" spans="1:6" ht="18" customHeight="1" x14ac:dyDescent="0.4">
      <c r="A124" s="183"/>
    </row>
    <row r="125" spans="1:6" ht="18" customHeight="1" x14ac:dyDescent="0.4">
      <c r="A125" s="183" t="s">
        <v>176</v>
      </c>
      <c r="B125" s="117" t="s">
        <v>21</v>
      </c>
      <c r="F125" s="556">
        <v>2108000</v>
      </c>
    </row>
    <row r="126" spans="1:6" ht="18" customHeight="1" x14ac:dyDescent="0.4">
      <c r="A126" s="183"/>
    </row>
    <row r="127" spans="1:6" ht="18" customHeight="1" x14ac:dyDescent="0.4">
      <c r="A127" s="183" t="s">
        <v>177</v>
      </c>
      <c r="B127" s="117" t="s">
        <v>22</v>
      </c>
      <c r="F127" s="556">
        <v>4688000</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v>0</v>
      </c>
      <c r="G131" s="555">
        <v>0</v>
      </c>
      <c r="H131" s="556">
        <v>0</v>
      </c>
      <c r="I131" s="144">
        <v>0</v>
      </c>
      <c r="J131" s="556">
        <v>0</v>
      </c>
      <c r="K131" s="557">
        <v>0</v>
      </c>
    </row>
    <row r="132" spans="1:11" ht="18" customHeight="1" x14ac:dyDescent="0.4">
      <c r="A132" s="183" t="s">
        <v>159</v>
      </c>
      <c r="B132" s="189" t="s">
        <v>25</v>
      </c>
      <c r="F132" s="555">
        <v>0</v>
      </c>
      <c r="G132" s="555">
        <v>0</v>
      </c>
      <c r="H132" s="556">
        <v>0</v>
      </c>
      <c r="I132" s="144">
        <v>0</v>
      </c>
      <c r="J132" s="556">
        <v>0</v>
      </c>
      <c r="K132" s="557">
        <v>0</v>
      </c>
    </row>
    <row r="133" spans="1:11" ht="18" customHeight="1" x14ac:dyDescent="0.4">
      <c r="A133" s="183" t="s">
        <v>160</v>
      </c>
      <c r="B133" s="539">
        <v>0</v>
      </c>
      <c r="C133" s="532"/>
      <c r="D133" s="533"/>
      <c r="F133" s="555">
        <v>0</v>
      </c>
      <c r="G133" s="555">
        <v>0</v>
      </c>
      <c r="H133" s="556">
        <v>0</v>
      </c>
      <c r="I133" s="144">
        <v>0</v>
      </c>
      <c r="J133" s="556">
        <v>0</v>
      </c>
      <c r="K133" s="557">
        <v>0</v>
      </c>
    </row>
    <row r="134" spans="1:11" ht="18" customHeight="1" x14ac:dyDescent="0.4">
      <c r="A134" s="183" t="s">
        <v>161</v>
      </c>
      <c r="B134" s="542">
        <v>0</v>
      </c>
      <c r="C134" s="532"/>
      <c r="D134" s="533"/>
      <c r="F134" s="555">
        <v>0</v>
      </c>
      <c r="G134" s="555">
        <v>0</v>
      </c>
      <c r="H134" s="556">
        <v>0</v>
      </c>
      <c r="I134" s="144">
        <v>0</v>
      </c>
      <c r="J134" s="556">
        <v>0</v>
      </c>
      <c r="K134" s="557">
        <v>0</v>
      </c>
    </row>
    <row r="135" spans="1:11" ht="18" customHeight="1" x14ac:dyDescent="0.4">
      <c r="A135" s="183" t="s">
        <v>162</v>
      </c>
      <c r="B135" s="542">
        <v>0</v>
      </c>
      <c r="C135" s="532"/>
      <c r="D135" s="533"/>
      <c r="F135" s="555">
        <v>0</v>
      </c>
      <c r="G135" s="555">
        <v>0</v>
      </c>
      <c r="H135" s="556">
        <v>0</v>
      </c>
      <c r="I135" s="144">
        <v>0</v>
      </c>
      <c r="J135" s="556">
        <v>0</v>
      </c>
      <c r="K135" s="557">
        <v>0</v>
      </c>
    </row>
    <row r="136" spans="1:11" ht="18" customHeight="1" x14ac:dyDescent="0.4">
      <c r="A136" s="120"/>
    </row>
    <row r="137" spans="1:11" ht="18" customHeight="1" x14ac:dyDescent="0.4">
      <c r="A137" s="120" t="s">
        <v>163</v>
      </c>
      <c r="B137" s="117" t="s">
        <v>27</v>
      </c>
      <c r="F137" s="560">
        <v>0</v>
      </c>
      <c r="G137" s="560">
        <v>0</v>
      </c>
      <c r="H137" s="557">
        <v>0</v>
      </c>
      <c r="I137" s="557">
        <v>0</v>
      </c>
      <c r="J137" s="557">
        <v>0</v>
      </c>
      <c r="K137" s="557">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v>597.75</v>
      </c>
      <c r="G141" s="136">
        <v>1483</v>
      </c>
      <c r="H141" s="136">
        <v>52401</v>
      </c>
      <c r="I141" s="136">
        <v>31178.595000000001</v>
      </c>
      <c r="J141" s="136">
        <v>0</v>
      </c>
      <c r="K141" s="136">
        <v>83579.595000000001</v>
      </c>
    </row>
    <row r="142" spans="1:11" ht="18" customHeight="1" x14ac:dyDescent="0.4">
      <c r="A142" s="183" t="s">
        <v>142</v>
      </c>
      <c r="B142" s="117" t="s">
        <v>65</v>
      </c>
      <c r="F142" s="136">
        <v>83176.196510570109</v>
      </c>
      <c r="G142" s="136">
        <v>334</v>
      </c>
      <c r="H142" s="136">
        <v>5333656.7675999999</v>
      </c>
      <c r="I142" s="136">
        <v>3173525.776722</v>
      </c>
      <c r="J142" s="136">
        <v>0</v>
      </c>
      <c r="K142" s="136">
        <v>8507182.5443220008</v>
      </c>
    </row>
    <row r="143" spans="1:11" ht="18" customHeight="1" x14ac:dyDescent="0.4">
      <c r="A143" s="183" t="s">
        <v>144</v>
      </c>
      <c r="B143" s="117" t="s">
        <v>66</v>
      </c>
      <c r="F143" s="136">
        <v>32325</v>
      </c>
      <c r="G143" s="136">
        <v>7528</v>
      </c>
      <c r="H143" s="136">
        <v>1717145.32</v>
      </c>
      <c r="I143" s="136">
        <v>1021701.4654</v>
      </c>
      <c r="J143" s="136">
        <v>1023000</v>
      </c>
      <c r="K143" s="136">
        <v>1715846.7853999999</v>
      </c>
    </row>
    <row r="144" spans="1:11" ht="18" customHeight="1" x14ac:dyDescent="0.4">
      <c r="A144" s="183" t="s">
        <v>146</v>
      </c>
      <c r="B144" s="117" t="s">
        <v>67</v>
      </c>
      <c r="F144" s="136">
        <v>0</v>
      </c>
      <c r="G144" s="136">
        <v>0</v>
      </c>
      <c r="H144" s="136">
        <v>0</v>
      </c>
      <c r="I144" s="136">
        <v>0</v>
      </c>
      <c r="J144" s="136">
        <v>0</v>
      </c>
      <c r="K144" s="136">
        <v>0</v>
      </c>
    </row>
    <row r="145" spans="1:12" ht="18" customHeight="1" x14ac:dyDescent="0.4">
      <c r="A145" s="183" t="s">
        <v>148</v>
      </c>
      <c r="B145" s="117" t="s">
        <v>68</v>
      </c>
      <c r="F145" s="136">
        <v>0</v>
      </c>
      <c r="G145" s="136">
        <v>0</v>
      </c>
      <c r="H145" s="136">
        <v>66583.540000000008</v>
      </c>
      <c r="I145" s="136">
        <v>39617.206299999998</v>
      </c>
      <c r="J145" s="136">
        <v>0</v>
      </c>
      <c r="K145" s="136">
        <v>106200.7463</v>
      </c>
    </row>
    <row r="146" spans="1:12" ht="18" customHeight="1" x14ac:dyDescent="0.4">
      <c r="A146" s="183" t="s">
        <v>150</v>
      </c>
      <c r="B146" s="117" t="s">
        <v>69</v>
      </c>
      <c r="F146" s="136">
        <v>0</v>
      </c>
      <c r="G146" s="136">
        <v>0</v>
      </c>
      <c r="H146" s="136">
        <v>0</v>
      </c>
      <c r="I146" s="136">
        <v>0</v>
      </c>
      <c r="J146" s="136">
        <v>0</v>
      </c>
      <c r="K146" s="136">
        <v>0</v>
      </c>
    </row>
    <row r="147" spans="1:12" ht="18" customHeight="1" x14ac:dyDescent="0.4">
      <c r="A147" s="183" t="s">
        <v>153</v>
      </c>
      <c r="B147" s="117" t="s">
        <v>61</v>
      </c>
      <c r="F147" s="560">
        <v>750</v>
      </c>
      <c r="G147" s="560">
        <v>8</v>
      </c>
      <c r="H147" s="560">
        <v>72080.384615384624</v>
      </c>
      <c r="I147" s="560">
        <v>42887.828846153847</v>
      </c>
      <c r="J147" s="560">
        <v>0</v>
      </c>
      <c r="K147" s="560">
        <v>114968.21346153847</v>
      </c>
    </row>
    <row r="148" spans="1:12" ht="18" customHeight="1" x14ac:dyDescent="0.4">
      <c r="A148" s="183" t="s">
        <v>155</v>
      </c>
      <c r="B148" s="117" t="s">
        <v>70</v>
      </c>
      <c r="F148" s="137" t="s">
        <v>73</v>
      </c>
      <c r="G148" s="137" t="s">
        <v>73</v>
      </c>
      <c r="H148" s="138" t="s">
        <v>73</v>
      </c>
      <c r="I148" s="138" t="s">
        <v>73</v>
      </c>
      <c r="J148" s="138" t="s">
        <v>73</v>
      </c>
      <c r="K148" s="286">
        <v>1668000</v>
      </c>
    </row>
    <row r="149" spans="1:12" ht="18" customHeight="1" x14ac:dyDescent="0.4">
      <c r="A149" s="183" t="s">
        <v>163</v>
      </c>
      <c r="B149" s="117" t="s">
        <v>71</v>
      </c>
      <c r="F149" s="560">
        <v>0</v>
      </c>
      <c r="G149" s="560">
        <v>0</v>
      </c>
      <c r="H149" s="560">
        <v>0</v>
      </c>
      <c r="I149" s="560">
        <v>0</v>
      </c>
      <c r="J149" s="560">
        <v>0</v>
      </c>
      <c r="K149" s="560">
        <v>0</v>
      </c>
    </row>
    <row r="150" spans="1:12" ht="18" customHeight="1" x14ac:dyDescent="0.4">
      <c r="A150" s="183" t="s">
        <v>185</v>
      </c>
      <c r="B150" s="117" t="s">
        <v>186</v>
      </c>
      <c r="F150" s="137" t="s">
        <v>73</v>
      </c>
      <c r="G150" s="137" t="s">
        <v>73</v>
      </c>
      <c r="H150" s="560">
        <v>2485833</v>
      </c>
      <c r="I150" s="560">
        <v>0</v>
      </c>
      <c r="J150" s="560">
        <v>2066540</v>
      </c>
      <c r="K150" s="560">
        <v>419293</v>
      </c>
    </row>
    <row r="151" spans="1:12" ht="18" customHeight="1" x14ac:dyDescent="0.4">
      <c r="B151" s="117"/>
      <c r="F151" s="142"/>
      <c r="G151" s="142"/>
      <c r="H151" s="142"/>
      <c r="I151" s="142"/>
      <c r="J151" s="142"/>
      <c r="K151" s="142"/>
    </row>
    <row r="152" spans="1:12" ht="18" customHeight="1" x14ac:dyDescent="0.4">
      <c r="A152" s="120" t="s">
        <v>165</v>
      </c>
      <c r="B152" s="117" t="s">
        <v>26</v>
      </c>
      <c r="F152" s="143">
        <v>116848.94651057011</v>
      </c>
      <c r="G152" s="143">
        <v>9353</v>
      </c>
      <c r="H152" s="143">
        <v>9727700.0122153852</v>
      </c>
      <c r="I152" s="143">
        <v>4308910.8722681534</v>
      </c>
      <c r="J152" s="143">
        <v>3089540</v>
      </c>
      <c r="K152" s="143">
        <v>12615070.88448354</v>
      </c>
      <c r="L152" s="255"/>
    </row>
    <row r="154" spans="1:12" ht="18" customHeight="1" x14ac:dyDescent="0.4">
      <c r="A154" s="120" t="s">
        <v>168</v>
      </c>
      <c r="B154" s="117" t="s">
        <v>28</v>
      </c>
      <c r="F154" s="571">
        <v>0.11565289551861108</v>
      </c>
    </row>
    <row r="155" spans="1:12" ht="18" customHeight="1" x14ac:dyDescent="0.4">
      <c r="A155" s="120" t="s">
        <v>169</v>
      </c>
      <c r="B155" s="117" t="s">
        <v>72</v>
      </c>
      <c r="F155" s="571">
        <v>2.6909280896935881</v>
      </c>
      <c r="G155" s="117"/>
    </row>
    <row r="156" spans="1:12" ht="18" customHeight="1" x14ac:dyDescent="0.4">
      <c r="G156" s="117"/>
    </row>
  </sheetData>
  <mergeCells count="12">
    <mergeCell ref="B52:C52"/>
    <mergeCell ref="B90:C90"/>
    <mergeCell ref="B103:C103"/>
    <mergeCell ref="B41:C41"/>
    <mergeCell ref="C10:G10"/>
    <mergeCell ref="C11:G11"/>
    <mergeCell ref="B13:H13"/>
    <mergeCell ref="D2:H2"/>
    <mergeCell ref="C5:G5"/>
    <mergeCell ref="C6:G6"/>
    <mergeCell ref="C7:G7"/>
    <mergeCell ref="C9:G9"/>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P162"/>
  <sheetViews>
    <sheetView showGridLines="0" zoomScale="80" zoomScaleNormal="80" zoomScaleSheetLayoutView="10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2" width="7" style="258" bestFit="1" customWidth="1"/>
    <col min="13" max="13" width="23.59765625" style="189" customWidth="1"/>
    <col min="14" max="14" width="15.1328125" style="248" bestFit="1" customWidth="1"/>
    <col min="15" max="15" width="13.86328125" style="248" bestFit="1" customWidth="1"/>
    <col min="16" max="16" width="104.1328125" style="189" bestFit="1" customWidth="1"/>
    <col min="17" max="16384" width="9" style="189"/>
  </cols>
  <sheetData>
    <row r="1" spans="1:16" ht="18" customHeight="1" x14ac:dyDescent="0.4">
      <c r="C1" s="119"/>
      <c r="D1" s="118"/>
      <c r="E1" s="119"/>
      <c r="F1" s="119"/>
      <c r="G1" s="119"/>
      <c r="H1" s="119"/>
      <c r="I1" s="119"/>
      <c r="J1" s="119"/>
      <c r="K1" s="119"/>
    </row>
    <row r="2" spans="1:16" ht="18" customHeight="1" x14ac:dyDescent="0.4">
      <c r="D2" s="949" t="s">
        <v>700</v>
      </c>
      <c r="E2" s="950"/>
      <c r="F2" s="950"/>
      <c r="G2" s="950"/>
      <c r="H2" s="950"/>
    </row>
    <row r="3" spans="1:16" ht="18" customHeight="1" x14ac:dyDescent="0.4">
      <c r="B3" s="117" t="s">
        <v>0</v>
      </c>
    </row>
    <row r="5" spans="1:16" ht="18" customHeight="1" x14ac:dyDescent="0.4">
      <c r="B5" s="183" t="s">
        <v>40</v>
      </c>
      <c r="C5" s="961" t="s">
        <v>437</v>
      </c>
      <c r="D5" s="962"/>
      <c r="E5" s="962"/>
      <c r="F5" s="962"/>
      <c r="G5" s="963"/>
    </row>
    <row r="6" spans="1:16" ht="18" customHeight="1" x14ac:dyDescent="0.4">
      <c r="B6" s="183" t="s">
        <v>3</v>
      </c>
      <c r="C6" s="1058">
        <v>210056</v>
      </c>
      <c r="D6" s="1059"/>
      <c r="E6" s="1059"/>
      <c r="F6" s="1059"/>
      <c r="G6" s="1060"/>
      <c r="H6" s="186"/>
      <c r="M6" s="186"/>
      <c r="N6" s="287"/>
      <c r="O6" s="287"/>
      <c r="P6" s="186"/>
    </row>
    <row r="7" spans="1:16" ht="18" customHeight="1" x14ac:dyDescent="0.45">
      <c r="B7" s="183" t="s">
        <v>4</v>
      </c>
      <c r="C7" s="967">
        <v>1710</v>
      </c>
      <c r="D7" s="968"/>
      <c r="E7" s="968"/>
      <c r="F7" s="968"/>
      <c r="G7" s="969"/>
      <c r="H7" s="186"/>
      <c r="M7" s="184"/>
      <c r="N7" s="288"/>
      <c r="O7" s="289"/>
      <c r="P7" s="290"/>
    </row>
    <row r="8" spans="1:16" ht="18" customHeight="1" x14ac:dyDescent="0.45">
      <c r="M8" s="184"/>
      <c r="N8" s="288"/>
      <c r="O8" s="289"/>
      <c r="P8" s="290"/>
    </row>
    <row r="9" spans="1:16" ht="18" customHeight="1" x14ac:dyDescent="0.4">
      <c r="B9" s="183" t="s">
        <v>1</v>
      </c>
      <c r="C9" s="961" t="s">
        <v>469</v>
      </c>
      <c r="D9" s="962"/>
      <c r="E9" s="962"/>
      <c r="F9" s="962"/>
      <c r="G9" s="963"/>
      <c r="M9" s="186"/>
      <c r="N9" s="287"/>
      <c r="O9" s="287"/>
      <c r="P9" s="186"/>
    </row>
    <row r="10" spans="1:16" ht="18" customHeight="1" x14ac:dyDescent="0.4">
      <c r="B10" s="183" t="s">
        <v>2</v>
      </c>
      <c r="C10" s="970" t="s">
        <v>470</v>
      </c>
      <c r="D10" s="971"/>
      <c r="E10" s="971"/>
      <c r="F10" s="971"/>
      <c r="G10" s="972"/>
      <c r="M10" s="186"/>
      <c r="N10" s="287"/>
      <c r="O10" s="287"/>
      <c r="P10" s="186"/>
    </row>
    <row r="11" spans="1:16" ht="18" customHeight="1" x14ac:dyDescent="0.45">
      <c r="B11" s="183" t="s">
        <v>32</v>
      </c>
      <c r="C11" s="1072" t="s">
        <v>598</v>
      </c>
      <c r="D11" s="955"/>
      <c r="E11" s="955"/>
      <c r="F11" s="955"/>
      <c r="G11" s="955"/>
    </row>
    <row r="12" spans="1:16" ht="18" customHeight="1" x14ac:dyDescent="0.4">
      <c r="B12" s="183"/>
      <c r="C12" s="183"/>
      <c r="D12" s="183"/>
      <c r="E12" s="183"/>
      <c r="F12" s="183"/>
      <c r="G12" s="183"/>
    </row>
    <row r="13" spans="1:16" ht="24.6" customHeight="1" x14ac:dyDescent="0.35">
      <c r="B13" s="958"/>
      <c r="C13" s="959"/>
      <c r="D13" s="959"/>
      <c r="E13" s="959"/>
      <c r="F13" s="959"/>
      <c r="G13" s="959"/>
      <c r="H13" s="960"/>
      <c r="I13" s="119"/>
    </row>
    <row r="14" spans="1:16" ht="18" customHeight="1" x14ac:dyDescent="0.35">
      <c r="B14" s="121"/>
    </row>
    <row r="15" spans="1:16" ht="18" customHeight="1" x14ac:dyDescent="0.35">
      <c r="B15" s="121"/>
    </row>
    <row r="16" spans="1:16" ht="45" customHeight="1" x14ac:dyDescent="0.4">
      <c r="A16" s="118" t="s">
        <v>181</v>
      </c>
      <c r="B16" s="119"/>
      <c r="C16" s="119"/>
      <c r="D16" s="119"/>
      <c r="E16" s="119"/>
      <c r="F16" s="122" t="s">
        <v>9</v>
      </c>
      <c r="G16" s="122" t="s">
        <v>37</v>
      </c>
      <c r="H16" s="122" t="s">
        <v>29</v>
      </c>
      <c r="I16" s="122" t="s">
        <v>30</v>
      </c>
      <c r="J16" s="122" t="s">
        <v>33</v>
      </c>
      <c r="K16" s="122" t="s">
        <v>34</v>
      </c>
    </row>
    <row r="17" spans="1:13" ht="18" customHeight="1" x14ac:dyDescent="0.4">
      <c r="A17" s="120" t="s">
        <v>184</v>
      </c>
      <c r="B17" s="117" t="s">
        <v>182</v>
      </c>
    </row>
    <row r="18" spans="1:13" ht="18" customHeight="1" x14ac:dyDescent="0.4">
      <c r="A18" s="183" t="s">
        <v>185</v>
      </c>
      <c r="B18" s="116" t="s">
        <v>183</v>
      </c>
      <c r="F18" s="555" t="s">
        <v>73</v>
      </c>
      <c r="G18" s="555" t="s">
        <v>73</v>
      </c>
      <c r="H18" s="556">
        <v>5152197.0822299551</v>
      </c>
      <c r="I18" s="144">
        <v>0</v>
      </c>
      <c r="J18" s="556">
        <v>4283161.3627909729</v>
      </c>
      <c r="K18" s="557">
        <v>869035.7194389822</v>
      </c>
      <c r="M18" s="186"/>
    </row>
    <row r="19" spans="1:13" ht="45" customHeight="1" x14ac:dyDescent="0.4">
      <c r="A19" s="118" t="s">
        <v>8</v>
      </c>
      <c r="B19" s="119"/>
      <c r="C19" s="119"/>
      <c r="D19" s="119"/>
      <c r="E19" s="119"/>
      <c r="F19" s="122" t="s">
        <v>9</v>
      </c>
      <c r="G19" s="122" t="s">
        <v>37</v>
      </c>
      <c r="H19" s="122" t="s">
        <v>29</v>
      </c>
      <c r="I19" s="122" t="s">
        <v>30</v>
      </c>
      <c r="J19" s="122" t="s">
        <v>33</v>
      </c>
      <c r="K19" s="122" t="s">
        <v>34</v>
      </c>
    </row>
    <row r="20" spans="1:13" ht="18" customHeight="1" x14ac:dyDescent="0.4">
      <c r="A20" s="120" t="s">
        <v>74</v>
      </c>
      <c r="B20" s="117" t="s">
        <v>41</v>
      </c>
    </row>
    <row r="21" spans="1:13" ht="18" customHeight="1" x14ac:dyDescent="0.4">
      <c r="A21" s="183" t="s">
        <v>75</v>
      </c>
      <c r="B21" s="116" t="s">
        <v>42</v>
      </c>
      <c r="F21" s="555">
        <v>259</v>
      </c>
      <c r="G21" s="555">
        <v>1058</v>
      </c>
      <c r="H21" s="556">
        <v>18585</v>
      </c>
      <c r="I21" s="556">
        <v>3249</v>
      </c>
      <c r="J21" s="556">
        <v>0</v>
      </c>
      <c r="K21" s="556">
        <v>21834</v>
      </c>
    </row>
    <row r="22" spans="1:13" ht="18" customHeight="1" x14ac:dyDescent="0.4">
      <c r="A22" s="183" t="s">
        <v>76</v>
      </c>
      <c r="B22" s="189" t="s">
        <v>6</v>
      </c>
      <c r="F22" s="555">
        <v>214.5</v>
      </c>
      <c r="G22" s="555">
        <v>2965</v>
      </c>
      <c r="H22" s="556">
        <v>20644</v>
      </c>
      <c r="I22" s="556">
        <v>15896</v>
      </c>
      <c r="J22" s="556">
        <v>0</v>
      </c>
      <c r="K22" s="556">
        <v>36540</v>
      </c>
    </row>
    <row r="23" spans="1:13" ht="18" customHeight="1" x14ac:dyDescent="0.4">
      <c r="A23" s="183" t="s">
        <v>77</v>
      </c>
      <c r="B23" s="189" t="s">
        <v>43</v>
      </c>
      <c r="F23" s="555">
        <v>2451</v>
      </c>
      <c r="G23" s="555">
        <v>17983</v>
      </c>
      <c r="H23" s="556">
        <v>91347</v>
      </c>
      <c r="I23" s="556">
        <v>58442</v>
      </c>
      <c r="J23" s="556">
        <v>31835</v>
      </c>
      <c r="K23" s="556">
        <v>117954</v>
      </c>
    </row>
    <row r="24" spans="1:13" ht="18" customHeight="1" x14ac:dyDescent="0.4">
      <c r="A24" s="183" t="s">
        <v>78</v>
      </c>
      <c r="B24" s="189" t="s">
        <v>44</v>
      </c>
      <c r="F24" s="555">
        <v>1920.5</v>
      </c>
      <c r="G24" s="555">
        <v>0</v>
      </c>
      <c r="H24" s="556">
        <v>111739</v>
      </c>
      <c r="I24" s="556">
        <v>81756</v>
      </c>
      <c r="J24" s="556">
        <v>540</v>
      </c>
      <c r="K24" s="556">
        <v>192955</v>
      </c>
    </row>
    <row r="25" spans="1:13" ht="18" customHeight="1" x14ac:dyDescent="0.4">
      <c r="A25" s="183" t="s">
        <v>79</v>
      </c>
      <c r="B25" s="189" t="s">
        <v>5</v>
      </c>
      <c r="F25" s="555">
        <v>8117.25</v>
      </c>
      <c r="G25" s="555">
        <v>47279</v>
      </c>
      <c r="H25" s="556">
        <v>472338</v>
      </c>
      <c r="I25" s="556">
        <v>360099</v>
      </c>
      <c r="J25" s="556">
        <v>291867</v>
      </c>
      <c r="K25" s="556">
        <v>540570</v>
      </c>
    </row>
    <row r="26" spans="1:13" ht="18" customHeight="1" x14ac:dyDescent="0.4">
      <c r="A26" s="183" t="s">
        <v>80</v>
      </c>
      <c r="B26" s="189" t="s">
        <v>45</v>
      </c>
      <c r="F26" s="555">
        <v>0</v>
      </c>
      <c r="G26" s="555">
        <v>0</v>
      </c>
      <c r="H26" s="556">
        <v>500</v>
      </c>
      <c r="I26" s="556">
        <v>0</v>
      </c>
      <c r="J26" s="556">
        <v>0</v>
      </c>
      <c r="K26" s="556">
        <v>500</v>
      </c>
    </row>
    <row r="27" spans="1:13" ht="18" customHeight="1" x14ac:dyDescent="0.4">
      <c r="A27" s="183" t="s">
        <v>81</v>
      </c>
      <c r="B27" s="189" t="s">
        <v>46</v>
      </c>
      <c r="F27" s="555">
        <v>0</v>
      </c>
      <c r="G27" s="555">
        <v>0</v>
      </c>
      <c r="H27" s="556">
        <v>0</v>
      </c>
      <c r="I27" s="556">
        <v>0</v>
      </c>
      <c r="J27" s="556">
        <v>0</v>
      </c>
      <c r="K27" s="556">
        <v>0</v>
      </c>
    </row>
    <row r="28" spans="1:13" ht="18" customHeight="1" x14ac:dyDescent="0.4">
      <c r="A28" s="183" t="s">
        <v>82</v>
      </c>
      <c r="B28" s="189" t="s">
        <v>47</v>
      </c>
      <c r="F28" s="555"/>
      <c r="G28" s="555"/>
      <c r="H28" s="556"/>
      <c r="I28" s="556"/>
      <c r="J28" s="556"/>
      <c r="K28" s="556"/>
    </row>
    <row r="29" spans="1:13" ht="18" customHeight="1" x14ac:dyDescent="0.4">
      <c r="A29" s="183" t="s">
        <v>83</v>
      </c>
      <c r="B29" s="189" t="s">
        <v>48</v>
      </c>
      <c r="F29" s="555">
        <v>110706</v>
      </c>
      <c r="G29" s="555">
        <v>34918</v>
      </c>
      <c r="H29" s="556">
        <v>485411</v>
      </c>
      <c r="I29" s="556">
        <v>199294</v>
      </c>
      <c r="J29" s="556">
        <v>0</v>
      </c>
      <c r="K29" s="556">
        <v>684705</v>
      </c>
    </row>
    <row r="30" spans="1:13" ht="18" customHeight="1" x14ac:dyDescent="0.45">
      <c r="A30" s="183" t="s">
        <v>84</v>
      </c>
      <c r="B30" s="1069" t="s">
        <v>233</v>
      </c>
      <c r="C30" s="1070"/>
      <c r="D30" s="1071"/>
      <c r="F30" s="555">
        <v>0</v>
      </c>
      <c r="G30" s="555">
        <v>0</v>
      </c>
      <c r="H30" s="556">
        <v>0</v>
      </c>
      <c r="I30" s="556">
        <v>0</v>
      </c>
      <c r="J30" s="556">
        <v>0</v>
      </c>
      <c r="K30" s="556">
        <v>0</v>
      </c>
    </row>
    <row r="31" spans="1:13" ht="18" customHeight="1" x14ac:dyDescent="0.4">
      <c r="A31" s="183" t="s">
        <v>133</v>
      </c>
      <c r="B31" s="951"/>
      <c r="C31" s="952"/>
      <c r="D31" s="953"/>
      <c r="F31" s="555"/>
      <c r="G31" s="555"/>
      <c r="H31" s="556"/>
      <c r="I31" s="144"/>
      <c r="J31" s="556"/>
      <c r="K31" s="557"/>
    </row>
    <row r="32" spans="1:13" ht="18" customHeight="1" x14ac:dyDescent="0.4">
      <c r="A32" s="183" t="s">
        <v>134</v>
      </c>
      <c r="B32" s="531"/>
      <c r="C32" s="532"/>
      <c r="D32" s="533"/>
      <c r="F32" s="555"/>
      <c r="G32" s="558"/>
      <c r="H32" s="556"/>
      <c r="I32" s="144"/>
      <c r="J32" s="556"/>
      <c r="K32" s="557"/>
    </row>
    <row r="33" spans="1:11" ht="18" customHeight="1" x14ac:dyDescent="0.4">
      <c r="A33" s="183" t="s">
        <v>135</v>
      </c>
      <c r="B33" s="531"/>
      <c r="C33" s="532"/>
      <c r="D33" s="533"/>
      <c r="F33" s="555"/>
      <c r="G33" s="558"/>
      <c r="H33" s="556"/>
      <c r="I33" s="144"/>
      <c r="J33" s="556"/>
      <c r="K33" s="557"/>
    </row>
    <row r="34" spans="1:11" ht="18" customHeight="1" x14ac:dyDescent="0.4">
      <c r="A34" s="183" t="s">
        <v>136</v>
      </c>
      <c r="B34" s="951"/>
      <c r="C34" s="952"/>
      <c r="D34" s="953"/>
      <c r="F34" s="555"/>
      <c r="G34" s="558"/>
      <c r="H34" s="556"/>
      <c r="I34" s="144"/>
      <c r="J34" s="556"/>
      <c r="K34" s="557"/>
    </row>
    <row r="35" spans="1:11" ht="18" customHeight="1" x14ac:dyDescent="0.35">
      <c r="K35" s="559"/>
    </row>
    <row r="36" spans="1:11" ht="18" customHeight="1" x14ac:dyDescent="0.4">
      <c r="A36" s="120" t="s">
        <v>137</v>
      </c>
      <c r="B36" s="117" t="s">
        <v>138</v>
      </c>
      <c r="E36" s="117" t="s">
        <v>7</v>
      </c>
      <c r="F36" s="560">
        <v>123668.25</v>
      </c>
      <c r="G36" s="560">
        <v>104203</v>
      </c>
      <c r="H36" s="560">
        <v>1200564</v>
      </c>
      <c r="I36" s="557">
        <v>718736</v>
      </c>
      <c r="J36" s="557">
        <v>324242</v>
      </c>
      <c r="K36" s="557">
        <v>1595058</v>
      </c>
    </row>
    <row r="37" spans="1:11" ht="18" customHeight="1" thickBot="1" x14ac:dyDescent="0.45">
      <c r="B37" s="117"/>
      <c r="F37" s="127"/>
      <c r="G37" s="127"/>
      <c r="H37" s="127"/>
      <c r="I37" s="127"/>
      <c r="J37" s="127"/>
      <c r="K37" s="127"/>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77444</v>
      </c>
      <c r="G40" s="555">
        <v>0</v>
      </c>
      <c r="H40" s="556">
        <v>4776192</v>
      </c>
      <c r="I40" s="556">
        <v>3677668</v>
      </c>
      <c r="J40" s="556">
        <v>0</v>
      </c>
      <c r="K40" s="556">
        <v>8453860</v>
      </c>
    </row>
    <row r="41" spans="1:11" ht="18" customHeight="1" x14ac:dyDescent="0.4">
      <c r="A41" s="183" t="s">
        <v>88</v>
      </c>
      <c r="B41" s="956" t="s">
        <v>50</v>
      </c>
      <c r="C41" s="957"/>
      <c r="F41" s="555">
        <v>23627</v>
      </c>
      <c r="G41" s="555">
        <v>13252</v>
      </c>
      <c r="H41" s="556">
        <v>1067333</v>
      </c>
      <c r="I41" s="556">
        <v>821846</v>
      </c>
      <c r="J41" s="556">
        <v>400</v>
      </c>
      <c r="K41" s="556">
        <v>1888779</v>
      </c>
    </row>
    <row r="42" spans="1:11" ht="18" customHeight="1" x14ac:dyDescent="0.4">
      <c r="A42" s="183" t="s">
        <v>89</v>
      </c>
      <c r="B42" s="116" t="s">
        <v>11</v>
      </c>
      <c r="F42" s="555">
        <v>0</v>
      </c>
      <c r="G42" s="555">
        <v>0</v>
      </c>
      <c r="H42" s="556">
        <v>0</v>
      </c>
      <c r="I42" s="556">
        <v>0</v>
      </c>
      <c r="J42" s="556">
        <v>0</v>
      </c>
      <c r="K42" s="556">
        <v>0</v>
      </c>
    </row>
    <row r="43" spans="1:11" ht="18" customHeight="1" x14ac:dyDescent="0.4">
      <c r="A43" s="183" t="s">
        <v>90</v>
      </c>
      <c r="B43" s="141" t="s">
        <v>10</v>
      </c>
      <c r="C43" s="123"/>
      <c r="D43" s="123"/>
      <c r="F43" s="555"/>
      <c r="G43" s="555"/>
      <c r="H43" s="556"/>
      <c r="I43" s="144"/>
      <c r="J43" s="556"/>
      <c r="K43" s="557"/>
    </row>
    <row r="44" spans="1:11" ht="18" customHeight="1" x14ac:dyDescent="0.4">
      <c r="A44" s="183" t="s">
        <v>91</v>
      </c>
      <c r="B44" s="951"/>
      <c r="C44" s="952"/>
      <c r="D44" s="953"/>
      <c r="F44" s="561"/>
      <c r="G44" s="561"/>
      <c r="H44" s="561"/>
      <c r="I44" s="146"/>
      <c r="J44" s="561"/>
      <c r="K44" s="562"/>
    </row>
    <row r="45" spans="1:11" ht="18" customHeight="1" x14ac:dyDescent="0.4">
      <c r="A45" s="183" t="s">
        <v>139</v>
      </c>
      <c r="B45" s="951"/>
      <c r="C45" s="952"/>
      <c r="D45" s="953"/>
      <c r="F45" s="555"/>
      <c r="G45" s="555"/>
      <c r="H45" s="556"/>
      <c r="I45" s="144"/>
      <c r="J45" s="556"/>
      <c r="K45" s="557"/>
    </row>
    <row r="46" spans="1:11" ht="18" customHeight="1" x14ac:dyDescent="0.4">
      <c r="A46" s="183" t="s">
        <v>140</v>
      </c>
      <c r="B46" s="951"/>
      <c r="C46" s="952"/>
      <c r="D46" s="953"/>
      <c r="F46" s="555"/>
      <c r="G46" s="555"/>
      <c r="H46" s="556"/>
      <c r="I46" s="144"/>
      <c r="J46" s="556"/>
      <c r="K46" s="557"/>
    </row>
    <row r="47" spans="1:11" ht="18" customHeight="1" x14ac:dyDescent="0.4">
      <c r="A47" s="183" t="s">
        <v>141</v>
      </c>
      <c r="B47" s="951"/>
      <c r="C47" s="952"/>
      <c r="D47" s="953"/>
      <c r="F47" s="555"/>
      <c r="G47" s="555"/>
      <c r="H47" s="556"/>
      <c r="I47" s="144"/>
      <c r="J47" s="556"/>
      <c r="K47" s="557"/>
    </row>
    <row r="49" spans="1:13" ht="18" customHeight="1" x14ac:dyDescent="0.4">
      <c r="A49" s="120" t="s">
        <v>142</v>
      </c>
      <c r="B49" s="117" t="s">
        <v>143</v>
      </c>
      <c r="E49" s="117" t="s">
        <v>7</v>
      </c>
      <c r="F49" s="633">
        <v>101071</v>
      </c>
      <c r="G49" s="633">
        <v>13252</v>
      </c>
      <c r="H49" s="557">
        <v>5843525</v>
      </c>
      <c r="I49" s="557">
        <v>4499514</v>
      </c>
      <c r="J49" s="557">
        <v>400</v>
      </c>
      <c r="K49" s="557">
        <v>10342639</v>
      </c>
    </row>
    <row r="50" spans="1:13" ht="18" customHeight="1" thickBot="1" x14ac:dyDescent="0.4">
      <c r="G50" s="129"/>
      <c r="H50" s="129"/>
      <c r="I50" s="129"/>
      <c r="J50" s="129"/>
      <c r="K50" s="129"/>
    </row>
    <row r="51" spans="1:13" ht="42.75" customHeight="1" x14ac:dyDescent="0.4">
      <c r="F51" s="122" t="s">
        <v>9</v>
      </c>
      <c r="G51" s="122" t="s">
        <v>37</v>
      </c>
      <c r="H51" s="122" t="s">
        <v>29</v>
      </c>
      <c r="I51" s="122" t="s">
        <v>30</v>
      </c>
      <c r="J51" s="122" t="s">
        <v>33</v>
      </c>
      <c r="K51" s="122" t="s">
        <v>34</v>
      </c>
    </row>
    <row r="52" spans="1:13" ht="18" customHeight="1" x14ac:dyDescent="0.4">
      <c r="A52" s="120" t="s">
        <v>92</v>
      </c>
      <c r="B52" s="976" t="s">
        <v>38</v>
      </c>
      <c r="C52" s="977"/>
    </row>
    <row r="53" spans="1:13" ht="18" customHeight="1" x14ac:dyDescent="0.4">
      <c r="A53" s="183" t="s">
        <v>51</v>
      </c>
      <c r="B53" s="536" t="s">
        <v>233</v>
      </c>
      <c r="C53" s="537"/>
      <c r="D53" s="538"/>
      <c r="F53" s="555">
        <v>0</v>
      </c>
      <c r="G53" s="555">
        <v>0</v>
      </c>
      <c r="H53" s="555">
        <v>4622764</v>
      </c>
      <c r="I53" s="555">
        <v>0</v>
      </c>
      <c r="J53" s="555">
        <v>2837593</v>
      </c>
      <c r="K53" s="555">
        <v>1785171</v>
      </c>
    </row>
    <row r="54" spans="1:13" ht="18" customHeight="1" x14ac:dyDescent="0.4">
      <c r="A54" s="183" t="s">
        <v>475</v>
      </c>
      <c r="B54" s="980" t="s">
        <v>431</v>
      </c>
      <c r="C54" s="974"/>
      <c r="D54" s="975"/>
      <c r="F54" s="555">
        <v>0</v>
      </c>
      <c r="G54" s="555">
        <v>0</v>
      </c>
      <c r="H54" s="555">
        <v>0</v>
      </c>
      <c r="I54" s="555">
        <v>0</v>
      </c>
      <c r="J54" s="555">
        <v>0</v>
      </c>
      <c r="K54" s="555">
        <v>0</v>
      </c>
      <c r="M54" s="185"/>
    </row>
    <row r="55" spans="1:13" ht="18" customHeight="1" x14ac:dyDescent="0.4">
      <c r="A55" s="183" t="s">
        <v>476</v>
      </c>
      <c r="B55" s="980" t="s">
        <v>599</v>
      </c>
      <c r="C55" s="974"/>
      <c r="D55" s="975"/>
      <c r="F55" s="555">
        <v>0</v>
      </c>
      <c r="G55" s="555">
        <v>0</v>
      </c>
      <c r="H55" s="555">
        <v>0</v>
      </c>
      <c r="I55" s="555">
        <v>0</v>
      </c>
      <c r="J55" s="555">
        <v>0</v>
      </c>
      <c r="K55" s="555">
        <v>0</v>
      </c>
    </row>
    <row r="56" spans="1:13" ht="18" customHeight="1" x14ac:dyDescent="0.4">
      <c r="A56" s="183" t="s">
        <v>95</v>
      </c>
      <c r="B56" s="544" t="s">
        <v>600</v>
      </c>
      <c r="C56" s="543"/>
      <c r="D56" s="538"/>
      <c r="F56" s="555"/>
      <c r="G56" s="555"/>
      <c r="H56" s="556"/>
      <c r="I56" s="144"/>
      <c r="J56" s="556"/>
      <c r="K56" s="557"/>
    </row>
    <row r="57" spans="1:13" ht="18" customHeight="1" x14ac:dyDescent="0.4">
      <c r="A57" s="183" t="s">
        <v>96</v>
      </c>
      <c r="B57" s="536" t="s">
        <v>334</v>
      </c>
      <c r="C57" s="537"/>
      <c r="D57" s="538"/>
      <c r="F57" s="555"/>
      <c r="G57" s="555"/>
      <c r="H57" s="556"/>
      <c r="I57" s="144"/>
      <c r="J57" s="556"/>
      <c r="K57" s="557"/>
    </row>
    <row r="58" spans="1:13" ht="18" customHeight="1" x14ac:dyDescent="0.4">
      <c r="A58" s="183" t="s">
        <v>97</v>
      </c>
      <c r="B58" s="536"/>
      <c r="C58" s="537"/>
      <c r="D58" s="538"/>
      <c r="F58" s="555"/>
      <c r="G58" s="555"/>
      <c r="H58" s="556"/>
      <c r="I58" s="144"/>
      <c r="J58" s="556"/>
      <c r="K58" s="557"/>
    </row>
    <row r="59" spans="1:13" ht="18" customHeight="1" x14ac:dyDescent="0.4">
      <c r="A59" s="183" t="s">
        <v>98</v>
      </c>
      <c r="B59" s="536"/>
      <c r="C59" s="537"/>
      <c r="D59" s="538"/>
      <c r="F59" s="555"/>
      <c r="G59" s="555"/>
      <c r="H59" s="556"/>
      <c r="I59" s="144"/>
      <c r="J59" s="556"/>
      <c r="K59" s="557"/>
    </row>
    <row r="60" spans="1:13" ht="18" customHeight="1" x14ac:dyDescent="0.4">
      <c r="A60" s="183" t="s">
        <v>99</v>
      </c>
      <c r="B60" s="536" t="s">
        <v>432</v>
      </c>
      <c r="C60" s="537"/>
      <c r="D60" s="538"/>
      <c r="F60" s="555"/>
      <c r="G60" s="555"/>
      <c r="H60" s="556"/>
      <c r="I60" s="144"/>
      <c r="J60" s="556"/>
      <c r="K60" s="557"/>
    </row>
    <row r="61" spans="1:13" ht="18" customHeight="1" x14ac:dyDescent="0.4">
      <c r="A61" s="183" t="s">
        <v>100</v>
      </c>
      <c r="B61" s="536"/>
      <c r="C61" s="537"/>
      <c r="D61" s="538"/>
      <c r="F61" s="555"/>
      <c r="G61" s="555"/>
      <c r="H61" s="556"/>
      <c r="I61" s="144"/>
      <c r="J61" s="556"/>
      <c r="K61" s="557"/>
    </row>
    <row r="62" spans="1:13" ht="18" customHeight="1" x14ac:dyDescent="0.4">
      <c r="A62" s="183" t="s">
        <v>101</v>
      </c>
      <c r="B62" s="536"/>
      <c r="C62" s="537"/>
      <c r="D62" s="538"/>
      <c r="F62" s="555"/>
      <c r="G62" s="555"/>
      <c r="H62" s="556"/>
      <c r="I62" s="144"/>
      <c r="J62" s="556"/>
      <c r="K62" s="557"/>
    </row>
    <row r="63" spans="1:13" ht="18" customHeight="1" x14ac:dyDescent="0.4">
      <c r="A63" s="183"/>
      <c r="I63" s="140"/>
    </row>
    <row r="64" spans="1:13" ht="18" customHeight="1" x14ac:dyDescent="0.4">
      <c r="A64" s="183" t="s">
        <v>144</v>
      </c>
      <c r="B64" s="117" t="s">
        <v>145</v>
      </c>
      <c r="E64" s="117" t="s">
        <v>7</v>
      </c>
      <c r="F64" s="560">
        <v>0</v>
      </c>
      <c r="G64" s="560">
        <v>0</v>
      </c>
      <c r="H64" s="557">
        <v>4622764</v>
      </c>
      <c r="I64" s="557">
        <v>0</v>
      </c>
      <c r="J64" s="557">
        <v>2837593</v>
      </c>
      <c r="K64" s="557">
        <v>1785171</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250</v>
      </c>
      <c r="B68" s="536" t="s">
        <v>52</v>
      </c>
      <c r="C68" s="537"/>
      <c r="D68" s="538"/>
      <c r="F68" s="564">
        <v>0</v>
      </c>
      <c r="G68" s="840">
        <v>0</v>
      </c>
      <c r="H68" s="697">
        <v>0</v>
      </c>
      <c r="I68" s="697">
        <v>0</v>
      </c>
      <c r="J68" s="697">
        <v>0</v>
      </c>
      <c r="K68" s="697">
        <v>0</v>
      </c>
    </row>
    <row r="69" spans="1:11" ht="18" customHeight="1" x14ac:dyDescent="0.4">
      <c r="A69" s="183" t="s">
        <v>320</v>
      </c>
      <c r="B69" s="536" t="s">
        <v>474</v>
      </c>
      <c r="C69" s="537"/>
      <c r="D69" s="538"/>
      <c r="F69" s="564">
        <v>0</v>
      </c>
      <c r="G69" s="840">
        <v>0</v>
      </c>
      <c r="H69" s="697">
        <v>0</v>
      </c>
      <c r="I69" s="697">
        <v>0</v>
      </c>
      <c r="J69" s="697">
        <v>0</v>
      </c>
      <c r="K69" s="697">
        <v>0</v>
      </c>
    </row>
    <row r="70" spans="1:11" ht="18" customHeight="1" x14ac:dyDescent="0.4">
      <c r="A70" s="183" t="s">
        <v>178</v>
      </c>
      <c r="B70" s="536"/>
      <c r="C70" s="537"/>
      <c r="D70" s="538"/>
      <c r="E70" s="117"/>
      <c r="F70" s="131"/>
      <c r="G70" s="131"/>
      <c r="H70" s="144"/>
      <c r="I70" s="144"/>
      <c r="J70" s="144"/>
      <c r="K70" s="557"/>
    </row>
    <row r="71" spans="1:11" ht="18" customHeight="1" x14ac:dyDescent="0.4">
      <c r="A71" s="183" t="s">
        <v>179</v>
      </c>
      <c r="B71" s="536"/>
      <c r="C71" s="537"/>
      <c r="D71" s="538"/>
      <c r="E71" s="117"/>
      <c r="F71" s="131"/>
      <c r="G71" s="131"/>
      <c r="H71" s="132"/>
      <c r="I71" s="144"/>
      <c r="J71" s="132"/>
      <c r="K71" s="557"/>
    </row>
    <row r="72" spans="1:11" ht="18" customHeight="1" x14ac:dyDescent="0.4">
      <c r="A72" s="183" t="s">
        <v>180</v>
      </c>
      <c r="B72" s="544"/>
      <c r="C72" s="543"/>
      <c r="D72" s="130"/>
      <c r="E72" s="117"/>
      <c r="F72" s="555"/>
      <c r="G72" s="555"/>
      <c r="H72" s="556"/>
      <c r="I72" s="144"/>
      <c r="J72" s="556"/>
      <c r="K72" s="557"/>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v>0</v>
      </c>
      <c r="G74" s="566">
        <v>0</v>
      </c>
      <c r="H74" s="144">
        <v>0</v>
      </c>
      <c r="I74" s="144">
        <v>0</v>
      </c>
      <c r="J74" s="144">
        <v>0</v>
      </c>
      <c r="K74" s="55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v>0</v>
      </c>
      <c r="G77" s="555">
        <v>0</v>
      </c>
      <c r="H77" s="555">
        <v>30628</v>
      </c>
      <c r="I77" s="555">
        <v>0</v>
      </c>
      <c r="J77" s="555">
        <v>0</v>
      </c>
      <c r="K77" s="555">
        <v>30628</v>
      </c>
    </row>
    <row r="78" spans="1:11" ht="18" customHeight="1" x14ac:dyDescent="0.4">
      <c r="A78" s="183" t="s">
        <v>108</v>
      </c>
      <c r="B78" s="116" t="s">
        <v>55</v>
      </c>
      <c r="F78" s="555"/>
      <c r="G78" s="555"/>
      <c r="H78" s="555"/>
      <c r="I78" s="555"/>
      <c r="J78" s="555"/>
      <c r="K78" s="555"/>
    </row>
    <row r="79" spans="1:11" ht="18" customHeight="1" x14ac:dyDescent="0.4">
      <c r="A79" s="183" t="s">
        <v>109</v>
      </c>
      <c r="B79" s="116" t="s">
        <v>13</v>
      </c>
      <c r="F79" s="555">
        <v>46</v>
      </c>
      <c r="G79" s="555">
        <v>275</v>
      </c>
      <c r="H79" s="555">
        <v>2823</v>
      </c>
      <c r="I79" s="555">
        <v>0</v>
      </c>
      <c r="J79" s="555">
        <v>0</v>
      </c>
      <c r="K79" s="555">
        <v>2823</v>
      </c>
    </row>
    <row r="80" spans="1:11" ht="18" customHeight="1" x14ac:dyDescent="0.4">
      <c r="A80" s="183" t="s">
        <v>110</v>
      </c>
      <c r="B80" s="116" t="s">
        <v>56</v>
      </c>
      <c r="F80" s="555"/>
      <c r="G80" s="555"/>
      <c r="H80" s="556"/>
      <c r="I80" s="144"/>
      <c r="J80" s="556"/>
      <c r="K80" s="557"/>
    </row>
    <row r="81" spans="1:11" ht="18" customHeight="1" x14ac:dyDescent="0.4">
      <c r="A81" s="183"/>
      <c r="K81" s="568"/>
    </row>
    <row r="82" spans="1:11" ht="18" customHeight="1" x14ac:dyDescent="0.4">
      <c r="A82" s="183" t="s">
        <v>148</v>
      </c>
      <c r="B82" s="117" t="s">
        <v>149</v>
      </c>
      <c r="E82" s="117" t="s">
        <v>7</v>
      </c>
      <c r="F82" s="566">
        <v>46</v>
      </c>
      <c r="G82" s="566">
        <v>275</v>
      </c>
      <c r="H82" s="567">
        <v>33451</v>
      </c>
      <c r="I82" s="567">
        <v>0</v>
      </c>
      <c r="J82" s="567">
        <v>0</v>
      </c>
      <c r="K82" s="567">
        <v>33451</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0</v>
      </c>
      <c r="G86" s="555">
        <v>0</v>
      </c>
      <c r="H86" s="555">
        <v>8100</v>
      </c>
      <c r="I86" s="555">
        <v>0</v>
      </c>
      <c r="J86" s="555">
        <v>0</v>
      </c>
      <c r="K86" s="555">
        <v>8100</v>
      </c>
    </row>
    <row r="87" spans="1:11" ht="18" customHeight="1" x14ac:dyDescent="0.4">
      <c r="A87" s="183" t="s">
        <v>114</v>
      </c>
      <c r="B87" s="116" t="s">
        <v>14</v>
      </c>
      <c r="F87" s="555"/>
      <c r="G87" s="555"/>
      <c r="H87" s="556"/>
      <c r="I87" s="144"/>
      <c r="J87" s="556"/>
      <c r="K87" s="557"/>
    </row>
    <row r="88" spans="1:11" ht="18" customHeight="1" x14ac:dyDescent="0.4">
      <c r="A88" s="183" t="s">
        <v>115</v>
      </c>
      <c r="B88" s="116" t="s">
        <v>116</v>
      </c>
      <c r="F88" s="555">
        <v>33730</v>
      </c>
      <c r="G88" s="555">
        <v>0</v>
      </c>
      <c r="H88" s="555">
        <v>713184</v>
      </c>
      <c r="I88" s="555">
        <v>234046</v>
      </c>
      <c r="J88" s="555">
        <v>590098</v>
      </c>
      <c r="K88" s="555">
        <v>357132</v>
      </c>
    </row>
    <row r="89" spans="1:11" ht="18" customHeight="1" x14ac:dyDescent="0.4">
      <c r="A89" s="183" t="s">
        <v>117</v>
      </c>
      <c r="B89" s="116" t="s">
        <v>58</v>
      </c>
      <c r="F89" s="555"/>
      <c r="G89" s="555"/>
      <c r="H89" s="556"/>
      <c r="I89" s="144"/>
      <c r="J89" s="556"/>
      <c r="K89" s="557"/>
    </row>
    <row r="90" spans="1:11" ht="18" customHeight="1" x14ac:dyDescent="0.4">
      <c r="A90" s="183" t="s">
        <v>118</v>
      </c>
      <c r="B90" s="956" t="s">
        <v>59</v>
      </c>
      <c r="C90" s="957"/>
      <c r="F90" s="555"/>
      <c r="G90" s="555"/>
      <c r="H90" s="556"/>
      <c r="I90" s="144"/>
      <c r="J90" s="556"/>
      <c r="K90" s="557"/>
    </row>
    <row r="91" spans="1:11" ht="18" customHeight="1" x14ac:dyDescent="0.4">
      <c r="A91" s="183" t="s">
        <v>119</v>
      </c>
      <c r="B91" s="116" t="s">
        <v>60</v>
      </c>
      <c r="F91" s="555"/>
      <c r="G91" s="555"/>
      <c r="H91" s="556"/>
      <c r="I91" s="144"/>
      <c r="J91" s="556"/>
      <c r="K91" s="557"/>
    </row>
    <row r="92" spans="1:11" ht="18" customHeight="1" x14ac:dyDescent="0.4">
      <c r="A92" s="183" t="s">
        <v>120</v>
      </c>
      <c r="B92" s="116" t="s">
        <v>121</v>
      </c>
      <c r="F92" s="134">
        <v>0</v>
      </c>
      <c r="G92" s="134">
        <v>0</v>
      </c>
      <c r="H92" s="134">
        <v>26386</v>
      </c>
      <c r="I92" s="134">
        <v>0</v>
      </c>
      <c r="J92" s="134">
        <v>0</v>
      </c>
      <c r="K92" s="134">
        <v>26386</v>
      </c>
    </row>
    <row r="93" spans="1:11" ht="18" customHeight="1" x14ac:dyDescent="0.4">
      <c r="A93" s="183" t="s">
        <v>122</v>
      </c>
      <c r="B93" s="116" t="s">
        <v>123</v>
      </c>
      <c r="F93" s="134">
        <v>158</v>
      </c>
      <c r="G93" s="134">
        <v>120</v>
      </c>
      <c r="H93" s="134">
        <v>13359</v>
      </c>
      <c r="I93" s="134">
        <v>0</v>
      </c>
      <c r="J93" s="134">
        <v>0</v>
      </c>
      <c r="K93" s="134">
        <v>13359</v>
      </c>
    </row>
    <row r="94" spans="1:11" ht="18" customHeight="1" x14ac:dyDescent="0.4">
      <c r="A94" s="183" t="s">
        <v>124</v>
      </c>
      <c r="B94" s="980"/>
      <c r="C94" s="974"/>
      <c r="D94" s="975"/>
      <c r="F94" s="555"/>
      <c r="G94" s="555"/>
      <c r="H94" s="556"/>
      <c r="I94" s="144"/>
      <c r="J94" s="556"/>
      <c r="K94" s="557"/>
    </row>
    <row r="95" spans="1:11" ht="18" customHeight="1" x14ac:dyDescent="0.4">
      <c r="A95" s="183" t="s">
        <v>125</v>
      </c>
      <c r="B95" s="980"/>
      <c r="C95" s="974"/>
      <c r="D95" s="975"/>
      <c r="F95" s="555"/>
      <c r="G95" s="555"/>
      <c r="H95" s="556"/>
      <c r="I95" s="144"/>
      <c r="J95" s="556"/>
      <c r="K95" s="557"/>
    </row>
    <row r="96" spans="1:11" ht="18" customHeight="1" x14ac:dyDescent="0.4">
      <c r="A96" s="183" t="s">
        <v>126</v>
      </c>
      <c r="B96" s="980"/>
      <c r="C96" s="974"/>
      <c r="D96" s="975"/>
      <c r="F96" s="555"/>
      <c r="G96" s="555"/>
      <c r="H96" s="556"/>
      <c r="I96" s="144"/>
      <c r="J96" s="556"/>
      <c r="K96" s="557"/>
    </row>
    <row r="97" spans="1:16" ht="18" customHeight="1" x14ac:dyDescent="0.4">
      <c r="A97" s="183"/>
      <c r="B97" s="116"/>
    </row>
    <row r="98" spans="1:16" ht="18" customHeight="1" x14ac:dyDescent="0.4">
      <c r="A98" s="120" t="s">
        <v>150</v>
      </c>
      <c r="B98" s="117" t="s">
        <v>151</v>
      </c>
      <c r="E98" s="117" t="s">
        <v>7</v>
      </c>
      <c r="F98" s="560">
        <v>33888</v>
      </c>
      <c r="G98" s="560">
        <v>120</v>
      </c>
      <c r="H98" s="560">
        <v>761029</v>
      </c>
      <c r="I98" s="560">
        <v>234046</v>
      </c>
      <c r="J98" s="560">
        <v>590098</v>
      </c>
      <c r="K98" s="560">
        <v>404977</v>
      </c>
    </row>
    <row r="99" spans="1:16" ht="18" customHeight="1" thickBot="1" x14ac:dyDescent="0.45">
      <c r="B99" s="117"/>
      <c r="F99" s="129"/>
      <c r="G99" s="129"/>
      <c r="H99" s="129"/>
      <c r="I99" s="129"/>
      <c r="J99" s="129"/>
      <c r="K99" s="129"/>
    </row>
    <row r="100" spans="1:16" ht="42.75" customHeight="1" x14ac:dyDescent="0.4">
      <c r="F100" s="122" t="s">
        <v>9</v>
      </c>
      <c r="G100" s="122" t="s">
        <v>37</v>
      </c>
      <c r="H100" s="122" t="s">
        <v>29</v>
      </c>
      <c r="I100" s="122" t="s">
        <v>30</v>
      </c>
      <c r="J100" s="122" t="s">
        <v>33</v>
      </c>
      <c r="K100" s="122" t="s">
        <v>34</v>
      </c>
    </row>
    <row r="101" spans="1:16" ht="18" customHeight="1" x14ac:dyDescent="0.4">
      <c r="A101" s="120" t="s">
        <v>130</v>
      </c>
      <c r="B101" s="117" t="s">
        <v>63</v>
      </c>
    </row>
    <row r="102" spans="1:16" ht="18" customHeight="1" x14ac:dyDescent="0.4">
      <c r="A102" s="183" t="s">
        <v>131</v>
      </c>
      <c r="B102" s="116" t="s">
        <v>152</v>
      </c>
      <c r="F102" s="555">
        <v>1520</v>
      </c>
      <c r="G102" s="555">
        <v>0</v>
      </c>
      <c r="H102" s="555">
        <v>120978</v>
      </c>
      <c r="I102" s="555">
        <v>53793</v>
      </c>
      <c r="J102" s="555">
        <v>0</v>
      </c>
      <c r="K102" s="555">
        <v>174771</v>
      </c>
    </row>
    <row r="103" spans="1:16" ht="18" customHeight="1" x14ac:dyDescent="0.4">
      <c r="A103" s="183" t="s">
        <v>132</v>
      </c>
      <c r="B103" s="956" t="s">
        <v>62</v>
      </c>
      <c r="C103" s="956"/>
      <c r="F103" s="555"/>
      <c r="G103" s="555"/>
      <c r="H103" s="556"/>
      <c r="I103" s="144"/>
      <c r="J103" s="556"/>
      <c r="K103" s="557"/>
    </row>
    <row r="104" spans="1:16" ht="18" customHeight="1" x14ac:dyDescent="0.4">
      <c r="A104" s="183" t="s">
        <v>128</v>
      </c>
      <c r="B104" s="980"/>
      <c r="C104" s="974"/>
      <c r="D104" s="975"/>
      <c r="F104" s="555"/>
      <c r="G104" s="555"/>
      <c r="H104" s="556"/>
      <c r="I104" s="144"/>
      <c r="J104" s="556"/>
      <c r="K104" s="557"/>
    </row>
    <row r="105" spans="1:16" ht="18" customHeight="1" x14ac:dyDescent="0.4">
      <c r="A105" s="183" t="s">
        <v>127</v>
      </c>
      <c r="B105" s="980"/>
      <c r="C105" s="974"/>
      <c r="D105" s="975"/>
      <c r="F105" s="555"/>
      <c r="G105" s="555"/>
      <c r="H105" s="556"/>
      <c r="I105" s="144"/>
      <c r="J105" s="556"/>
      <c r="K105" s="557"/>
    </row>
    <row r="106" spans="1:16" ht="18" customHeight="1" x14ac:dyDescent="0.4">
      <c r="A106" s="183" t="s">
        <v>129</v>
      </c>
      <c r="B106" s="980"/>
      <c r="C106" s="974"/>
      <c r="D106" s="975"/>
      <c r="F106" s="555"/>
      <c r="G106" s="555"/>
      <c r="H106" s="556"/>
      <c r="I106" s="144"/>
      <c r="J106" s="556"/>
      <c r="K106" s="557"/>
    </row>
    <row r="107" spans="1:16" ht="18" customHeight="1" x14ac:dyDescent="0.4">
      <c r="B107" s="117"/>
    </row>
    <row r="108" spans="1:16" s="123" customFormat="1" ht="18" customHeight="1" x14ac:dyDescent="0.4">
      <c r="A108" s="120" t="s">
        <v>153</v>
      </c>
      <c r="B108" s="153" t="s">
        <v>154</v>
      </c>
      <c r="C108" s="189"/>
      <c r="D108" s="189"/>
      <c r="E108" s="117" t="s">
        <v>7</v>
      </c>
      <c r="F108" s="560">
        <v>1520</v>
      </c>
      <c r="G108" s="560">
        <v>0</v>
      </c>
      <c r="H108" s="557">
        <v>120978</v>
      </c>
      <c r="I108" s="557">
        <v>53793</v>
      </c>
      <c r="J108" s="557">
        <v>0</v>
      </c>
      <c r="K108" s="557">
        <v>174771</v>
      </c>
      <c r="L108" s="291"/>
      <c r="N108" s="292"/>
      <c r="O108" s="292"/>
    </row>
    <row r="109" spans="1:16" s="123" customFormat="1" ht="18" customHeight="1" thickBot="1" x14ac:dyDescent="0.45">
      <c r="A109" s="124"/>
      <c r="B109" s="125"/>
      <c r="C109" s="126"/>
      <c r="D109" s="126"/>
      <c r="E109" s="126"/>
      <c r="F109" s="129"/>
      <c r="G109" s="129"/>
      <c r="H109" s="129"/>
      <c r="I109" s="129"/>
      <c r="J109" s="129"/>
      <c r="K109" s="129"/>
      <c r="L109" s="291"/>
      <c r="N109" s="292"/>
      <c r="O109" s="292"/>
    </row>
    <row r="110" spans="1:16" s="123" customFormat="1" ht="18" customHeight="1" x14ac:dyDescent="0.4">
      <c r="A110" s="120" t="s">
        <v>156</v>
      </c>
      <c r="B110" s="117" t="s">
        <v>39</v>
      </c>
      <c r="C110" s="189"/>
      <c r="D110" s="189"/>
      <c r="E110" s="189"/>
      <c r="G110" s="186"/>
      <c r="H110" s="189"/>
      <c r="I110" s="189"/>
      <c r="J110" s="189"/>
      <c r="K110" s="189"/>
      <c r="L110" s="291"/>
      <c r="N110" s="293"/>
      <c r="O110" s="293"/>
      <c r="P110" s="184"/>
    </row>
    <row r="111" spans="1:16" ht="13.15" x14ac:dyDescent="0.4">
      <c r="A111" s="120" t="s">
        <v>155</v>
      </c>
      <c r="B111" s="117" t="s">
        <v>164</v>
      </c>
      <c r="E111" s="117" t="s">
        <v>7</v>
      </c>
      <c r="F111" s="572">
        <v>6085945.0099999998</v>
      </c>
      <c r="G111" s="186"/>
      <c r="N111" s="294"/>
      <c r="O111" s="295"/>
      <c r="P111" s="296"/>
    </row>
    <row r="112" spans="1:16" ht="13.15" x14ac:dyDescent="0.4">
      <c r="B112" s="117"/>
      <c r="E112" s="117"/>
      <c r="F112" s="184"/>
      <c r="G112" s="186"/>
      <c r="N112" s="294"/>
      <c r="O112" s="295"/>
      <c r="P112" s="296"/>
    </row>
    <row r="113" spans="1:16" ht="13.15" x14ac:dyDescent="0.4">
      <c r="A113" s="120"/>
      <c r="B113" s="117" t="s">
        <v>15</v>
      </c>
      <c r="G113" s="186"/>
      <c r="N113" s="294"/>
      <c r="O113" s="295"/>
      <c r="P113" s="296"/>
    </row>
    <row r="114" spans="1:16" ht="13.15" x14ac:dyDescent="0.4">
      <c r="A114" s="183" t="s">
        <v>171</v>
      </c>
      <c r="B114" s="116" t="s">
        <v>35</v>
      </c>
      <c r="F114" s="698">
        <v>0.76997017045593319</v>
      </c>
      <c r="G114" s="186"/>
      <c r="N114" s="294"/>
      <c r="O114" s="295"/>
      <c r="P114" s="296"/>
    </row>
    <row r="115" spans="1:16" ht="13.15" x14ac:dyDescent="0.4">
      <c r="A115" s="183"/>
      <c r="B115" s="117"/>
      <c r="G115" s="186"/>
      <c r="N115" s="294"/>
      <c r="O115" s="295"/>
      <c r="P115" s="296"/>
    </row>
    <row r="116" spans="1:16" ht="13.15" x14ac:dyDescent="0.4">
      <c r="A116" s="183" t="s">
        <v>170</v>
      </c>
      <c r="B116" s="117" t="s">
        <v>16</v>
      </c>
      <c r="G116" s="186"/>
      <c r="N116" s="294"/>
      <c r="O116" s="295"/>
      <c r="P116" s="295"/>
    </row>
    <row r="117" spans="1:16" ht="14.25" x14ac:dyDescent="0.45">
      <c r="A117" s="183" t="s">
        <v>172</v>
      </c>
      <c r="B117" s="116" t="s">
        <v>17</v>
      </c>
      <c r="F117" s="556">
        <v>236747879.99999997</v>
      </c>
      <c r="G117" s="186"/>
      <c r="N117" s="294"/>
      <c r="O117" s="289"/>
      <c r="P117" s="296"/>
    </row>
    <row r="118" spans="1:16" ht="13.15" x14ac:dyDescent="0.4">
      <c r="A118" s="183" t="s">
        <v>173</v>
      </c>
      <c r="B118" s="189" t="s">
        <v>18</v>
      </c>
      <c r="F118" s="556">
        <v>11662020.58</v>
      </c>
      <c r="G118" s="186"/>
      <c r="N118" s="294"/>
      <c r="O118" s="295"/>
      <c r="P118" s="296"/>
    </row>
    <row r="119" spans="1:16" ht="13.15" x14ac:dyDescent="0.4">
      <c r="A119" s="183" t="s">
        <v>174</v>
      </c>
      <c r="B119" s="117" t="s">
        <v>19</v>
      </c>
      <c r="F119" s="567">
        <v>248409900.57999998</v>
      </c>
      <c r="G119" s="186"/>
      <c r="N119" s="294"/>
      <c r="O119" s="295"/>
      <c r="P119" s="296"/>
    </row>
    <row r="120" spans="1:16" ht="13.15" x14ac:dyDescent="0.4">
      <c r="A120" s="183"/>
      <c r="B120" s="117"/>
      <c r="G120" s="186"/>
      <c r="N120" s="287"/>
      <c r="O120" s="287"/>
      <c r="P120" s="186"/>
    </row>
    <row r="121" spans="1:16" ht="13.15" x14ac:dyDescent="0.4">
      <c r="A121" s="183" t="s">
        <v>167</v>
      </c>
      <c r="B121" s="117" t="s">
        <v>36</v>
      </c>
      <c r="F121" s="556">
        <v>261186698.41000032</v>
      </c>
      <c r="G121" s="186"/>
    </row>
    <row r="122" spans="1:16" ht="13.15" x14ac:dyDescent="0.4">
      <c r="A122" s="183"/>
      <c r="G122" s="186"/>
    </row>
    <row r="123" spans="1:16" ht="13.15" x14ac:dyDescent="0.4">
      <c r="A123" s="183" t="s">
        <v>175</v>
      </c>
      <c r="B123" s="117" t="s">
        <v>20</v>
      </c>
      <c r="F123" s="556">
        <v>-12776797.830000341</v>
      </c>
      <c r="G123" s="186"/>
    </row>
    <row r="124" spans="1:16" ht="13.15" x14ac:dyDescent="0.4">
      <c r="A124" s="183"/>
      <c r="G124" s="186"/>
    </row>
    <row r="125" spans="1:16" ht="13.15" x14ac:dyDescent="0.4">
      <c r="A125" s="183" t="s">
        <v>176</v>
      </c>
      <c r="B125" s="117" t="s">
        <v>21</v>
      </c>
      <c r="F125" s="556">
        <v>1885931.1800000004</v>
      </c>
      <c r="G125" s="186"/>
    </row>
    <row r="126" spans="1:16" ht="13.15" x14ac:dyDescent="0.4">
      <c r="A126" s="183"/>
      <c r="G126" s="186"/>
    </row>
    <row r="127" spans="1:16" ht="13.15" x14ac:dyDescent="0.4">
      <c r="A127" s="183" t="s">
        <v>177</v>
      </c>
      <c r="B127" s="117" t="s">
        <v>22</v>
      </c>
      <c r="F127" s="556">
        <v>-10890866.650000341</v>
      </c>
      <c r="G127" s="186"/>
    </row>
    <row r="128" spans="1:16" ht="13.15" x14ac:dyDescent="0.4">
      <c r="A128" s="183"/>
    </row>
    <row r="129" spans="1:11" ht="26.25" x14ac:dyDescent="0.4">
      <c r="F129" s="122" t="s">
        <v>9</v>
      </c>
      <c r="G129" s="122" t="s">
        <v>37</v>
      </c>
      <c r="H129" s="122" t="s">
        <v>29</v>
      </c>
      <c r="I129" s="122" t="s">
        <v>30</v>
      </c>
      <c r="J129" s="122" t="s">
        <v>33</v>
      </c>
      <c r="K129" s="122" t="s">
        <v>34</v>
      </c>
    </row>
    <row r="130" spans="1:11" ht="13.15" x14ac:dyDescent="0.4">
      <c r="A130" s="120" t="s">
        <v>157</v>
      </c>
      <c r="B130" s="117" t="s">
        <v>23</v>
      </c>
    </row>
    <row r="131" spans="1:11" ht="13.15" x14ac:dyDescent="0.4">
      <c r="A131" s="183" t="s">
        <v>158</v>
      </c>
      <c r="B131" s="189" t="s">
        <v>24</v>
      </c>
      <c r="F131" s="555">
        <v>0</v>
      </c>
      <c r="G131" s="555">
        <v>0</v>
      </c>
      <c r="H131" s="556">
        <v>0</v>
      </c>
      <c r="I131" s="144">
        <v>0</v>
      </c>
      <c r="J131" s="556">
        <v>0</v>
      </c>
      <c r="K131" s="557">
        <v>0</v>
      </c>
    </row>
    <row r="132" spans="1:11" ht="13.15" x14ac:dyDescent="0.4">
      <c r="A132" s="183" t="s">
        <v>159</v>
      </c>
      <c r="B132" s="189" t="s">
        <v>25</v>
      </c>
      <c r="F132" s="555">
        <v>0</v>
      </c>
      <c r="G132" s="555">
        <v>0</v>
      </c>
      <c r="H132" s="556">
        <v>0</v>
      </c>
      <c r="I132" s="144">
        <v>0</v>
      </c>
      <c r="J132" s="556">
        <v>0</v>
      </c>
      <c r="K132" s="557">
        <v>0</v>
      </c>
    </row>
    <row r="133" spans="1:11" ht="13.15" x14ac:dyDescent="0.4">
      <c r="A133" s="183" t="s">
        <v>160</v>
      </c>
      <c r="B133" s="951"/>
      <c r="C133" s="952"/>
      <c r="D133" s="953"/>
      <c r="F133" s="555"/>
      <c r="G133" s="555"/>
      <c r="H133" s="556"/>
      <c r="I133" s="144"/>
      <c r="J133" s="556"/>
      <c r="K133" s="557"/>
    </row>
    <row r="134" spans="1:11" ht="13.15" x14ac:dyDescent="0.4">
      <c r="A134" s="183" t="s">
        <v>161</v>
      </c>
      <c r="B134" s="951"/>
      <c r="C134" s="952"/>
      <c r="D134" s="953"/>
      <c r="F134" s="555"/>
      <c r="G134" s="555"/>
      <c r="H134" s="556"/>
      <c r="I134" s="144"/>
      <c r="J134" s="556"/>
      <c r="K134" s="557"/>
    </row>
    <row r="135" spans="1:11" ht="13.15" x14ac:dyDescent="0.4">
      <c r="A135" s="183" t="s">
        <v>162</v>
      </c>
      <c r="B135" s="951"/>
      <c r="C135" s="952"/>
      <c r="D135" s="953"/>
      <c r="F135" s="555"/>
      <c r="G135" s="555"/>
      <c r="H135" s="556"/>
      <c r="I135" s="144"/>
      <c r="J135" s="556"/>
      <c r="K135" s="557"/>
    </row>
    <row r="136" spans="1:11" ht="13.15" x14ac:dyDescent="0.4">
      <c r="A136" s="120"/>
    </row>
    <row r="137" spans="1:11" ht="13.15" x14ac:dyDescent="0.4">
      <c r="A137" s="120" t="s">
        <v>163</v>
      </c>
      <c r="B137" s="117" t="s">
        <v>27</v>
      </c>
      <c r="F137" s="560">
        <v>0</v>
      </c>
      <c r="G137" s="560">
        <v>0</v>
      </c>
      <c r="H137" s="557">
        <v>0</v>
      </c>
      <c r="I137" s="557">
        <v>0</v>
      </c>
      <c r="J137" s="557">
        <v>0</v>
      </c>
      <c r="K137" s="557">
        <v>0</v>
      </c>
    </row>
    <row r="138" spans="1:11" ht="12.75" x14ac:dyDescent="0.35">
      <c r="A138" s="189"/>
    </row>
    <row r="139" spans="1:11" ht="26.25" x14ac:dyDescent="0.4">
      <c r="F139" s="122" t="s">
        <v>9</v>
      </c>
      <c r="G139" s="122" t="s">
        <v>37</v>
      </c>
      <c r="H139" s="122" t="s">
        <v>29</v>
      </c>
      <c r="I139" s="122" t="s">
        <v>30</v>
      </c>
      <c r="J139" s="122" t="s">
        <v>33</v>
      </c>
      <c r="K139" s="122" t="s">
        <v>34</v>
      </c>
    </row>
    <row r="140" spans="1:11" ht="13.15" x14ac:dyDescent="0.4">
      <c r="A140" s="120" t="s">
        <v>166</v>
      </c>
      <c r="B140" s="117" t="s">
        <v>26</v>
      </c>
    </row>
    <row r="141" spans="1:11" ht="13.15" x14ac:dyDescent="0.4">
      <c r="A141" s="183" t="s">
        <v>137</v>
      </c>
      <c r="B141" s="117" t="s">
        <v>64</v>
      </c>
      <c r="F141" s="136">
        <v>123668.25</v>
      </c>
      <c r="G141" s="136">
        <v>104203</v>
      </c>
      <c r="H141" s="699">
        <v>1200564</v>
      </c>
      <c r="I141" s="699">
        <v>718736</v>
      </c>
      <c r="J141" s="699">
        <v>324242</v>
      </c>
      <c r="K141" s="699">
        <v>1595058</v>
      </c>
    </row>
    <row r="142" spans="1:11" ht="13.15" x14ac:dyDescent="0.4">
      <c r="A142" s="183" t="s">
        <v>142</v>
      </c>
      <c r="B142" s="117" t="s">
        <v>65</v>
      </c>
      <c r="F142" s="136">
        <v>101071</v>
      </c>
      <c r="G142" s="136">
        <v>13252</v>
      </c>
      <c r="H142" s="699">
        <v>5843525</v>
      </c>
      <c r="I142" s="699">
        <v>4499514</v>
      </c>
      <c r="J142" s="699">
        <v>400</v>
      </c>
      <c r="K142" s="699">
        <v>10342639</v>
      </c>
    </row>
    <row r="143" spans="1:11" ht="13.15" x14ac:dyDescent="0.4">
      <c r="A143" s="183" t="s">
        <v>144</v>
      </c>
      <c r="B143" s="117" t="s">
        <v>66</v>
      </c>
      <c r="F143" s="136">
        <v>0</v>
      </c>
      <c r="G143" s="136">
        <v>0</v>
      </c>
      <c r="H143" s="699">
        <v>4622764</v>
      </c>
      <c r="I143" s="699">
        <v>0</v>
      </c>
      <c r="J143" s="699">
        <v>2837593</v>
      </c>
      <c r="K143" s="699">
        <v>1785171</v>
      </c>
    </row>
    <row r="144" spans="1:11" ht="13.15" x14ac:dyDescent="0.4">
      <c r="A144" s="183" t="s">
        <v>146</v>
      </c>
      <c r="B144" s="117" t="s">
        <v>67</v>
      </c>
      <c r="F144" s="136">
        <v>0</v>
      </c>
      <c r="G144" s="136">
        <v>0</v>
      </c>
      <c r="H144" s="699">
        <v>0</v>
      </c>
      <c r="I144" s="699">
        <v>0</v>
      </c>
      <c r="J144" s="699">
        <v>0</v>
      </c>
      <c r="K144" s="699">
        <v>0</v>
      </c>
    </row>
    <row r="145" spans="1:13" ht="13.15" x14ac:dyDescent="0.4">
      <c r="A145" s="183" t="s">
        <v>148</v>
      </c>
      <c r="B145" s="117" t="s">
        <v>68</v>
      </c>
      <c r="F145" s="136">
        <v>46</v>
      </c>
      <c r="G145" s="136">
        <v>275</v>
      </c>
      <c r="H145" s="699">
        <v>33451</v>
      </c>
      <c r="I145" s="699">
        <v>0</v>
      </c>
      <c r="J145" s="699">
        <v>0</v>
      </c>
      <c r="K145" s="699">
        <v>33451</v>
      </c>
    </row>
    <row r="146" spans="1:13" ht="13.15" x14ac:dyDescent="0.4">
      <c r="A146" s="183" t="s">
        <v>150</v>
      </c>
      <c r="B146" s="117" t="s">
        <v>69</v>
      </c>
      <c r="F146" s="136">
        <v>33888</v>
      </c>
      <c r="G146" s="136">
        <v>120</v>
      </c>
      <c r="H146" s="699">
        <v>761029</v>
      </c>
      <c r="I146" s="699">
        <v>234046</v>
      </c>
      <c r="J146" s="699">
        <v>590098</v>
      </c>
      <c r="K146" s="699">
        <v>404977</v>
      </c>
    </row>
    <row r="147" spans="1:13" ht="13.15" x14ac:dyDescent="0.4">
      <c r="A147" s="183" t="s">
        <v>153</v>
      </c>
      <c r="B147" s="117" t="s">
        <v>61</v>
      </c>
      <c r="F147" s="560">
        <v>1520</v>
      </c>
      <c r="G147" s="560">
        <v>0</v>
      </c>
      <c r="H147" s="699">
        <v>120978</v>
      </c>
      <c r="I147" s="699">
        <v>53793</v>
      </c>
      <c r="J147" s="699">
        <v>0</v>
      </c>
      <c r="K147" s="699">
        <v>174771</v>
      </c>
    </row>
    <row r="148" spans="1:13" ht="13.15" x14ac:dyDescent="0.4">
      <c r="A148" s="183" t="s">
        <v>155</v>
      </c>
      <c r="B148" s="117" t="s">
        <v>70</v>
      </c>
      <c r="F148" s="137" t="s">
        <v>73</v>
      </c>
      <c r="G148" s="137" t="s">
        <v>73</v>
      </c>
      <c r="H148" s="699" t="s">
        <v>73</v>
      </c>
      <c r="I148" s="699" t="s">
        <v>73</v>
      </c>
      <c r="J148" s="699" t="s">
        <v>73</v>
      </c>
      <c r="K148" s="699">
        <v>6085945.0099999998</v>
      </c>
    </row>
    <row r="149" spans="1:13" ht="13.15" x14ac:dyDescent="0.4">
      <c r="A149" s="183" t="s">
        <v>163</v>
      </c>
      <c r="B149" s="117" t="s">
        <v>71</v>
      </c>
      <c r="F149" s="560">
        <v>0</v>
      </c>
      <c r="G149" s="560">
        <v>0</v>
      </c>
      <c r="H149" s="699">
        <v>0</v>
      </c>
      <c r="I149" s="699">
        <v>0</v>
      </c>
      <c r="J149" s="699">
        <v>0</v>
      </c>
      <c r="K149" s="699">
        <v>0</v>
      </c>
    </row>
    <row r="150" spans="1:13" ht="18" customHeight="1" x14ac:dyDescent="0.4">
      <c r="A150" s="183" t="s">
        <v>185</v>
      </c>
      <c r="B150" s="117" t="s">
        <v>186</v>
      </c>
      <c r="F150" s="137" t="s">
        <v>73</v>
      </c>
      <c r="G150" s="137" t="s">
        <v>73</v>
      </c>
      <c r="H150" s="699">
        <v>5152197.0822299551</v>
      </c>
      <c r="I150" s="699">
        <v>0</v>
      </c>
      <c r="J150" s="699">
        <v>4283161.3627909729</v>
      </c>
      <c r="K150" s="699">
        <v>869035.7194389822</v>
      </c>
    </row>
    <row r="151" spans="1:13" ht="18" customHeight="1" x14ac:dyDescent="0.4">
      <c r="B151" s="117"/>
      <c r="F151" s="142"/>
      <c r="G151" s="142"/>
      <c r="H151" s="297"/>
      <c r="I151" s="297"/>
      <c r="J151" s="297"/>
      <c r="K151" s="297"/>
    </row>
    <row r="152" spans="1:13" ht="18" customHeight="1" x14ac:dyDescent="0.4">
      <c r="A152" s="120" t="s">
        <v>165</v>
      </c>
      <c r="B152" s="117" t="s">
        <v>26</v>
      </c>
      <c r="F152" s="143">
        <v>260193.25</v>
      </c>
      <c r="G152" s="143">
        <v>117850</v>
      </c>
      <c r="H152" s="699">
        <v>17734508.082229957</v>
      </c>
      <c r="I152" s="699">
        <v>5506089</v>
      </c>
      <c r="J152" s="699">
        <v>8035494.3627909729</v>
      </c>
      <c r="K152" s="699">
        <v>21291047.729438979</v>
      </c>
    </row>
    <row r="153" spans="1:13" ht="18" customHeight="1" x14ac:dyDescent="0.45">
      <c r="K153" s="298"/>
      <c r="L153" s="299"/>
      <c r="M153" s="300"/>
    </row>
    <row r="154" spans="1:13" ht="18" customHeight="1" x14ac:dyDescent="0.45">
      <c r="A154" s="120" t="s">
        <v>168</v>
      </c>
      <c r="B154" s="117" t="s">
        <v>28</v>
      </c>
      <c r="F154" s="571">
        <v>8.1516585105789546E-2</v>
      </c>
      <c r="H154" s="108"/>
      <c r="K154" s="298"/>
      <c r="L154" s="299"/>
      <c r="M154" s="300"/>
    </row>
    <row r="155" spans="1:13" ht="18" customHeight="1" x14ac:dyDescent="0.45">
      <c r="A155" s="120" t="s">
        <v>169</v>
      </c>
      <c r="B155" s="117" t="s">
        <v>72</v>
      </c>
      <c r="F155" s="571">
        <v>-1.9549452227879691</v>
      </c>
      <c r="G155" s="117"/>
      <c r="K155" s="300"/>
      <c r="L155" s="299"/>
      <c r="M155" s="300"/>
    </row>
    <row r="156" spans="1:13" ht="18" customHeight="1" x14ac:dyDescent="0.4">
      <c r="G156" s="117"/>
    </row>
    <row r="158" spans="1:13" ht="18" customHeight="1" x14ac:dyDescent="0.45">
      <c r="B158" s="300"/>
      <c r="C158" s="300"/>
      <c r="D158" s="300"/>
      <c r="E158" s="300"/>
      <c r="F158" s="301"/>
      <c r="G158" s="301"/>
      <c r="H158" s="298"/>
      <c r="I158" s="298"/>
      <c r="J158" s="298"/>
      <c r="K158" s="298"/>
    </row>
    <row r="159" spans="1:13" ht="18" customHeight="1" x14ac:dyDescent="0.45">
      <c r="B159" s="300"/>
      <c r="C159" s="300"/>
      <c r="D159" s="300"/>
      <c r="E159" s="300"/>
      <c r="F159" s="301"/>
      <c r="G159" s="301"/>
      <c r="H159" s="301"/>
      <c r="I159" s="301"/>
      <c r="J159" s="301"/>
      <c r="K159" s="301"/>
    </row>
    <row r="162" spans="11:11" ht="18" customHeight="1" x14ac:dyDescent="0.35">
      <c r="K162" s="108"/>
    </row>
  </sheetData>
  <mergeCells count="30">
    <mergeCell ref="B47:D47"/>
    <mergeCell ref="B103:C103"/>
    <mergeCell ref="B96:D96"/>
    <mergeCell ref="B95:D95"/>
    <mergeCell ref="B94:D94"/>
    <mergeCell ref="B52:C52"/>
    <mergeCell ref="B90:C90"/>
    <mergeCell ref="B55:D55"/>
    <mergeCell ref="B54:D54"/>
    <mergeCell ref="B134:D134"/>
    <mergeCell ref="B135:D135"/>
    <mergeCell ref="B133:D133"/>
    <mergeCell ref="B104:D104"/>
    <mergeCell ref="B105:D105"/>
    <mergeCell ref="B106:D106"/>
    <mergeCell ref="B45:D45"/>
    <mergeCell ref="B46:D46"/>
    <mergeCell ref="B44:D44"/>
    <mergeCell ref="D2:H2"/>
    <mergeCell ref="B34:D34"/>
    <mergeCell ref="C11:G11"/>
    <mergeCell ref="B41:C41"/>
    <mergeCell ref="B13:H13"/>
    <mergeCell ref="C5:G5"/>
    <mergeCell ref="C6:G6"/>
    <mergeCell ref="C7:G7"/>
    <mergeCell ref="C9:G9"/>
    <mergeCell ref="C10:G10"/>
    <mergeCell ref="B30:D30"/>
    <mergeCell ref="B31:D31"/>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K156"/>
  <sheetViews>
    <sheetView showGridLines="0" zoomScale="80" zoomScaleNormal="80" zoomScaleSheetLayoutView="70" workbookViewId="0">
      <selection activeCell="B3" sqref="B3"/>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445</v>
      </c>
      <c r="D5" s="962"/>
      <c r="E5" s="962"/>
      <c r="F5" s="962"/>
      <c r="G5" s="963"/>
    </row>
    <row r="6" spans="1:11" ht="18" customHeight="1" x14ac:dyDescent="0.4">
      <c r="B6" s="183" t="s">
        <v>3</v>
      </c>
      <c r="C6" s="964">
        <v>210057</v>
      </c>
      <c r="D6" s="965"/>
      <c r="E6" s="965"/>
      <c r="F6" s="965"/>
      <c r="G6" s="966"/>
    </row>
    <row r="7" spans="1:11" ht="18" customHeight="1" x14ac:dyDescent="0.4">
      <c r="B7" s="183" t="s">
        <v>4</v>
      </c>
      <c r="C7" s="1014">
        <v>3037</v>
      </c>
      <c r="D7" s="1015"/>
      <c r="E7" s="1015"/>
      <c r="F7" s="1015"/>
      <c r="G7" s="1016"/>
      <c r="I7" s="255"/>
    </row>
    <row r="9" spans="1:11" ht="18" customHeight="1" x14ac:dyDescent="0.4">
      <c r="B9" s="183" t="s">
        <v>1</v>
      </c>
      <c r="C9" s="961" t="s">
        <v>555</v>
      </c>
      <c r="D9" s="962"/>
      <c r="E9" s="962"/>
      <c r="F9" s="962"/>
      <c r="G9" s="963"/>
    </row>
    <row r="10" spans="1:11" ht="18" customHeight="1" x14ac:dyDescent="0.4">
      <c r="B10" s="183" t="s">
        <v>2</v>
      </c>
      <c r="C10" s="970" t="s">
        <v>556</v>
      </c>
      <c r="D10" s="971"/>
      <c r="E10" s="971"/>
      <c r="F10" s="971"/>
      <c r="G10" s="972"/>
    </row>
    <row r="11" spans="1:11" ht="18" customHeight="1" x14ac:dyDescent="0.4">
      <c r="B11" s="183" t="s">
        <v>32</v>
      </c>
      <c r="C11" s="961" t="s">
        <v>557</v>
      </c>
      <c r="D11" s="955"/>
      <c r="E11" s="955"/>
      <c r="F11" s="955"/>
      <c r="G11" s="981"/>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7959940.5034110863</v>
      </c>
      <c r="I18" s="144">
        <v>0</v>
      </c>
      <c r="J18" s="556">
        <v>6617314.7242203262</v>
      </c>
      <c r="K18" s="557">
        <f>(H18+I18)-J18</f>
        <v>1342625.7791907601</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7617.707264288284</v>
      </c>
      <c r="G21" s="555">
        <v>5043.2992556645468</v>
      </c>
      <c r="H21" s="556">
        <v>357093.68949314888</v>
      </c>
      <c r="I21" s="144">
        <f t="shared" ref="I21:I34" si="0">H21*F$114</f>
        <v>265442.64741386438</v>
      </c>
      <c r="J21" s="556">
        <v>16078.268830757419</v>
      </c>
      <c r="K21" s="557">
        <f t="shared" ref="K21:K34" si="1">(H21+I21)-J21</f>
        <v>606458.06807625585</v>
      </c>
    </row>
    <row r="22" spans="1:11" ht="18" customHeight="1" x14ac:dyDescent="0.4">
      <c r="A22" s="183" t="s">
        <v>76</v>
      </c>
      <c r="B22" s="189" t="s">
        <v>6</v>
      </c>
      <c r="F22" s="555">
        <v>1648.1206725494608</v>
      </c>
      <c r="G22" s="555">
        <v>0</v>
      </c>
      <c r="H22" s="556">
        <v>134754.56811159605</v>
      </c>
      <c r="I22" s="144">
        <f t="shared" si="0"/>
        <v>100168.69623606224</v>
      </c>
      <c r="J22" s="556">
        <v>32746.863862605522</v>
      </c>
      <c r="K22" s="557">
        <f t="shared" si="1"/>
        <v>202176.40048505276</v>
      </c>
    </row>
    <row r="23" spans="1:11" ht="18" customHeight="1" x14ac:dyDescent="0.4">
      <c r="A23" s="183" t="s">
        <v>77</v>
      </c>
      <c r="B23" s="189" t="s">
        <v>43</v>
      </c>
      <c r="F23" s="555">
        <v>693.50196434916961</v>
      </c>
      <c r="G23" s="555">
        <v>0</v>
      </c>
      <c r="H23" s="556">
        <v>44139.579414490523</v>
      </c>
      <c r="I23" s="144">
        <f t="shared" si="0"/>
        <v>32810.792126142194</v>
      </c>
      <c r="J23" s="556">
        <v>1357.5065388428604</v>
      </c>
      <c r="K23" s="557">
        <f t="shared" si="1"/>
        <v>75592.865001789847</v>
      </c>
    </row>
    <row r="24" spans="1:11" ht="18" customHeight="1" x14ac:dyDescent="0.4">
      <c r="A24" s="183" t="s">
        <v>78</v>
      </c>
      <c r="B24" s="189" t="s">
        <v>44</v>
      </c>
      <c r="F24" s="555">
        <v>2885.4769370047957</v>
      </c>
      <c r="G24" s="555">
        <v>2542.4400894387013</v>
      </c>
      <c r="H24" s="556">
        <v>572687.3600000001</v>
      </c>
      <c r="I24" s="144">
        <f t="shared" si="0"/>
        <v>425702.42334616609</v>
      </c>
      <c r="J24" s="556">
        <v>0</v>
      </c>
      <c r="K24" s="557">
        <f t="shared" si="1"/>
        <v>998389.78334616614</v>
      </c>
    </row>
    <row r="25" spans="1:11" ht="18" customHeight="1" x14ac:dyDescent="0.4">
      <c r="A25" s="183" t="s">
        <v>79</v>
      </c>
      <c r="B25" s="189" t="s">
        <v>5</v>
      </c>
      <c r="F25" s="555">
        <v>2020.8639262466561</v>
      </c>
      <c r="G25" s="555">
        <v>0</v>
      </c>
      <c r="H25" s="556">
        <v>63781.696245083927</v>
      </c>
      <c r="I25" s="144">
        <f t="shared" si="0"/>
        <v>47411.597589060257</v>
      </c>
      <c r="J25" s="556">
        <v>4825.0947689426548</v>
      </c>
      <c r="K25" s="557">
        <f t="shared" si="1"/>
        <v>106368.19906520154</v>
      </c>
    </row>
    <row r="26" spans="1:11" ht="18" customHeight="1" x14ac:dyDescent="0.4">
      <c r="A26" s="183" t="s">
        <v>80</v>
      </c>
      <c r="B26" s="189" t="s">
        <v>45</v>
      </c>
      <c r="F26" s="555">
        <v>0</v>
      </c>
      <c r="G26" s="555">
        <v>0</v>
      </c>
      <c r="H26" s="556">
        <v>0</v>
      </c>
      <c r="I26" s="144">
        <f t="shared" si="0"/>
        <v>0</v>
      </c>
      <c r="J26" s="556">
        <v>0</v>
      </c>
      <c r="K26" s="557">
        <f t="shared" si="1"/>
        <v>0</v>
      </c>
    </row>
    <row r="27" spans="1:11" ht="18" customHeight="1" x14ac:dyDescent="0.4">
      <c r="A27" s="183" t="s">
        <v>81</v>
      </c>
      <c r="B27" s="189" t="s">
        <v>498</v>
      </c>
      <c r="F27" s="555">
        <v>0</v>
      </c>
      <c r="G27" s="555">
        <v>0</v>
      </c>
      <c r="H27" s="556">
        <v>0</v>
      </c>
      <c r="I27" s="144">
        <f t="shared" si="0"/>
        <v>0</v>
      </c>
      <c r="J27" s="556">
        <v>0</v>
      </c>
      <c r="K27" s="557">
        <f t="shared" si="1"/>
        <v>0</v>
      </c>
    </row>
    <row r="28" spans="1:11" ht="18" customHeight="1" x14ac:dyDescent="0.4">
      <c r="A28" s="183" t="s">
        <v>82</v>
      </c>
      <c r="B28" s="189" t="s">
        <v>47</v>
      </c>
      <c r="F28" s="555">
        <v>0</v>
      </c>
      <c r="G28" s="555">
        <v>0</v>
      </c>
      <c r="H28" s="556">
        <v>0</v>
      </c>
      <c r="I28" s="144">
        <f t="shared" si="0"/>
        <v>0</v>
      </c>
      <c r="J28" s="556">
        <v>0</v>
      </c>
      <c r="K28" s="557">
        <f t="shared" si="1"/>
        <v>0</v>
      </c>
    </row>
    <row r="29" spans="1:11" ht="18" customHeight="1" x14ac:dyDescent="0.4">
      <c r="A29" s="183" t="s">
        <v>83</v>
      </c>
      <c r="B29" s="189" t="s">
        <v>48</v>
      </c>
      <c r="F29" s="555">
        <v>7074.6797606853652</v>
      </c>
      <c r="G29" s="555">
        <v>6981.318676569801</v>
      </c>
      <c r="H29" s="556">
        <v>2455158.5243829512</v>
      </c>
      <c r="I29" s="144">
        <v>1782685.4767605551</v>
      </c>
      <c r="J29" s="556">
        <v>6971.7240916305363</v>
      </c>
      <c r="K29" s="557">
        <f t="shared" si="1"/>
        <v>4230872.2770518754</v>
      </c>
    </row>
    <row r="30" spans="1:11" ht="18" customHeight="1" x14ac:dyDescent="0.4">
      <c r="A30" s="183" t="s">
        <v>84</v>
      </c>
      <c r="B30" s="1149" t="s">
        <v>193</v>
      </c>
      <c r="C30" s="1150"/>
      <c r="D30" s="1151"/>
      <c r="F30" s="555">
        <v>101.32880319733052</v>
      </c>
      <c r="G30" s="555">
        <v>55</v>
      </c>
      <c r="H30" s="556">
        <v>3458.8706709663797</v>
      </c>
      <c r="I30" s="144">
        <f t="shared" si="0"/>
        <v>2571.1229713038665</v>
      </c>
      <c r="J30" s="556">
        <v>180.76159980425408</v>
      </c>
      <c r="K30" s="557">
        <f t="shared" si="1"/>
        <v>5849.2320424659929</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31"/>
      <c r="C32" s="532"/>
      <c r="D32" s="533"/>
      <c r="F32" s="555"/>
      <c r="G32" s="558" t="s">
        <v>85</v>
      </c>
      <c r="H32" s="556"/>
      <c r="I32" s="144">
        <f t="shared" si="0"/>
        <v>0</v>
      </c>
      <c r="J32" s="556"/>
      <c r="K32" s="557">
        <f t="shared" si="1"/>
        <v>0</v>
      </c>
    </row>
    <row r="33" spans="1:11" ht="18" customHeight="1" x14ac:dyDescent="0.4">
      <c r="A33" s="183" t="s">
        <v>135</v>
      </c>
      <c r="B33" s="531"/>
      <c r="C33" s="532"/>
      <c r="D33" s="533"/>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22041.679328321061</v>
      </c>
      <c r="G36" s="560">
        <f t="shared" si="2"/>
        <v>14622.058021673049</v>
      </c>
      <c r="H36" s="560">
        <f t="shared" si="2"/>
        <v>3631074.2883182368</v>
      </c>
      <c r="I36" s="557">
        <f t="shared" si="2"/>
        <v>2656792.7564431541</v>
      </c>
      <c r="J36" s="557">
        <f t="shared" si="2"/>
        <v>62160.219692583247</v>
      </c>
      <c r="K36" s="557">
        <f t="shared" si="2"/>
        <v>6225706.8250688082</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3295</v>
      </c>
      <c r="G40" s="555">
        <v>1810</v>
      </c>
      <c r="H40" s="556">
        <v>491270</v>
      </c>
      <c r="I40" s="144">
        <v>0</v>
      </c>
      <c r="J40" s="556">
        <v>0</v>
      </c>
      <c r="K40" s="557">
        <f t="shared" ref="K40:K47" si="3">(H40+I40)-J40</f>
        <v>491270</v>
      </c>
    </row>
    <row r="41" spans="1:11" ht="18" customHeight="1" x14ac:dyDescent="0.4">
      <c r="A41" s="183" t="s">
        <v>88</v>
      </c>
      <c r="B41" s="956" t="s">
        <v>50</v>
      </c>
      <c r="C41" s="957"/>
      <c r="F41" s="555">
        <v>12851</v>
      </c>
      <c r="G41" s="555">
        <v>6401.9999999619858</v>
      </c>
      <c r="H41" s="556">
        <v>544455.24</v>
      </c>
      <c r="I41" s="144">
        <v>0</v>
      </c>
      <c r="J41" s="556">
        <v>0</v>
      </c>
      <c r="K41" s="557">
        <f t="shared" si="3"/>
        <v>544455.24</v>
      </c>
    </row>
    <row r="42" spans="1:11" ht="18" customHeight="1" x14ac:dyDescent="0.4">
      <c r="A42" s="183" t="s">
        <v>89</v>
      </c>
      <c r="B42" s="116" t="s">
        <v>11</v>
      </c>
      <c r="F42" s="555">
        <v>10335.495823775484</v>
      </c>
      <c r="G42" s="555">
        <v>5971.790156141592</v>
      </c>
      <c r="H42" s="556">
        <v>465866.10820039897</v>
      </c>
      <c r="I42" s="144">
        <v>0</v>
      </c>
      <c r="J42" s="556">
        <v>10566.924634160807</v>
      </c>
      <c r="K42" s="557">
        <f t="shared" si="3"/>
        <v>455299.18356623815</v>
      </c>
    </row>
    <row r="43" spans="1:11" ht="18" customHeight="1" x14ac:dyDescent="0.4">
      <c r="A43" s="183" t="s">
        <v>90</v>
      </c>
      <c r="B43" s="141" t="s">
        <v>10</v>
      </c>
      <c r="C43" s="123"/>
      <c r="D43" s="123"/>
      <c r="F43" s="555">
        <v>0</v>
      </c>
      <c r="G43" s="555">
        <v>0</v>
      </c>
      <c r="H43" s="556">
        <v>0</v>
      </c>
      <c r="I43" s="144">
        <v>0</v>
      </c>
      <c r="J43" s="556">
        <v>0</v>
      </c>
      <c r="K43" s="557">
        <f t="shared" si="3"/>
        <v>0</v>
      </c>
    </row>
    <row r="44" spans="1:11" ht="18" customHeight="1" x14ac:dyDescent="0.4">
      <c r="A44" s="183" t="s">
        <v>91</v>
      </c>
      <c r="B44" s="973" t="s">
        <v>486</v>
      </c>
      <c r="C44" s="1061"/>
      <c r="D44" s="1062"/>
      <c r="F44" s="561">
        <v>0</v>
      </c>
      <c r="G44" s="561">
        <v>0</v>
      </c>
      <c r="H44" s="561">
        <v>0</v>
      </c>
      <c r="I44" s="146">
        <v>0</v>
      </c>
      <c r="J44" s="561">
        <v>0</v>
      </c>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26481.495823775484</v>
      </c>
      <c r="G49" s="563">
        <f t="shared" si="4"/>
        <v>14183.79015610358</v>
      </c>
      <c r="H49" s="557">
        <f t="shared" si="4"/>
        <v>1501591.348200399</v>
      </c>
      <c r="I49" s="557">
        <f t="shared" si="4"/>
        <v>0</v>
      </c>
      <c r="J49" s="557">
        <f t="shared" si="4"/>
        <v>10566.924634160807</v>
      </c>
      <c r="K49" s="557">
        <f t="shared" si="4"/>
        <v>1491024.423566238</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978" t="s">
        <v>187</v>
      </c>
      <c r="C53" s="979"/>
      <c r="D53" s="975"/>
      <c r="F53" s="555">
        <v>0</v>
      </c>
      <c r="G53" s="555">
        <v>0</v>
      </c>
      <c r="H53" s="556">
        <v>0</v>
      </c>
      <c r="I53" s="144">
        <v>0</v>
      </c>
      <c r="J53" s="556">
        <v>0</v>
      </c>
      <c r="K53" s="557">
        <f t="shared" ref="K53:K62" si="5">(H53+I53)-J53</f>
        <v>0</v>
      </c>
    </row>
    <row r="54" spans="1:11" ht="18" customHeight="1" x14ac:dyDescent="0.4">
      <c r="A54" s="183" t="s">
        <v>93</v>
      </c>
      <c r="B54" s="536" t="s">
        <v>188</v>
      </c>
      <c r="C54" s="537"/>
      <c r="D54" s="538"/>
      <c r="F54" s="555">
        <v>79380.876971428574</v>
      </c>
      <c r="G54" s="555">
        <v>621</v>
      </c>
      <c r="H54" s="556">
        <v>10355954.656666668</v>
      </c>
      <c r="I54" s="144">
        <v>0</v>
      </c>
      <c r="J54" s="556">
        <v>367631.35</v>
      </c>
      <c r="K54" s="557">
        <f t="shared" si="5"/>
        <v>9988323.3066666685</v>
      </c>
    </row>
    <row r="55" spans="1:11" ht="18" customHeight="1" x14ac:dyDescent="0.4">
      <c r="A55" s="183" t="s">
        <v>94</v>
      </c>
      <c r="B55" s="978" t="s">
        <v>189</v>
      </c>
      <c r="C55" s="979"/>
      <c r="D55" s="975"/>
      <c r="F55" s="555">
        <v>76960</v>
      </c>
      <c r="G55" s="555">
        <v>0</v>
      </c>
      <c r="H55" s="556">
        <v>1802173.4699999997</v>
      </c>
      <c r="I55" s="144">
        <v>0</v>
      </c>
      <c r="J55" s="556">
        <v>0</v>
      </c>
      <c r="K55" s="557">
        <f t="shared" si="5"/>
        <v>1802173.4699999997</v>
      </c>
    </row>
    <row r="56" spans="1:11" ht="18" customHeight="1" x14ac:dyDescent="0.4">
      <c r="A56" s="183" t="s">
        <v>95</v>
      </c>
      <c r="B56" s="978" t="s">
        <v>190</v>
      </c>
      <c r="C56" s="979"/>
      <c r="D56" s="975"/>
      <c r="F56" s="555">
        <v>0</v>
      </c>
      <c r="G56" s="555">
        <v>0</v>
      </c>
      <c r="H56" s="556">
        <v>0</v>
      </c>
      <c r="I56" s="144">
        <v>0</v>
      </c>
      <c r="J56" s="556">
        <v>0</v>
      </c>
      <c r="K56" s="557">
        <f t="shared" si="5"/>
        <v>0</v>
      </c>
    </row>
    <row r="57" spans="1:11" ht="18" customHeight="1" x14ac:dyDescent="0.4">
      <c r="A57" s="183" t="s">
        <v>96</v>
      </c>
      <c r="B57" s="978" t="s">
        <v>191</v>
      </c>
      <c r="C57" s="979"/>
      <c r="D57" s="975"/>
      <c r="F57" s="555">
        <v>0</v>
      </c>
      <c r="G57" s="555">
        <v>53697.488307267427</v>
      </c>
      <c r="H57" s="556">
        <v>5148982.0214304375</v>
      </c>
      <c r="I57" s="144">
        <v>0</v>
      </c>
      <c r="J57" s="556">
        <v>0</v>
      </c>
      <c r="K57" s="557">
        <f t="shared" si="5"/>
        <v>5148982.0214304375</v>
      </c>
    </row>
    <row r="58" spans="1:11" ht="18" customHeight="1" x14ac:dyDescent="0.4">
      <c r="A58" s="183" t="s">
        <v>97</v>
      </c>
      <c r="B58" s="536"/>
      <c r="C58" s="537"/>
      <c r="D58" s="538"/>
      <c r="F58" s="555"/>
      <c r="G58" s="555"/>
      <c r="H58" s="556"/>
      <c r="I58" s="144">
        <v>0</v>
      </c>
      <c r="J58" s="556"/>
      <c r="K58" s="557">
        <f t="shared" si="5"/>
        <v>0</v>
      </c>
    </row>
    <row r="59" spans="1:11" ht="18" customHeight="1" x14ac:dyDescent="0.4">
      <c r="A59" s="183" t="s">
        <v>98</v>
      </c>
      <c r="B59" s="980"/>
      <c r="C59" s="974"/>
      <c r="D59" s="975"/>
      <c r="F59" s="555"/>
      <c r="G59" s="555"/>
      <c r="H59" s="556"/>
      <c r="I59" s="144">
        <v>0</v>
      </c>
      <c r="J59" s="556"/>
      <c r="K59" s="557">
        <f t="shared" si="5"/>
        <v>0</v>
      </c>
    </row>
    <row r="60" spans="1:11" ht="18" customHeight="1" x14ac:dyDescent="0.4">
      <c r="A60" s="183" t="s">
        <v>99</v>
      </c>
      <c r="B60" s="536"/>
      <c r="C60" s="537"/>
      <c r="D60" s="538"/>
      <c r="F60" s="555"/>
      <c r="G60" s="555"/>
      <c r="H60" s="556"/>
      <c r="I60" s="144">
        <v>0</v>
      </c>
      <c r="J60" s="556"/>
      <c r="K60" s="557">
        <f t="shared" si="5"/>
        <v>0</v>
      </c>
    </row>
    <row r="61" spans="1:11" ht="18" customHeight="1" x14ac:dyDescent="0.4">
      <c r="A61" s="183" t="s">
        <v>100</v>
      </c>
      <c r="B61" s="536"/>
      <c r="C61" s="537"/>
      <c r="D61" s="538"/>
      <c r="F61" s="555"/>
      <c r="G61" s="555"/>
      <c r="H61" s="556"/>
      <c r="I61" s="144">
        <v>0</v>
      </c>
      <c r="J61" s="556"/>
      <c r="K61" s="557">
        <f t="shared" si="5"/>
        <v>0</v>
      </c>
    </row>
    <row r="62" spans="1:11" ht="18" customHeight="1" x14ac:dyDescent="0.4">
      <c r="A62" s="183" t="s">
        <v>101</v>
      </c>
      <c r="B62" s="980"/>
      <c r="C62" s="974"/>
      <c r="D62" s="975"/>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156340.87697142857</v>
      </c>
      <c r="G64" s="560">
        <f t="shared" si="6"/>
        <v>54318.488307267427</v>
      </c>
      <c r="H64" s="557">
        <f t="shared" si="6"/>
        <v>17307110.148097105</v>
      </c>
      <c r="I64" s="557">
        <f t="shared" si="6"/>
        <v>0</v>
      </c>
      <c r="J64" s="557">
        <f t="shared" si="6"/>
        <v>367631.35</v>
      </c>
      <c r="K64" s="557">
        <f t="shared" si="6"/>
        <v>16939478.798097104</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841">
        <v>17042.921428571426</v>
      </c>
      <c r="G68" s="564">
        <v>0</v>
      </c>
      <c r="H68" s="564">
        <v>947207.14999999991</v>
      </c>
      <c r="I68" s="144">
        <v>0</v>
      </c>
      <c r="J68" s="564">
        <v>101618.92</v>
      </c>
      <c r="K68" s="557">
        <f>(H68+I68)-J68</f>
        <v>845588.22999999986</v>
      </c>
    </row>
    <row r="69" spans="1:11" ht="18" customHeight="1" x14ac:dyDescent="0.4">
      <c r="A69" s="183" t="s">
        <v>104</v>
      </c>
      <c r="B69" s="116" t="s">
        <v>53</v>
      </c>
      <c r="F69" s="564">
        <v>0</v>
      </c>
      <c r="G69" s="564">
        <v>0</v>
      </c>
      <c r="H69" s="841">
        <v>31131.914999999994</v>
      </c>
      <c r="I69" s="144">
        <v>0</v>
      </c>
      <c r="J69" s="564">
        <v>0</v>
      </c>
      <c r="K69" s="557">
        <f>(H69+I69)-J69</f>
        <v>31131.914999999994</v>
      </c>
    </row>
    <row r="70" spans="1:11" ht="18" customHeight="1" x14ac:dyDescent="0.4">
      <c r="A70" s="183" t="s">
        <v>178</v>
      </c>
      <c r="B70" s="536"/>
      <c r="C70" s="537"/>
      <c r="D70" s="538"/>
      <c r="E70" s="117"/>
      <c r="F70" s="131"/>
      <c r="G70" s="131"/>
      <c r="H70" s="132"/>
      <c r="I70" s="144">
        <v>0</v>
      </c>
      <c r="J70" s="132"/>
      <c r="K70" s="557">
        <f>(H70+I70)-J70</f>
        <v>0</v>
      </c>
    </row>
    <row r="71" spans="1:11" ht="18" customHeight="1" x14ac:dyDescent="0.4">
      <c r="A71" s="183" t="s">
        <v>179</v>
      </c>
      <c r="B71" s="536"/>
      <c r="C71" s="537"/>
      <c r="D71" s="538"/>
      <c r="E71" s="117"/>
      <c r="F71" s="131"/>
      <c r="G71" s="131"/>
      <c r="H71" s="132"/>
      <c r="I71" s="144">
        <v>0</v>
      </c>
      <c r="J71" s="132"/>
      <c r="K71" s="557">
        <f>(H71+I71)-J71</f>
        <v>0</v>
      </c>
    </row>
    <row r="72" spans="1:11" ht="18" customHeight="1" x14ac:dyDescent="0.4">
      <c r="A72" s="183" t="s">
        <v>180</v>
      </c>
      <c r="B72" s="544"/>
      <c r="C72" s="543"/>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842">
        <f t="shared" ref="F74:K74" si="7">SUM(F68:F72)</f>
        <v>17042.921428571426</v>
      </c>
      <c r="G74" s="566">
        <f t="shared" si="7"/>
        <v>0</v>
      </c>
      <c r="H74" s="842">
        <f t="shared" si="7"/>
        <v>978339.06499999994</v>
      </c>
      <c r="I74" s="145">
        <f t="shared" si="7"/>
        <v>0</v>
      </c>
      <c r="J74" s="566">
        <f t="shared" si="7"/>
        <v>101618.92</v>
      </c>
      <c r="K74" s="567">
        <f t="shared" si="7"/>
        <v>876720.1449999999</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v>133.79772834036734</v>
      </c>
      <c r="G77" s="555">
        <v>0</v>
      </c>
      <c r="H77" s="556">
        <v>853461.01992460364</v>
      </c>
      <c r="I77" s="144">
        <v>0</v>
      </c>
      <c r="J77" s="556">
        <v>0</v>
      </c>
      <c r="K77" s="557">
        <f>(H77+I77)-J77</f>
        <v>853461.01992460364</v>
      </c>
    </row>
    <row r="78" spans="1:11" ht="18" customHeight="1" x14ac:dyDescent="0.4">
      <c r="A78" s="183" t="s">
        <v>108</v>
      </c>
      <c r="B78" s="116" t="s">
        <v>55</v>
      </c>
      <c r="F78" s="555">
        <v>0</v>
      </c>
      <c r="G78" s="555">
        <v>0</v>
      </c>
      <c r="H78" s="556">
        <v>0</v>
      </c>
      <c r="I78" s="144">
        <v>0</v>
      </c>
      <c r="J78" s="556">
        <v>0</v>
      </c>
      <c r="K78" s="557">
        <f>(H78+I78)-J78</f>
        <v>0</v>
      </c>
    </row>
    <row r="79" spans="1:11" ht="18" customHeight="1" x14ac:dyDescent="0.4">
      <c r="A79" s="183" t="s">
        <v>109</v>
      </c>
      <c r="B79" s="116" t="s">
        <v>13</v>
      </c>
      <c r="F79" s="555">
        <v>65.010015917463022</v>
      </c>
      <c r="G79" s="555">
        <v>23.168437807855817</v>
      </c>
      <c r="H79" s="556">
        <v>50402.13</v>
      </c>
      <c r="I79" s="144">
        <v>0</v>
      </c>
      <c r="J79" s="556">
        <v>0</v>
      </c>
      <c r="K79" s="557">
        <f>(H79+I79)-J79</f>
        <v>50402.13</v>
      </c>
    </row>
    <row r="80" spans="1:11" ht="18" customHeight="1" x14ac:dyDescent="0.4">
      <c r="A80" s="183" t="s">
        <v>110</v>
      </c>
      <c r="B80" s="116" t="s">
        <v>56</v>
      </c>
      <c r="F80" s="555">
        <v>0</v>
      </c>
      <c r="G80" s="555">
        <v>0</v>
      </c>
      <c r="H80" s="556">
        <v>0</v>
      </c>
      <c r="I80" s="144">
        <v>0</v>
      </c>
      <c r="J80" s="556">
        <v>0</v>
      </c>
      <c r="K80" s="557">
        <f>(H80+I80)-J80</f>
        <v>0</v>
      </c>
    </row>
    <row r="81" spans="1:11" ht="18" customHeight="1" x14ac:dyDescent="0.4">
      <c r="A81" s="183"/>
      <c r="K81" s="568"/>
    </row>
    <row r="82" spans="1:11" ht="18" customHeight="1" x14ac:dyDescent="0.4">
      <c r="A82" s="183" t="s">
        <v>148</v>
      </c>
      <c r="B82" s="117" t="s">
        <v>149</v>
      </c>
      <c r="E82" s="117" t="s">
        <v>7</v>
      </c>
      <c r="F82" s="842">
        <f t="shared" ref="F82:K82" si="8">SUM(F77:F80)</f>
        <v>198.80774425783036</v>
      </c>
      <c r="G82" s="842">
        <f t="shared" si="8"/>
        <v>23.168437807855817</v>
      </c>
      <c r="H82" s="567">
        <f t="shared" si="8"/>
        <v>903863.14992460364</v>
      </c>
      <c r="I82" s="567">
        <f t="shared" si="8"/>
        <v>0</v>
      </c>
      <c r="J82" s="567">
        <f t="shared" si="8"/>
        <v>0</v>
      </c>
      <c r="K82" s="567">
        <f t="shared" si="8"/>
        <v>903863.14992460364</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0</v>
      </c>
      <c r="G86" s="555">
        <v>0</v>
      </c>
      <c r="H86" s="555">
        <v>0</v>
      </c>
      <c r="I86" s="144">
        <f t="shared" ref="I86:I96" si="9">H86*F$114</f>
        <v>0</v>
      </c>
      <c r="J86" s="555">
        <v>0</v>
      </c>
      <c r="K86" s="557">
        <f t="shared" ref="K86:K96" si="10">(H86+I86)-J86</f>
        <v>0</v>
      </c>
    </row>
    <row r="87" spans="1:11" ht="18" customHeight="1" x14ac:dyDescent="0.4">
      <c r="A87" s="183" t="s">
        <v>114</v>
      </c>
      <c r="B87" s="116" t="s">
        <v>14</v>
      </c>
      <c r="F87" s="555">
        <v>2</v>
      </c>
      <c r="G87" s="555">
        <v>0</v>
      </c>
      <c r="H87" s="555">
        <v>300</v>
      </c>
      <c r="I87" s="144">
        <f t="shared" si="9"/>
        <v>223.00252445566426</v>
      </c>
      <c r="J87" s="555">
        <v>0</v>
      </c>
      <c r="K87" s="557">
        <f t="shared" si="10"/>
        <v>523.00252445566423</v>
      </c>
    </row>
    <row r="88" spans="1:11" ht="18" customHeight="1" x14ac:dyDescent="0.4">
      <c r="A88" s="183" t="s">
        <v>115</v>
      </c>
      <c r="B88" s="116" t="s">
        <v>116</v>
      </c>
      <c r="F88" s="555">
        <v>4193.3462074583995</v>
      </c>
      <c r="G88" s="555">
        <v>68</v>
      </c>
      <c r="H88" s="555">
        <v>184941.59999999998</v>
      </c>
      <c r="I88" s="144">
        <f t="shared" si="9"/>
        <v>137474.81225623225</v>
      </c>
      <c r="J88" s="555">
        <v>0</v>
      </c>
      <c r="K88" s="557">
        <f t="shared" si="10"/>
        <v>322416.41225623223</v>
      </c>
    </row>
    <row r="89" spans="1:11" ht="18" customHeight="1" x14ac:dyDescent="0.4">
      <c r="A89" s="183" t="s">
        <v>117</v>
      </c>
      <c r="B89" s="116" t="s">
        <v>58</v>
      </c>
      <c r="F89" s="555">
        <v>0</v>
      </c>
      <c r="G89" s="555">
        <v>0</v>
      </c>
      <c r="H89" s="555">
        <v>0</v>
      </c>
      <c r="I89" s="144">
        <f t="shared" si="9"/>
        <v>0</v>
      </c>
      <c r="J89" s="555">
        <v>0</v>
      </c>
      <c r="K89" s="557">
        <f t="shared" si="10"/>
        <v>0</v>
      </c>
    </row>
    <row r="90" spans="1:11" ht="18" customHeight="1" x14ac:dyDescent="0.4">
      <c r="A90" s="183" t="s">
        <v>118</v>
      </c>
      <c r="B90" s="956" t="s">
        <v>59</v>
      </c>
      <c r="C90" s="957"/>
      <c r="F90" s="555">
        <v>82.537559690486361</v>
      </c>
      <c r="G90" s="555">
        <v>70.663735313960245</v>
      </c>
      <c r="H90" s="555">
        <v>0</v>
      </c>
      <c r="I90" s="144">
        <f t="shared" si="9"/>
        <v>0</v>
      </c>
      <c r="J90" s="555">
        <v>0</v>
      </c>
      <c r="K90" s="557">
        <f t="shared" si="10"/>
        <v>0</v>
      </c>
    </row>
    <row r="91" spans="1:11" ht="18" customHeight="1" x14ac:dyDescent="0.4">
      <c r="A91" s="183" t="s">
        <v>119</v>
      </c>
      <c r="B91" s="116" t="s">
        <v>60</v>
      </c>
      <c r="F91" s="555">
        <v>1692.8948505192941</v>
      </c>
      <c r="G91" s="555">
        <v>0</v>
      </c>
      <c r="H91" s="555">
        <v>115629.44963713692</v>
      </c>
      <c r="I91" s="144">
        <f t="shared" si="9"/>
        <v>85952.197235002081</v>
      </c>
      <c r="J91" s="555">
        <v>872.74346800302476</v>
      </c>
      <c r="K91" s="557">
        <f t="shared" si="10"/>
        <v>200708.90340413598</v>
      </c>
    </row>
    <row r="92" spans="1:11" ht="18" customHeight="1" x14ac:dyDescent="0.4">
      <c r="A92" s="183" t="s">
        <v>120</v>
      </c>
      <c r="B92" s="116" t="s">
        <v>121</v>
      </c>
      <c r="F92" s="134">
        <v>309.48068246050838</v>
      </c>
      <c r="G92" s="134">
        <v>0</v>
      </c>
      <c r="H92" s="134">
        <v>702136.63651427696</v>
      </c>
      <c r="I92" s="144">
        <f t="shared" si="9"/>
        <v>521927.47485164297</v>
      </c>
      <c r="J92" s="134">
        <v>0</v>
      </c>
      <c r="K92" s="557">
        <f t="shared" si="10"/>
        <v>1224064.1113659199</v>
      </c>
    </row>
    <row r="93" spans="1:11" ht="18" customHeight="1" x14ac:dyDescent="0.4">
      <c r="A93" s="183" t="s">
        <v>122</v>
      </c>
      <c r="B93" s="116" t="s">
        <v>123</v>
      </c>
      <c r="F93" s="555">
        <v>322.31684378078552</v>
      </c>
      <c r="G93" s="555">
        <v>3680</v>
      </c>
      <c r="H93" s="555">
        <v>13439.999999999998</v>
      </c>
      <c r="I93" s="144">
        <f t="shared" si="9"/>
        <v>9990.5130956137582</v>
      </c>
      <c r="J93" s="555">
        <v>0</v>
      </c>
      <c r="K93" s="557">
        <f t="shared" si="10"/>
        <v>23430.513095613758</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6602.5761439094731</v>
      </c>
      <c r="G98" s="560">
        <f t="shared" si="11"/>
        <v>3818.6637353139604</v>
      </c>
      <c r="H98" s="560">
        <f t="shared" si="11"/>
        <v>1016447.6861514138</v>
      </c>
      <c r="I98" s="560">
        <f t="shared" si="11"/>
        <v>755567.99996294675</v>
      </c>
      <c r="J98" s="560">
        <f t="shared" si="11"/>
        <v>872.74346800302476</v>
      </c>
      <c r="K98" s="560">
        <f t="shared" si="11"/>
        <v>1771142.9426463575</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2788.0217965030724</v>
      </c>
      <c r="G102" s="555">
        <v>0</v>
      </c>
      <c r="H102" s="556">
        <v>233755.73592571836</v>
      </c>
      <c r="I102" s="144">
        <f>H102*F$114</f>
        <v>173760.39739142268</v>
      </c>
      <c r="J102" s="556">
        <v>1864.4974089155528</v>
      </c>
      <c r="K102" s="557">
        <f>(H102+I102)-J102</f>
        <v>405651.63590822549</v>
      </c>
    </row>
    <row r="103" spans="1:11" ht="18" customHeight="1" x14ac:dyDescent="0.4">
      <c r="A103" s="183" t="s">
        <v>132</v>
      </c>
      <c r="B103" s="956" t="s">
        <v>62</v>
      </c>
      <c r="C103" s="956"/>
      <c r="F103" s="555">
        <v>0</v>
      </c>
      <c r="G103" s="555">
        <v>0</v>
      </c>
      <c r="H103" s="556">
        <v>0</v>
      </c>
      <c r="I103" s="144">
        <f>H103*F$114</f>
        <v>0</v>
      </c>
      <c r="J103" s="556">
        <v>0</v>
      </c>
      <c r="K103" s="557">
        <f>(H103+I103)-J103</f>
        <v>0</v>
      </c>
    </row>
    <row r="104" spans="1:11" ht="18" customHeight="1" x14ac:dyDescent="0.4">
      <c r="A104" s="183" t="s">
        <v>128</v>
      </c>
      <c r="B104" s="973" t="s">
        <v>192</v>
      </c>
      <c r="C104" s="974"/>
      <c r="D104" s="975"/>
      <c r="F104" s="555">
        <v>2812.018300756396</v>
      </c>
      <c r="G104" s="555">
        <v>0</v>
      </c>
      <c r="H104" s="556">
        <v>144979.08286347336</v>
      </c>
      <c r="I104" s="144">
        <f>H104*F$114</f>
        <v>107769.00490607164</v>
      </c>
      <c r="J104" s="556">
        <v>793.40315273002261</v>
      </c>
      <c r="K104" s="557">
        <f>(H104+I104)-J104</f>
        <v>251954.68461681498</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5600.0400972594689</v>
      </c>
      <c r="G108" s="560">
        <f t="shared" si="12"/>
        <v>0</v>
      </c>
      <c r="H108" s="557">
        <f t="shared" si="12"/>
        <v>378734.81878919172</v>
      </c>
      <c r="I108" s="557">
        <f t="shared" si="12"/>
        <v>281529.40229749435</v>
      </c>
      <c r="J108" s="557">
        <f t="shared" si="12"/>
        <v>2657.9005616455752</v>
      </c>
      <c r="K108" s="557">
        <f t="shared" si="12"/>
        <v>657606.3205250405</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5786233.3499999996</v>
      </c>
    </row>
    <row r="112" spans="1:11" ht="18" customHeight="1" x14ac:dyDescent="0.4">
      <c r="B112" s="117"/>
      <c r="E112" s="117"/>
      <c r="F112" s="184"/>
    </row>
    <row r="113" spans="1:8" ht="18" customHeight="1" x14ac:dyDescent="0.4">
      <c r="A113" s="120"/>
      <c r="B113" s="117" t="s">
        <v>15</v>
      </c>
    </row>
    <row r="114" spans="1:8" ht="18" customHeight="1" x14ac:dyDescent="0.4">
      <c r="A114" s="183" t="s">
        <v>171</v>
      </c>
      <c r="B114" s="116" t="s">
        <v>35</v>
      </c>
      <c r="F114" s="570">
        <v>0.74334174818554755</v>
      </c>
    </row>
    <row r="115" spans="1:8" ht="18" customHeight="1" x14ac:dyDescent="0.4">
      <c r="A115" s="183"/>
      <c r="B115" s="117"/>
    </row>
    <row r="116" spans="1:8" ht="18" customHeight="1" x14ac:dyDescent="0.4">
      <c r="A116" s="183" t="s">
        <v>170</v>
      </c>
      <c r="B116" s="117" t="s">
        <v>16</v>
      </c>
    </row>
    <row r="117" spans="1:8" ht="18" customHeight="1" x14ac:dyDescent="0.4">
      <c r="A117" s="183" t="s">
        <v>172</v>
      </c>
      <c r="B117" s="116" t="s">
        <v>17</v>
      </c>
      <c r="F117" s="556">
        <v>394244654.13999999</v>
      </c>
    </row>
    <row r="118" spans="1:8" ht="18" customHeight="1" x14ac:dyDescent="0.4">
      <c r="A118" s="183" t="s">
        <v>173</v>
      </c>
      <c r="B118" s="189" t="s">
        <v>18</v>
      </c>
      <c r="F118" s="556">
        <v>14710283.050000001</v>
      </c>
    </row>
    <row r="119" spans="1:8" ht="18" customHeight="1" x14ac:dyDescent="0.4">
      <c r="A119" s="183" t="s">
        <v>174</v>
      </c>
      <c r="B119" s="117" t="s">
        <v>19</v>
      </c>
      <c r="F119" s="567">
        <f>SUM(F117:F118)</f>
        <v>408954937.19</v>
      </c>
    </row>
    <row r="120" spans="1:8" ht="18" customHeight="1" x14ac:dyDescent="0.4">
      <c r="A120" s="183"/>
      <c r="B120" s="117"/>
    </row>
    <row r="121" spans="1:8" ht="18" customHeight="1" x14ac:dyDescent="0.4">
      <c r="A121" s="183" t="s">
        <v>167</v>
      </c>
      <c r="B121" s="117" t="s">
        <v>36</v>
      </c>
      <c r="F121" s="556">
        <v>388910382.95999998</v>
      </c>
    </row>
    <row r="122" spans="1:8" ht="18" customHeight="1" x14ac:dyDescent="0.4">
      <c r="A122" s="183"/>
    </row>
    <row r="123" spans="1:8" ht="18" customHeight="1" x14ac:dyDescent="0.4">
      <c r="A123" s="183" t="s">
        <v>175</v>
      </c>
      <c r="B123" s="117" t="s">
        <v>20</v>
      </c>
      <c r="F123" s="556">
        <f>+F119-F121</f>
        <v>20044554.230000019</v>
      </c>
      <c r="G123" s="654"/>
      <c r="H123" s="185"/>
    </row>
    <row r="124" spans="1:8" ht="18" customHeight="1" x14ac:dyDescent="0.4">
      <c r="A124" s="183"/>
    </row>
    <row r="125" spans="1:8" ht="18" customHeight="1" x14ac:dyDescent="0.4">
      <c r="A125" s="183" t="s">
        <v>176</v>
      </c>
      <c r="B125" s="117" t="s">
        <v>21</v>
      </c>
      <c r="F125" s="556">
        <v>783207.44000000018</v>
      </c>
    </row>
    <row r="126" spans="1:8" ht="18" customHeight="1" x14ac:dyDescent="0.4">
      <c r="A126" s="183"/>
    </row>
    <row r="127" spans="1:8" ht="18" customHeight="1" x14ac:dyDescent="0.4">
      <c r="A127" s="183" t="s">
        <v>177</v>
      </c>
      <c r="B127" s="117" t="s">
        <v>22</v>
      </c>
      <c r="F127" s="556">
        <f>+F123+F125</f>
        <v>20827761.67000002</v>
      </c>
    </row>
    <row r="128" spans="1:8"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22041.679328321061</v>
      </c>
      <c r="G141" s="136">
        <f t="shared" si="14"/>
        <v>14622.058021673049</v>
      </c>
      <c r="H141" s="136">
        <f t="shared" si="14"/>
        <v>3631074.2883182368</v>
      </c>
      <c r="I141" s="136">
        <f t="shared" si="14"/>
        <v>2656792.7564431541</v>
      </c>
      <c r="J141" s="136">
        <f t="shared" si="14"/>
        <v>62160.219692583247</v>
      </c>
      <c r="K141" s="136">
        <f t="shared" si="14"/>
        <v>6225706.8250688082</v>
      </c>
    </row>
    <row r="142" spans="1:11" ht="18" customHeight="1" x14ac:dyDescent="0.4">
      <c r="A142" s="183" t="s">
        <v>142</v>
      </c>
      <c r="B142" s="117" t="s">
        <v>65</v>
      </c>
      <c r="F142" s="136">
        <f t="shared" ref="F142:K142" si="15">F49</f>
        <v>26481.495823775484</v>
      </c>
      <c r="G142" s="136">
        <f t="shared" si="15"/>
        <v>14183.79015610358</v>
      </c>
      <c r="H142" s="136">
        <f t="shared" si="15"/>
        <v>1501591.348200399</v>
      </c>
      <c r="I142" s="136">
        <f t="shared" si="15"/>
        <v>0</v>
      </c>
      <c r="J142" s="136">
        <f t="shared" si="15"/>
        <v>10566.924634160807</v>
      </c>
      <c r="K142" s="136">
        <f t="shared" si="15"/>
        <v>1491024.423566238</v>
      </c>
    </row>
    <row r="143" spans="1:11" ht="18" customHeight="1" x14ac:dyDescent="0.4">
      <c r="A143" s="183" t="s">
        <v>144</v>
      </c>
      <c r="B143" s="117" t="s">
        <v>66</v>
      </c>
      <c r="F143" s="136">
        <f t="shared" ref="F143:K143" si="16">F64</f>
        <v>156340.87697142857</v>
      </c>
      <c r="G143" s="136">
        <f t="shared" si="16"/>
        <v>54318.488307267427</v>
      </c>
      <c r="H143" s="136">
        <f t="shared" si="16"/>
        <v>17307110.148097105</v>
      </c>
      <c r="I143" s="136">
        <f t="shared" si="16"/>
        <v>0</v>
      </c>
      <c r="J143" s="136">
        <f t="shared" si="16"/>
        <v>367631.35</v>
      </c>
      <c r="K143" s="136">
        <f t="shared" si="16"/>
        <v>16939478.798097104</v>
      </c>
    </row>
    <row r="144" spans="1:11" ht="18" customHeight="1" x14ac:dyDescent="0.4">
      <c r="A144" s="183" t="s">
        <v>146</v>
      </c>
      <c r="B144" s="117" t="s">
        <v>67</v>
      </c>
      <c r="F144" s="136">
        <f t="shared" ref="F144:K144" si="17">F74</f>
        <v>17042.921428571426</v>
      </c>
      <c r="G144" s="136">
        <f t="shared" si="17"/>
        <v>0</v>
      </c>
      <c r="H144" s="136">
        <f t="shared" si="17"/>
        <v>978339.06499999994</v>
      </c>
      <c r="I144" s="136">
        <f t="shared" si="17"/>
        <v>0</v>
      </c>
      <c r="J144" s="136">
        <f t="shared" si="17"/>
        <v>101618.92</v>
      </c>
      <c r="K144" s="136">
        <f t="shared" si="17"/>
        <v>876720.1449999999</v>
      </c>
    </row>
    <row r="145" spans="1:11" ht="18" customHeight="1" x14ac:dyDescent="0.4">
      <c r="A145" s="183" t="s">
        <v>148</v>
      </c>
      <c r="B145" s="117" t="s">
        <v>68</v>
      </c>
      <c r="F145" s="136">
        <f t="shared" ref="F145:K145" si="18">F82</f>
        <v>198.80774425783036</v>
      </c>
      <c r="G145" s="136">
        <f t="shared" si="18"/>
        <v>23.168437807855817</v>
      </c>
      <c r="H145" s="136">
        <f t="shared" si="18"/>
        <v>903863.14992460364</v>
      </c>
      <c r="I145" s="136">
        <f t="shared" si="18"/>
        <v>0</v>
      </c>
      <c r="J145" s="136">
        <f t="shared" si="18"/>
        <v>0</v>
      </c>
      <c r="K145" s="136">
        <f t="shared" si="18"/>
        <v>903863.14992460364</v>
      </c>
    </row>
    <row r="146" spans="1:11" ht="18" customHeight="1" x14ac:dyDescent="0.4">
      <c r="A146" s="183" t="s">
        <v>150</v>
      </c>
      <c r="B146" s="117" t="s">
        <v>69</v>
      </c>
      <c r="F146" s="136">
        <f t="shared" ref="F146:K146" si="19">F98</f>
        <v>6602.5761439094731</v>
      </c>
      <c r="G146" s="136">
        <f t="shared" si="19"/>
        <v>3818.6637353139604</v>
      </c>
      <c r="H146" s="136">
        <f t="shared" si="19"/>
        <v>1016447.6861514138</v>
      </c>
      <c r="I146" s="136">
        <f t="shared" si="19"/>
        <v>755567.99996294675</v>
      </c>
      <c r="J146" s="136">
        <f t="shared" si="19"/>
        <v>872.74346800302476</v>
      </c>
      <c r="K146" s="136">
        <f t="shared" si="19"/>
        <v>1771142.9426463575</v>
      </c>
    </row>
    <row r="147" spans="1:11" ht="18" customHeight="1" x14ac:dyDescent="0.4">
      <c r="A147" s="183" t="s">
        <v>153</v>
      </c>
      <c r="B147" s="117" t="s">
        <v>61</v>
      </c>
      <c r="F147" s="560">
        <f t="shared" ref="F147:K147" si="20">F108</f>
        <v>5600.0400972594689</v>
      </c>
      <c r="G147" s="560">
        <f t="shared" si="20"/>
        <v>0</v>
      </c>
      <c r="H147" s="560">
        <f t="shared" si="20"/>
        <v>378734.81878919172</v>
      </c>
      <c r="I147" s="560">
        <f t="shared" si="20"/>
        <v>281529.40229749435</v>
      </c>
      <c r="J147" s="560">
        <f t="shared" si="20"/>
        <v>2657.9005616455752</v>
      </c>
      <c r="K147" s="560">
        <f t="shared" si="20"/>
        <v>657606.3205250405</v>
      </c>
    </row>
    <row r="148" spans="1:11" ht="18" customHeight="1" x14ac:dyDescent="0.4">
      <c r="A148" s="183" t="s">
        <v>155</v>
      </c>
      <c r="B148" s="117" t="s">
        <v>70</v>
      </c>
      <c r="F148" s="137" t="s">
        <v>73</v>
      </c>
      <c r="G148" s="137" t="s">
        <v>73</v>
      </c>
      <c r="H148" s="138" t="s">
        <v>73</v>
      </c>
      <c r="I148" s="138" t="s">
        <v>73</v>
      </c>
      <c r="J148" s="138" t="s">
        <v>73</v>
      </c>
      <c r="K148" s="843">
        <f>F111</f>
        <v>5786233.3499999996</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7959940.5034110863</v>
      </c>
      <c r="I150" s="560">
        <f>I18</f>
        <v>0</v>
      </c>
      <c r="J150" s="560">
        <f>J18</f>
        <v>6617314.7242203262</v>
      </c>
      <c r="K150" s="560">
        <f>K18</f>
        <v>1342625.7791907601</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J152" si="22">SUM(F141:F150)</f>
        <v>234308.39753752333</v>
      </c>
      <c r="G152" s="143">
        <f t="shared" si="22"/>
        <v>86966.168658165872</v>
      </c>
      <c r="H152" s="143">
        <f t="shared" si="22"/>
        <v>33677101.007892035</v>
      </c>
      <c r="I152" s="143">
        <f t="shared" si="22"/>
        <v>3693890.1587035954</v>
      </c>
      <c r="J152" s="143">
        <f t="shared" si="22"/>
        <v>7162822.7825767193</v>
      </c>
      <c r="K152" s="143">
        <f>SUM(K141:K150)</f>
        <v>35994401.734018907</v>
      </c>
    </row>
    <row r="154" spans="1:11" ht="18" customHeight="1" x14ac:dyDescent="0.4">
      <c r="A154" s="120" t="s">
        <v>168</v>
      </c>
      <c r="B154" s="117" t="s">
        <v>28</v>
      </c>
      <c r="F154" s="571">
        <f>K152/F121</f>
        <v>9.2551917642479054E-2</v>
      </c>
    </row>
    <row r="155" spans="1:11" ht="18" customHeight="1" x14ac:dyDescent="0.4">
      <c r="A155" s="120" t="s">
        <v>169</v>
      </c>
      <c r="B155" s="117" t="s">
        <v>72</v>
      </c>
      <c r="F155" s="571">
        <f>K152/F127</f>
        <v>1.728193471018284</v>
      </c>
      <c r="G155" s="117"/>
    </row>
    <row r="156" spans="1:11" ht="18" customHeight="1" x14ac:dyDescent="0.4">
      <c r="G156" s="117"/>
    </row>
  </sheetData>
  <mergeCells count="34">
    <mergeCell ref="D2:H2"/>
    <mergeCell ref="B45:D45"/>
    <mergeCell ref="B46:D46"/>
    <mergeCell ref="B47:D47"/>
    <mergeCell ref="B34:D34"/>
    <mergeCell ref="B41:C41"/>
    <mergeCell ref="B44:D44"/>
    <mergeCell ref="B13:H13"/>
    <mergeCell ref="C5:G5"/>
    <mergeCell ref="C6:G6"/>
    <mergeCell ref="C7:G7"/>
    <mergeCell ref="C11:G11"/>
    <mergeCell ref="C9:G9"/>
    <mergeCell ref="C10:G10"/>
    <mergeCell ref="B31:D31"/>
    <mergeCell ref="B30:D30"/>
    <mergeCell ref="B134:D134"/>
    <mergeCell ref="B135:D135"/>
    <mergeCell ref="B133:D133"/>
    <mergeCell ref="B104:D104"/>
    <mergeCell ref="B105:D105"/>
    <mergeCell ref="B106:D106"/>
    <mergeCell ref="B103:C103"/>
    <mergeCell ref="B96:D96"/>
    <mergeCell ref="B95:D95"/>
    <mergeCell ref="B57:D57"/>
    <mergeCell ref="B94:D94"/>
    <mergeCell ref="B90:C90"/>
    <mergeCell ref="B59:D59"/>
    <mergeCell ref="B52:C52"/>
    <mergeCell ref="B53:D53"/>
    <mergeCell ref="B55:D55"/>
    <mergeCell ref="B56:D56"/>
    <mergeCell ref="B62:D62"/>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K156"/>
  <sheetViews>
    <sheetView showGridLines="0" zoomScale="80" zoomScaleNormal="80" zoomScaleSheetLayoutView="7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489</v>
      </c>
      <c r="D5" s="962"/>
      <c r="E5" s="962"/>
      <c r="F5" s="962"/>
      <c r="G5" s="963"/>
    </row>
    <row r="6" spans="1:11" ht="18" customHeight="1" x14ac:dyDescent="0.4">
      <c r="B6" s="183" t="s">
        <v>3</v>
      </c>
      <c r="C6" s="964">
        <v>3029</v>
      </c>
      <c r="D6" s="965"/>
      <c r="E6" s="965"/>
      <c r="F6" s="965"/>
      <c r="G6" s="966"/>
    </row>
    <row r="7" spans="1:11" ht="18" customHeight="1" x14ac:dyDescent="0.4">
      <c r="B7" s="183" t="s">
        <v>4</v>
      </c>
      <c r="C7" s="1014">
        <v>573</v>
      </c>
      <c r="D7" s="1015"/>
      <c r="E7" s="1015"/>
      <c r="F7" s="1015"/>
      <c r="G7" s="1016"/>
    </row>
    <row r="9" spans="1:11" ht="18" customHeight="1" x14ac:dyDescent="0.4">
      <c r="B9" s="183" t="s">
        <v>1</v>
      </c>
      <c r="C9" s="961" t="s">
        <v>555</v>
      </c>
      <c r="D9" s="962"/>
      <c r="E9" s="962"/>
      <c r="F9" s="962"/>
      <c r="G9" s="963"/>
    </row>
    <row r="10" spans="1:11" ht="18" customHeight="1" x14ac:dyDescent="0.4">
      <c r="B10" s="183" t="s">
        <v>2</v>
      </c>
      <c r="C10" s="970" t="s">
        <v>556</v>
      </c>
      <c r="D10" s="971"/>
      <c r="E10" s="971"/>
      <c r="F10" s="971"/>
      <c r="G10" s="972"/>
    </row>
    <row r="11" spans="1:11" ht="18" customHeight="1" x14ac:dyDescent="0.4">
      <c r="B11" s="183" t="s">
        <v>32</v>
      </c>
      <c r="C11" s="961" t="s">
        <v>557</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v>0</v>
      </c>
      <c r="G18" s="555">
        <v>0</v>
      </c>
      <c r="H18" s="556">
        <v>0</v>
      </c>
      <c r="I18" s="144">
        <v>0</v>
      </c>
      <c r="J18" s="556">
        <v>0</v>
      </c>
      <c r="K18" s="557">
        <f>(H18+I18)-J18</f>
        <v>0</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943.64992915085384</v>
      </c>
      <c r="G21" s="558">
        <v>990.07832112545873</v>
      </c>
      <c r="H21" s="556">
        <v>48704.213307267833</v>
      </c>
      <c r="I21" s="144">
        <f t="shared" ref="I21:I34" si="0">H21*F$114</f>
        <v>43097.189810163247</v>
      </c>
      <c r="J21" s="556">
        <v>1707.6213358035811</v>
      </c>
      <c r="K21" s="557">
        <f t="shared" ref="K21:K34" si="1">(H21+I21)-J21</f>
        <v>90093.781781627506</v>
      </c>
    </row>
    <row r="22" spans="1:11" ht="18" customHeight="1" x14ac:dyDescent="0.4">
      <c r="A22" s="183" t="s">
        <v>76</v>
      </c>
      <c r="B22" s="189" t="s">
        <v>6</v>
      </c>
      <c r="F22" s="555">
        <v>178.14395074384092</v>
      </c>
      <c r="G22" s="555">
        <v>0</v>
      </c>
      <c r="H22" s="556">
        <v>14565.505756957424</v>
      </c>
      <c r="I22" s="144">
        <f t="shared" si="0"/>
        <v>12888.666578563685</v>
      </c>
      <c r="J22" s="556">
        <v>3539.5804446353072</v>
      </c>
      <c r="K22" s="557">
        <f t="shared" si="1"/>
        <v>23914.5918908858</v>
      </c>
    </row>
    <row r="23" spans="1:11" ht="18" customHeight="1" x14ac:dyDescent="0.4">
      <c r="A23" s="183" t="s">
        <v>77</v>
      </c>
      <c r="B23" s="189" t="s">
        <v>43</v>
      </c>
      <c r="F23" s="555">
        <v>62.097424869347321</v>
      </c>
      <c r="G23" s="555">
        <v>0</v>
      </c>
      <c r="H23" s="556">
        <v>1650.6249130034812</v>
      </c>
      <c r="I23" s="144">
        <f t="shared" si="0"/>
        <v>1460.5983825731939</v>
      </c>
      <c r="J23" s="556">
        <v>146.73171814293045</v>
      </c>
      <c r="K23" s="557">
        <f t="shared" si="1"/>
        <v>2964.4915774337446</v>
      </c>
    </row>
    <row r="24" spans="1:11" ht="18" customHeight="1" x14ac:dyDescent="0.4">
      <c r="A24" s="183" t="s">
        <v>78</v>
      </c>
      <c r="B24" s="189" t="s">
        <v>44</v>
      </c>
      <c r="F24" s="555">
        <v>25626.175232632246</v>
      </c>
      <c r="G24" s="555">
        <v>39471.031429421775</v>
      </c>
      <c r="H24" s="556">
        <v>572062.28</v>
      </c>
      <c r="I24" s="144">
        <f t="shared" si="0"/>
        <v>506204.18625498563</v>
      </c>
      <c r="J24" s="556">
        <v>267075</v>
      </c>
      <c r="K24" s="557">
        <f t="shared" si="1"/>
        <v>811191.46625498566</v>
      </c>
    </row>
    <row r="25" spans="1:11" ht="18" customHeight="1" x14ac:dyDescent="0.4">
      <c r="A25" s="183" t="s">
        <v>79</v>
      </c>
      <c r="B25" s="189" t="s">
        <v>5</v>
      </c>
      <c r="F25" s="555">
        <v>218.43344952430076</v>
      </c>
      <c r="G25" s="555">
        <v>0</v>
      </c>
      <c r="H25" s="556">
        <v>6894.1088741193889</v>
      </c>
      <c r="I25" s="144">
        <f t="shared" si="0"/>
        <v>6100.4315344421593</v>
      </c>
      <c r="J25" s="556">
        <v>521.54035755357529</v>
      </c>
      <c r="K25" s="557">
        <f t="shared" si="1"/>
        <v>12473.000051007974</v>
      </c>
    </row>
    <row r="26" spans="1:11" ht="18" customHeight="1" x14ac:dyDescent="0.4">
      <c r="A26" s="183" t="s">
        <v>80</v>
      </c>
      <c r="B26" s="189" t="s">
        <v>45</v>
      </c>
      <c r="F26" s="555">
        <v>0</v>
      </c>
      <c r="G26" s="555">
        <v>0</v>
      </c>
      <c r="H26" s="556">
        <v>0</v>
      </c>
      <c r="I26" s="144">
        <f t="shared" si="0"/>
        <v>0</v>
      </c>
      <c r="J26" s="556">
        <v>0</v>
      </c>
      <c r="K26" s="557">
        <f t="shared" si="1"/>
        <v>0</v>
      </c>
    </row>
    <row r="27" spans="1:11" ht="18" customHeight="1" x14ac:dyDescent="0.4">
      <c r="A27" s="183" t="s">
        <v>81</v>
      </c>
      <c r="B27" s="189" t="s">
        <v>498</v>
      </c>
      <c r="F27" s="555">
        <v>0</v>
      </c>
      <c r="G27" s="555">
        <v>0</v>
      </c>
      <c r="H27" s="556">
        <v>0</v>
      </c>
      <c r="I27" s="144">
        <f t="shared" si="0"/>
        <v>0</v>
      </c>
      <c r="J27" s="556">
        <v>0</v>
      </c>
      <c r="K27" s="557">
        <f t="shared" si="1"/>
        <v>0</v>
      </c>
    </row>
    <row r="28" spans="1:11" ht="18" customHeight="1" x14ac:dyDescent="0.4">
      <c r="A28" s="183" t="s">
        <v>82</v>
      </c>
      <c r="B28" s="189" t="s">
        <v>47</v>
      </c>
      <c r="F28" s="555">
        <v>0</v>
      </c>
      <c r="G28" s="555">
        <v>0</v>
      </c>
      <c r="H28" s="556">
        <v>0</v>
      </c>
      <c r="I28" s="144">
        <f t="shared" si="0"/>
        <v>0</v>
      </c>
      <c r="J28" s="556">
        <v>0</v>
      </c>
      <c r="K28" s="557">
        <f t="shared" si="1"/>
        <v>0</v>
      </c>
    </row>
    <row r="29" spans="1:11" ht="18" customHeight="1" x14ac:dyDescent="0.4">
      <c r="A29" s="183" t="s">
        <v>83</v>
      </c>
      <c r="B29" s="189" t="s">
        <v>48</v>
      </c>
      <c r="F29" s="555">
        <v>57.144542153646611</v>
      </c>
      <c r="G29" s="555">
        <v>0</v>
      </c>
      <c r="H29" s="556">
        <v>99531.696360397313</v>
      </c>
      <c r="I29" s="144">
        <f t="shared" si="0"/>
        <v>88073.210075471565</v>
      </c>
      <c r="J29" s="556">
        <v>753.56768097440829</v>
      </c>
      <c r="K29" s="557">
        <f t="shared" si="1"/>
        <v>186851.33875489447</v>
      </c>
    </row>
    <row r="30" spans="1:11" ht="18" customHeight="1" x14ac:dyDescent="0.4">
      <c r="A30" s="183" t="s">
        <v>84</v>
      </c>
      <c r="B30" s="1152" t="s">
        <v>193</v>
      </c>
      <c r="C30" s="1153"/>
      <c r="D30" s="1154"/>
      <c r="F30" s="555">
        <v>72.926047480906178</v>
      </c>
      <c r="G30" s="555">
        <v>0</v>
      </c>
      <c r="H30" s="556">
        <v>4616.8663659165159</v>
      </c>
      <c r="I30" s="144">
        <f t="shared" si="0"/>
        <v>4085.3542761231915</v>
      </c>
      <c r="J30" s="556">
        <v>19.538366375864104</v>
      </c>
      <c r="K30" s="557">
        <f t="shared" si="1"/>
        <v>8682.682275663843</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31"/>
      <c r="C32" s="532"/>
      <c r="D32" s="533"/>
      <c r="F32" s="555"/>
      <c r="G32" s="558" t="s">
        <v>85</v>
      </c>
      <c r="H32" s="556"/>
      <c r="I32" s="144">
        <f t="shared" si="0"/>
        <v>0</v>
      </c>
      <c r="J32" s="556"/>
      <c r="K32" s="557">
        <f t="shared" si="1"/>
        <v>0</v>
      </c>
    </row>
    <row r="33" spans="1:11" ht="18" customHeight="1" x14ac:dyDescent="0.4">
      <c r="A33" s="183" t="s">
        <v>135</v>
      </c>
      <c r="B33" s="531"/>
      <c r="C33" s="532"/>
      <c r="D33" s="533"/>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27158.570576555143</v>
      </c>
      <c r="G36" s="560">
        <f t="shared" si="2"/>
        <v>40461.109750547235</v>
      </c>
      <c r="H36" s="560">
        <f t="shared" si="2"/>
        <v>748025.29557766195</v>
      </c>
      <c r="I36" s="557">
        <f t="shared" si="2"/>
        <v>661909.6369123226</v>
      </c>
      <c r="J36" s="557">
        <f t="shared" si="2"/>
        <v>273763.57990348566</v>
      </c>
      <c r="K36" s="557">
        <f t="shared" si="2"/>
        <v>1136171.3525864989</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0</v>
      </c>
      <c r="G40" s="555">
        <v>0</v>
      </c>
      <c r="H40" s="556">
        <v>0</v>
      </c>
      <c r="I40" s="144">
        <v>0</v>
      </c>
      <c r="J40" s="556">
        <v>0</v>
      </c>
      <c r="K40" s="557">
        <f t="shared" ref="K40:K47" si="3">(H40+I40)-J40</f>
        <v>0</v>
      </c>
    </row>
    <row r="41" spans="1:11" ht="18" customHeight="1" x14ac:dyDescent="0.4">
      <c r="A41" s="183" t="s">
        <v>88</v>
      </c>
      <c r="B41" s="956" t="s">
        <v>50</v>
      </c>
      <c r="C41" s="957"/>
      <c r="F41" s="555">
        <v>0</v>
      </c>
      <c r="G41" s="555">
        <v>0</v>
      </c>
      <c r="H41" s="556">
        <v>0</v>
      </c>
      <c r="I41" s="144">
        <v>0</v>
      </c>
      <c r="J41" s="556">
        <v>0</v>
      </c>
      <c r="K41" s="557">
        <f t="shared" si="3"/>
        <v>0</v>
      </c>
    </row>
    <row r="42" spans="1:11" ht="18" customHeight="1" x14ac:dyDescent="0.4">
      <c r="A42" s="183" t="s">
        <v>89</v>
      </c>
      <c r="B42" s="116" t="s">
        <v>11</v>
      </c>
      <c r="F42" s="555">
        <v>13476.752123327904</v>
      </c>
      <c r="G42" s="555">
        <v>2137.6690209872067</v>
      </c>
      <c r="H42" s="556">
        <v>681282.94992239331</v>
      </c>
      <c r="I42" s="144">
        <v>0</v>
      </c>
      <c r="J42" s="556">
        <v>1161.1696229446134</v>
      </c>
      <c r="K42" s="557">
        <f t="shared" si="3"/>
        <v>680121.78029944864</v>
      </c>
    </row>
    <row r="43" spans="1:11" ht="18" customHeight="1" x14ac:dyDescent="0.4">
      <c r="A43" s="183" t="s">
        <v>90</v>
      </c>
      <c r="B43" s="141" t="s">
        <v>10</v>
      </c>
      <c r="C43" s="123"/>
      <c r="D43" s="123"/>
      <c r="F43" s="555">
        <v>0</v>
      </c>
      <c r="G43" s="555">
        <v>0</v>
      </c>
      <c r="H43" s="556">
        <v>0</v>
      </c>
      <c r="I43" s="144">
        <v>0</v>
      </c>
      <c r="J43" s="556">
        <v>0</v>
      </c>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1" ht="18" customHeight="1" x14ac:dyDescent="0.4">
      <c r="A49" s="120" t="s">
        <v>142</v>
      </c>
      <c r="B49" s="117" t="s">
        <v>143</v>
      </c>
      <c r="E49" s="117" t="s">
        <v>7</v>
      </c>
      <c r="F49" s="563">
        <f t="shared" ref="F49:K49" si="4">SUM(F40:F47)</f>
        <v>13476.752123327904</v>
      </c>
      <c r="G49" s="563">
        <f t="shared" si="4"/>
        <v>2137.6690209872067</v>
      </c>
      <c r="H49" s="557">
        <f t="shared" si="4"/>
        <v>681282.94992239331</v>
      </c>
      <c r="I49" s="557">
        <f t="shared" si="4"/>
        <v>0</v>
      </c>
      <c r="J49" s="557">
        <f t="shared" si="4"/>
        <v>1161.1696229446134</v>
      </c>
      <c r="K49" s="557">
        <f t="shared" si="4"/>
        <v>680121.78029944864</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1152" t="s">
        <v>187</v>
      </c>
      <c r="C53" s="1153"/>
      <c r="D53" s="1154"/>
      <c r="F53" s="555">
        <v>0</v>
      </c>
      <c r="G53" s="555">
        <v>0</v>
      </c>
      <c r="H53" s="556">
        <v>0</v>
      </c>
      <c r="I53" s="144">
        <v>0</v>
      </c>
      <c r="J53" s="556">
        <v>0</v>
      </c>
      <c r="K53" s="557">
        <f t="shared" ref="K53:K62" si="5">(H53+I53)-J53</f>
        <v>0</v>
      </c>
    </row>
    <row r="54" spans="1:11" ht="18" customHeight="1" x14ac:dyDescent="0.4">
      <c r="A54" s="183" t="s">
        <v>93</v>
      </c>
      <c r="B54" s="1152" t="s">
        <v>188</v>
      </c>
      <c r="C54" s="1153"/>
      <c r="D54" s="1154"/>
      <c r="F54" s="555">
        <v>0</v>
      </c>
      <c r="G54" s="555">
        <v>0</v>
      </c>
      <c r="H54" s="556">
        <v>16561.7</v>
      </c>
      <c r="I54" s="144">
        <v>0</v>
      </c>
      <c r="J54" s="556">
        <v>0</v>
      </c>
      <c r="K54" s="557">
        <f t="shared" si="5"/>
        <v>16561.7</v>
      </c>
    </row>
    <row r="55" spans="1:11" ht="18" customHeight="1" x14ac:dyDescent="0.4">
      <c r="A55" s="183" t="s">
        <v>94</v>
      </c>
      <c r="B55" s="1152" t="s">
        <v>189</v>
      </c>
      <c r="C55" s="1153"/>
      <c r="D55" s="1154"/>
      <c r="F55" s="555">
        <v>0</v>
      </c>
      <c r="G55" s="555">
        <v>0</v>
      </c>
      <c r="H55" s="556">
        <v>0</v>
      </c>
      <c r="I55" s="144">
        <v>0</v>
      </c>
      <c r="J55" s="556">
        <v>0</v>
      </c>
      <c r="K55" s="557">
        <f t="shared" si="5"/>
        <v>0</v>
      </c>
    </row>
    <row r="56" spans="1:11" ht="18" customHeight="1" x14ac:dyDescent="0.4">
      <c r="A56" s="183" t="s">
        <v>95</v>
      </c>
      <c r="B56" s="1152" t="s">
        <v>190</v>
      </c>
      <c r="C56" s="1153"/>
      <c r="D56" s="1154"/>
      <c r="F56" s="555">
        <v>0</v>
      </c>
      <c r="G56" s="555">
        <v>0</v>
      </c>
      <c r="H56" s="556">
        <v>0</v>
      </c>
      <c r="I56" s="144">
        <v>0</v>
      </c>
      <c r="J56" s="556">
        <v>0</v>
      </c>
      <c r="K56" s="557">
        <f t="shared" si="5"/>
        <v>0</v>
      </c>
    </row>
    <row r="57" spans="1:11" ht="18" customHeight="1" x14ac:dyDescent="0.4">
      <c r="A57" s="183" t="s">
        <v>96</v>
      </c>
      <c r="B57" s="1152" t="s">
        <v>191</v>
      </c>
      <c r="C57" s="1153"/>
      <c r="D57" s="1154"/>
      <c r="F57" s="555">
        <v>0</v>
      </c>
      <c r="G57" s="555">
        <v>5804.1154821997688</v>
      </c>
      <c r="H57" s="556">
        <v>368167.42000000039</v>
      </c>
      <c r="I57" s="144">
        <v>0</v>
      </c>
      <c r="J57" s="556">
        <v>0</v>
      </c>
      <c r="K57" s="557">
        <f t="shared" si="5"/>
        <v>368167.42000000039</v>
      </c>
    </row>
    <row r="58" spans="1:11" ht="18" customHeight="1" x14ac:dyDescent="0.4">
      <c r="A58" s="183" t="s">
        <v>97</v>
      </c>
      <c r="B58" s="1152"/>
      <c r="C58" s="1153"/>
      <c r="D58" s="1154"/>
      <c r="F58" s="555"/>
      <c r="G58" s="555"/>
      <c r="H58" s="556"/>
      <c r="I58" s="144">
        <v>0</v>
      </c>
      <c r="J58" s="556"/>
      <c r="K58" s="557">
        <f t="shared" si="5"/>
        <v>0</v>
      </c>
    </row>
    <row r="59" spans="1:11" ht="18" customHeight="1" x14ac:dyDescent="0.4">
      <c r="A59" s="183" t="s">
        <v>98</v>
      </c>
      <c r="B59" s="1152"/>
      <c r="C59" s="1153"/>
      <c r="D59" s="1154"/>
      <c r="F59" s="555"/>
      <c r="G59" s="555"/>
      <c r="H59" s="556"/>
      <c r="I59" s="144">
        <v>0</v>
      </c>
      <c r="J59" s="556"/>
      <c r="K59" s="557">
        <f t="shared" si="5"/>
        <v>0</v>
      </c>
    </row>
    <row r="60" spans="1:11" ht="18" customHeight="1" x14ac:dyDescent="0.4">
      <c r="A60" s="183" t="s">
        <v>99</v>
      </c>
      <c r="B60" s="1152"/>
      <c r="C60" s="1153"/>
      <c r="D60" s="1154"/>
      <c r="F60" s="555"/>
      <c r="G60" s="555"/>
      <c r="H60" s="556"/>
      <c r="I60" s="144">
        <v>0</v>
      </c>
      <c r="J60" s="556"/>
      <c r="K60" s="557">
        <f t="shared" si="5"/>
        <v>0</v>
      </c>
    </row>
    <row r="61" spans="1:11" ht="18" customHeight="1" x14ac:dyDescent="0.4">
      <c r="A61" s="183" t="s">
        <v>100</v>
      </c>
      <c r="B61" s="1152"/>
      <c r="C61" s="1153"/>
      <c r="D61" s="1154"/>
      <c r="F61" s="555"/>
      <c r="G61" s="555"/>
      <c r="H61" s="556"/>
      <c r="I61" s="144">
        <v>0</v>
      </c>
      <c r="J61" s="556"/>
      <c r="K61" s="557">
        <f t="shared" si="5"/>
        <v>0</v>
      </c>
    </row>
    <row r="62" spans="1:11" ht="18" customHeight="1" x14ac:dyDescent="0.4">
      <c r="A62" s="183" t="s">
        <v>101</v>
      </c>
      <c r="B62" s="1152"/>
      <c r="C62" s="1153"/>
      <c r="D62" s="1154"/>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0</v>
      </c>
      <c r="G64" s="560">
        <f t="shared" si="6"/>
        <v>5804.1154821997688</v>
      </c>
      <c r="H64" s="557">
        <f t="shared" si="6"/>
        <v>384729.1200000004</v>
      </c>
      <c r="I64" s="557">
        <f t="shared" si="6"/>
        <v>0</v>
      </c>
      <c r="J64" s="557">
        <f t="shared" si="6"/>
        <v>0</v>
      </c>
      <c r="K64" s="557">
        <f t="shared" si="6"/>
        <v>384729.1200000004</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v>0</v>
      </c>
      <c r="G68" s="564">
        <v>0</v>
      </c>
      <c r="H68" s="564">
        <v>0</v>
      </c>
      <c r="I68" s="144">
        <v>0</v>
      </c>
      <c r="J68" s="564">
        <v>0</v>
      </c>
      <c r="K68" s="557">
        <f>(H68+I68)-J68</f>
        <v>0</v>
      </c>
    </row>
    <row r="69" spans="1:11" ht="18" customHeight="1" x14ac:dyDescent="0.4">
      <c r="A69" s="183" t="s">
        <v>104</v>
      </c>
      <c r="B69" s="116" t="s">
        <v>53</v>
      </c>
      <c r="F69" s="564">
        <v>0</v>
      </c>
      <c r="G69" s="564">
        <v>0</v>
      </c>
      <c r="H69" s="564">
        <v>0</v>
      </c>
      <c r="I69" s="144">
        <v>0</v>
      </c>
      <c r="J69" s="564">
        <v>0</v>
      </c>
      <c r="K69" s="557">
        <f>(H69+I69)-J69</f>
        <v>0</v>
      </c>
    </row>
    <row r="70" spans="1:11" ht="18" customHeight="1" x14ac:dyDescent="0.4">
      <c r="A70" s="183" t="s">
        <v>178</v>
      </c>
      <c r="B70" s="536"/>
      <c r="C70" s="537"/>
      <c r="D70" s="538"/>
      <c r="E70" s="117"/>
      <c r="F70" s="131"/>
      <c r="G70" s="131"/>
      <c r="H70" s="132"/>
      <c r="I70" s="144">
        <v>0</v>
      </c>
      <c r="J70" s="132"/>
      <c r="K70" s="557">
        <f>(H70+I70)-J70</f>
        <v>0</v>
      </c>
    </row>
    <row r="71" spans="1:11" ht="18" customHeight="1" x14ac:dyDescent="0.4">
      <c r="A71" s="183" t="s">
        <v>179</v>
      </c>
      <c r="B71" s="536"/>
      <c r="C71" s="537"/>
      <c r="D71" s="538"/>
      <c r="E71" s="117"/>
      <c r="F71" s="131"/>
      <c r="G71" s="131"/>
      <c r="H71" s="132"/>
      <c r="I71" s="144">
        <v>0</v>
      </c>
      <c r="J71" s="132"/>
      <c r="K71" s="557">
        <f>(H71+I71)-J71</f>
        <v>0</v>
      </c>
    </row>
    <row r="72" spans="1:11" ht="18" customHeight="1" x14ac:dyDescent="0.4">
      <c r="A72" s="183" t="s">
        <v>180</v>
      </c>
      <c r="B72" s="544"/>
      <c r="C72" s="543"/>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0</v>
      </c>
      <c r="G74" s="566">
        <f t="shared" si="7"/>
        <v>0</v>
      </c>
      <c r="H74" s="566">
        <f t="shared" si="7"/>
        <v>0</v>
      </c>
      <c r="I74" s="145">
        <f t="shared" si="7"/>
        <v>0</v>
      </c>
      <c r="J74" s="566">
        <f t="shared" si="7"/>
        <v>0</v>
      </c>
      <c r="K74" s="567">
        <f t="shared" si="7"/>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v>0</v>
      </c>
      <c r="G77" s="555">
        <v>0</v>
      </c>
      <c r="H77" s="556">
        <v>85472.693782162707</v>
      </c>
      <c r="I77" s="144">
        <v>0</v>
      </c>
      <c r="J77" s="556">
        <v>0</v>
      </c>
      <c r="K77" s="557">
        <f>(H77+I77)-J77</f>
        <v>85472.693782162707</v>
      </c>
    </row>
    <row r="78" spans="1:11" ht="18" customHeight="1" x14ac:dyDescent="0.4">
      <c r="A78" s="183" t="s">
        <v>108</v>
      </c>
      <c r="B78" s="116" t="s">
        <v>55</v>
      </c>
      <c r="F78" s="555">
        <v>0</v>
      </c>
      <c r="G78" s="555">
        <v>0</v>
      </c>
      <c r="H78" s="556">
        <v>0</v>
      </c>
      <c r="I78" s="144">
        <v>0</v>
      </c>
      <c r="J78" s="556">
        <v>0</v>
      </c>
      <c r="K78" s="557">
        <f>(H78+I78)-J78</f>
        <v>0</v>
      </c>
    </row>
    <row r="79" spans="1:11" ht="18" customHeight="1" x14ac:dyDescent="0.4">
      <c r="A79" s="183" t="s">
        <v>109</v>
      </c>
      <c r="B79" s="116" t="s">
        <v>13</v>
      </c>
      <c r="F79" s="555">
        <v>0</v>
      </c>
      <c r="G79" s="555">
        <v>0</v>
      </c>
      <c r="H79" s="556">
        <v>0</v>
      </c>
      <c r="I79" s="144">
        <v>0</v>
      </c>
      <c r="J79" s="556">
        <v>0</v>
      </c>
      <c r="K79" s="557">
        <f>(H79+I79)-J79</f>
        <v>0</v>
      </c>
    </row>
    <row r="80" spans="1:11" ht="18" customHeight="1" x14ac:dyDescent="0.4">
      <c r="A80" s="183" t="s">
        <v>110</v>
      </c>
      <c r="B80" s="116" t="s">
        <v>56</v>
      </c>
      <c r="F80" s="555">
        <v>0</v>
      </c>
      <c r="G80" s="555">
        <v>0</v>
      </c>
      <c r="H80" s="556">
        <v>0</v>
      </c>
      <c r="I80" s="144">
        <v>0</v>
      </c>
      <c r="J80" s="556">
        <v>0</v>
      </c>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0</v>
      </c>
      <c r="G82" s="566">
        <f t="shared" si="8"/>
        <v>0</v>
      </c>
      <c r="H82" s="567">
        <f t="shared" si="8"/>
        <v>85472.693782162707</v>
      </c>
      <c r="I82" s="567">
        <f t="shared" si="8"/>
        <v>0</v>
      </c>
      <c r="J82" s="567">
        <f t="shared" si="8"/>
        <v>0</v>
      </c>
      <c r="K82" s="567">
        <f t="shared" si="8"/>
        <v>85472.693782162707</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0</v>
      </c>
      <c r="G86" s="555">
        <v>0</v>
      </c>
      <c r="H86" s="556">
        <v>0</v>
      </c>
      <c r="I86" s="144">
        <f t="shared" ref="I86:I96" si="9">H86*F$114</f>
        <v>0</v>
      </c>
      <c r="J86" s="556">
        <v>0</v>
      </c>
      <c r="K86" s="557">
        <f t="shared" ref="K86:K96" si="10">(H86+I86)-J86</f>
        <v>0</v>
      </c>
    </row>
    <row r="87" spans="1:11" ht="18" customHeight="1" x14ac:dyDescent="0.4">
      <c r="A87" s="183" t="s">
        <v>114</v>
      </c>
      <c r="B87" s="116" t="s">
        <v>14</v>
      </c>
      <c r="F87" s="555">
        <v>0</v>
      </c>
      <c r="G87" s="555">
        <v>0</v>
      </c>
      <c r="H87" s="556">
        <v>0</v>
      </c>
      <c r="I87" s="144">
        <f t="shared" si="9"/>
        <v>0</v>
      </c>
      <c r="J87" s="556">
        <v>0</v>
      </c>
      <c r="K87" s="557">
        <f t="shared" si="10"/>
        <v>0</v>
      </c>
    </row>
    <row r="88" spans="1:11" ht="18" customHeight="1" x14ac:dyDescent="0.4">
      <c r="A88" s="183" t="s">
        <v>115</v>
      </c>
      <c r="B88" s="116" t="s">
        <v>116</v>
      </c>
      <c r="F88" s="555">
        <v>419.6</v>
      </c>
      <c r="G88" s="555">
        <v>0</v>
      </c>
      <c r="H88" s="556">
        <v>19912.8</v>
      </c>
      <c r="I88" s="144">
        <f t="shared" si="9"/>
        <v>17620.358958220906</v>
      </c>
      <c r="J88" s="556">
        <v>0</v>
      </c>
      <c r="K88" s="557">
        <f t="shared" si="10"/>
        <v>37533.158958220905</v>
      </c>
    </row>
    <row r="89" spans="1:11" ht="18" customHeight="1" x14ac:dyDescent="0.4">
      <c r="A89" s="183" t="s">
        <v>117</v>
      </c>
      <c r="B89" s="116" t="s">
        <v>58</v>
      </c>
      <c r="F89" s="555">
        <v>0</v>
      </c>
      <c r="G89" s="555">
        <v>0</v>
      </c>
      <c r="H89" s="556">
        <v>0</v>
      </c>
      <c r="I89" s="144">
        <f t="shared" si="9"/>
        <v>0</v>
      </c>
      <c r="J89" s="556">
        <v>0</v>
      </c>
      <c r="K89" s="557">
        <f t="shared" si="10"/>
        <v>0</v>
      </c>
    </row>
    <row r="90" spans="1:11" ht="18" customHeight="1" x14ac:dyDescent="0.4">
      <c r="A90" s="183" t="s">
        <v>118</v>
      </c>
      <c r="B90" s="956" t="s">
        <v>59</v>
      </c>
      <c r="C90" s="957"/>
      <c r="F90" s="555">
        <v>0</v>
      </c>
      <c r="G90" s="555">
        <v>0</v>
      </c>
      <c r="H90" s="556">
        <v>0</v>
      </c>
      <c r="I90" s="144">
        <f t="shared" si="9"/>
        <v>0</v>
      </c>
      <c r="J90" s="556">
        <v>0</v>
      </c>
      <c r="K90" s="557">
        <f t="shared" si="10"/>
        <v>0</v>
      </c>
    </row>
    <row r="91" spans="1:11" ht="18" customHeight="1" x14ac:dyDescent="0.4">
      <c r="A91" s="183" t="s">
        <v>119</v>
      </c>
      <c r="B91" s="116" t="s">
        <v>60</v>
      </c>
      <c r="F91" s="555">
        <v>156.29585933080887</v>
      </c>
      <c r="G91" s="555">
        <v>0</v>
      </c>
      <c r="H91" s="556">
        <v>11655.192780986805</v>
      </c>
      <c r="I91" s="144">
        <f t="shared" si="9"/>
        <v>10313.400452385024</v>
      </c>
      <c r="J91" s="556">
        <v>94.334093349753715</v>
      </c>
      <c r="K91" s="557">
        <f t="shared" si="10"/>
        <v>21874.259140022077</v>
      </c>
    </row>
    <row r="92" spans="1:11" ht="18" customHeight="1" x14ac:dyDescent="0.4">
      <c r="A92" s="183" t="s">
        <v>120</v>
      </c>
      <c r="B92" s="116" t="s">
        <v>121</v>
      </c>
      <c r="F92" s="134">
        <v>33.451501683509484</v>
      </c>
      <c r="G92" s="134">
        <v>0</v>
      </c>
      <c r="H92" s="135">
        <v>68553.283386326861</v>
      </c>
      <c r="I92" s="144">
        <f t="shared" si="9"/>
        <v>60661.155690396175</v>
      </c>
      <c r="J92" s="135">
        <v>0</v>
      </c>
      <c r="K92" s="557">
        <f t="shared" si="10"/>
        <v>129214.43907672304</v>
      </c>
    </row>
    <row r="93" spans="1:11" ht="18" customHeight="1" x14ac:dyDescent="0.4">
      <c r="A93" s="183" t="s">
        <v>122</v>
      </c>
      <c r="B93" s="116" t="s">
        <v>123</v>
      </c>
      <c r="F93" s="555">
        <v>0</v>
      </c>
      <c r="G93" s="555">
        <v>0</v>
      </c>
      <c r="H93" s="556">
        <v>0</v>
      </c>
      <c r="I93" s="144">
        <f t="shared" si="9"/>
        <v>0</v>
      </c>
      <c r="J93" s="556">
        <v>0</v>
      </c>
      <c r="K93" s="557">
        <f t="shared" si="10"/>
        <v>0</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609.34736101431838</v>
      </c>
      <c r="G98" s="560">
        <f t="shared" si="11"/>
        <v>0</v>
      </c>
      <c r="H98" s="560">
        <f t="shared" si="11"/>
        <v>100121.27616731366</v>
      </c>
      <c r="I98" s="560">
        <f t="shared" si="11"/>
        <v>88594.915101002101</v>
      </c>
      <c r="J98" s="560">
        <f t="shared" si="11"/>
        <v>94.334093349753715</v>
      </c>
      <c r="K98" s="560">
        <f t="shared" si="11"/>
        <v>188621.85717496602</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396.48009894965344</v>
      </c>
      <c r="G102" s="555">
        <v>0</v>
      </c>
      <c r="H102" s="556">
        <v>25274.999759140734</v>
      </c>
      <c r="I102" s="144">
        <f>H102*F$114</f>
        <v>22365.240871449856</v>
      </c>
      <c r="J102" s="556">
        <v>201.53192670174658</v>
      </c>
      <c r="K102" s="557">
        <f>(H102+I102)-J102</f>
        <v>47438.708703888842</v>
      </c>
    </row>
    <row r="103" spans="1:11" ht="18" customHeight="1" x14ac:dyDescent="0.4">
      <c r="A103" s="183" t="s">
        <v>132</v>
      </c>
      <c r="B103" s="956" t="s">
        <v>62</v>
      </c>
      <c r="C103" s="956"/>
      <c r="F103" s="555">
        <v>0</v>
      </c>
      <c r="G103" s="555">
        <v>0</v>
      </c>
      <c r="H103" s="556">
        <v>0</v>
      </c>
      <c r="I103" s="144">
        <f>H103*F$114</f>
        <v>0</v>
      </c>
      <c r="J103" s="556">
        <v>0</v>
      </c>
      <c r="K103" s="557">
        <f>(H103+I103)-J103</f>
        <v>0</v>
      </c>
    </row>
    <row r="104" spans="1:11" ht="18" customHeight="1" x14ac:dyDescent="0.4">
      <c r="A104" s="183" t="s">
        <v>128</v>
      </c>
      <c r="B104" s="973" t="s">
        <v>192</v>
      </c>
      <c r="C104" s="974"/>
      <c r="D104" s="975"/>
      <c r="F104" s="555">
        <v>303.94864769569415</v>
      </c>
      <c r="G104" s="555">
        <v>0</v>
      </c>
      <c r="H104" s="556">
        <v>15670.664792139329</v>
      </c>
      <c r="I104" s="144">
        <f>H104*F$114</f>
        <v>13866.595293050159</v>
      </c>
      <c r="J104" s="556">
        <v>85.758266681594307</v>
      </c>
      <c r="K104" s="557">
        <f>(H104+I104)-J104</f>
        <v>29451.501818507895</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700.42874664534759</v>
      </c>
      <c r="G108" s="560">
        <f t="shared" si="12"/>
        <v>0</v>
      </c>
      <c r="H108" s="557">
        <f t="shared" si="12"/>
        <v>40945.664551280061</v>
      </c>
      <c r="I108" s="557">
        <f t="shared" si="12"/>
        <v>36231.836164500011</v>
      </c>
      <c r="J108" s="557">
        <f t="shared" si="12"/>
        <v>287.29019338334092</v>
      </c>
      <c r="K108" s="557">
        <f t="shared" si="12"/>
        <v>76890.210522396737</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298167.18</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0.88487600730288596</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48666804.140000001</v>
      </c>
    </row>
    <row r="118" spans="1:6" ht="18" customHeight="1" x14ac:dyDescent="0.4">
      <c r="A118" s="183" t="s">
        <v>173</v>
      </c>
      <c r="B118" s="189" t="s">
        <v>18</v>
      </c>
      <c r="F118" s="556">
        <v>3119494.9699999997</v>
      </c>
    </row>
    <row r="119" spans="1:6" ht="18" customHeight="1" x14ac:dyDescent="0.4">
      <c r="A119" s="183" t="s">
        <v>174</v>
      </c>
      <c r="B119" s="117" t="s">
        <v>19</v>
      </c>
      <c r="F119" s="567">
        <f>SUM(F117:F118)</f>
        <v>51786299.109999999</v>
      </c>
    </row>
    <row r="120" spans="1:6" ht="18" customHeight="1" x14ac:dyDescent="0.4">
      <c r="A120" s="183"/>
      <c r="B120" s="117"/>
    </row>
    <row r="121" spans="1:6" ht="18" customHeight="1" x14ac:dyDescent="0.4">
      <c r="A121" s="183" t="s">
        <v>167</v>
      </c>
      <c r="B121" s="117" t="s">
        <v>36</v>
      </c>
      <c r="F121" s="556">
        <v>48735998.329999998</v>
      </c>
    </row>
    <row r="122" spans="1:6" ht="18" customHeight="1" x14ac:dyDescent="0.4">
      <c r="A122" s="183"/>
    </row>
    <row r="123" spans="1:6" ht="18" customHeight="1" x14ac:dyDescent="0.4">
      <c r="A123" s="183" t="s">
        <v>175</v>
      </c>
      <c r="B123" s="117" t="s">
        <v>20</v>
      </c>
      <c r="F123" s="556">
        <f>+F119-F121</f>
        <v>3050300.7800000012</v>
      </c>
    </row>
    <row r="124" spans="1:6" ht="18" customHeight="1" x14ac:dyDescent="0.4">
      <c r="A124" s="183"/>
    </row>
    <row r="125" spans="1:6" ht="18" customHeight="1" x14ac:dyDescent="0.4">
      <c r="A125" s="183" t="s">
        <v>176</v>
      </c>
      <c r="B125" s="117" t="s">
        <v>21</v>
      </c>
      <c r="F125" s="556">
        <v>84824.91</v>
      </c>
    </row>
    <row r="126" spans="1:6" ht="18" customHeight="1" x14ac:dyDescent="0.4">
      <c r="A126" s="183"/>
    </row>
    <row r="127" spans="1:6" ht="18" customHeight="1" x14ac:dyDescent="0.4">
      <c r="A127" s="183" t="s">
        <v>177</v>
      </c>
      <c r="B127" s="117" t="s">
        <v>22</v>
      </c>
      <c r="F127" s="556">
        <f>F123+F125</f>
        <v>3135125.6900000013</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27158.570576555143</v>
      </c>
      <c r="G141" s="136">
        <f t="shared" si="14"/>
        <v>40461.109750547235</v>
      </c>
      <c r="H141" s="136">
        <f t="shared" si="14"/>
        <v>748025.29557766195</v>
      </c>
      <c r="I141" s="136">
        <f t="shared" si="14"/>
        <v>661909.6369123226</v>
      </c>
      <c r="J141" s="136">
        <f t="shared" si="14"/>
        <v>273763.57990348566</v>
      </c>
      <c r="K141" s="136">
        <f t="shared" si="14"/>
        <v>1136171.3525864989</v>
      </c>
    </row>
    <row r="142" spans="1:11" ht="18" customHeight="1" x14ac:dyDescent="0.4">
      <c r="A142" s="183" t="s">
        <v>142</v>
      </c>
      <c r="B142" s="117" t="s">
        <v>65</v>
      </c>
      <c r="F142" s="136">
        <f t="shared" ref="F142:K142" si="15">F49</f>
        <v>13476.752123327904</v>
      </c>
      <c r="G142" s="136">
        <f t="shared" si="15"/>
        <v>2137.6690209872067</v>
      </c>
      <c r="H142" s="136">
        <f t="shared" si="15"/>
        <v>681282.94992239331</v>
      </c>
      <c r="I142" s="136">
        <f t="shared" si="15"/>
        <v>0</v>
      </c>
      <c r="J142" s="136">
        <f t="shared" si="15"/>
        <v>1161.1696229446134</v>
      </c>
      <c r="K142" s="136">
        <f t="shared" si="15"/>
        <v>680121.78029944864</v>
      </c>
    </row>
    <row r="143" spans="1:11" ht="18" customHeight="1" x14ac:dyDescent="0.4">
      <c r="A143" s="183" t="s">
        <v>144</v>
      </c>
      <c r="B143" s="117" t="s">
        <v>66</v>
      </c>
      <c r="F143" s="136">
        <f t="shared" ref="F143:K143" si="16">F64</f>
        <v>0</v>
      </c>
      <c r="G143" s="136">
        <f t="shared" si="16"/>
        <v>5804.1154821997688</v>
      </c>
      <c r="H143" s="136">
        <f t="shared" si="16"/>
        <v>384729.1200000004</v>
      </c>
      <c r="I143" s="136">
        <f t="shared" si="16"/>
        <v>0</v>
      </c>
      <c r="J143" s="136">
        <f t="shared" si="16"/>
        <v>0</v>
      </c>
      <c r="K143" s="136">
        <f t="shared" si="16"/>
        <v>384729.1200000004</v>
      </c>
    </row>
    <row r="144" spans="1:11" ht="18" customHeight="1" x14ac:dyDescent="0.4">
      <c r="A144" s="183" t="s">
        <v>146</v>
      </c>
      <c r="B144" s="117" t="s">
        <v>67</v>
      </c>
      <c r="F144" s="136">
        <f t="shared" ref="F144:K144" si="17">F74</f>
        <v>0</v>
      </c>
      <c r="G144" s="136">
        <f t="shared" si="17"/>
        <v>0</v>
      </c>
      <c r="H144" s="136">
        <f t="shared" si="17"/>
        <v>0</v>
      </c>
      <c r="I144" s="136">
        <f t="shared" si="17"/>
        <v>0</v>
      </c>
      <c r="J144" s="136">
        <f t="shared" si="17"/>
        <v>0</v>
      </c>
      <c r="K144" s="136">
        <f t="shared" si="17"/>
        <v>0</v>
      </c>
    </row>
    <row r="145" spans="1:11" ht="18" customHeight="1" x14ac:dyDescent="0.4">
      <c r="A145" s="183" t="s">
        <v>148</v>
      </c>
      <c r="B145" s="117" t="s">
        <v>68</v>
      </c>
      <c r="F145" s="136">
        <f t="shared" ref="F145:K145" si="18">F82</f>
        <v>0</v>
      </c>
      <c r="G145" s="136">
        <f t="shared" si="18"/>
        <v>0</v>
      </c>
      <c r="H145" s="136">
        <f t="shared" si="18"/>
        <v>85472.693782162707</v>
      </c>
      <c r="I145" s="136">
        <f t="shared" si="18"/>
        <v>0</v>
      </c>
      <c r="J145" s="136">
        <f t="shared" si="18"/>
        <v>0</v>
      </c>
      <c r="K145" s="136">
        <f t="shared" si="18"/>
        <v>85472.693782162707</v>
      </c>
    </row>
    <row r="146" spans="1:11" ht="18" customHeight="1" x14ac:dyDescent="0.4">
      <c r="A146" s="183" t="s">
        <v>150</v>
      </c>
      <c r="B146" s="117" t="s">
        <v>69</v>
      </c>
      <c r="F146" s="136">
        <f t="shared" ref="F146:K146" si="19">F98</f>
        <v>609.34736101431838</v>
      </c>
      <c r="G146" s="136">
        <f t="shared" si="19"/>
        <v>0</v>
      </c>
      <c r="H146" s="136">
        <f t="shared" si="19"/>
        <v>100121.27616731366</v>
      </c>
      <c r="I146" s="136">
        <f t="shared" si="19"/>
        <v>88594.915101002101</v>
      </c>
      <c r="J146" s="136">
        <f t="shared" si="19"/>
        <v>94.334093349753715</v>
      </c>
      <c r="K146" s="136">
        <f t="shared" si="19"/>
        <v>188621.85717496602</v>
      </c>
    </row>
    <row r="147" spans="1:11" ht="18" customHeight="1" x14ac:dyDescent="0.4">
      <c r="A147" s="183" t="s">
        <v>153</v>
      </c>
      <c r="B147" s="117" t="s">
        <v>61</v>
      </c>
      <c r="F147" s="560">
        <f t="shared" ref="F147:K147" si="20">F108</f>
        <v>700.42874664534759</v>
      </c>
      <c r="G147" s="560">
        <f t="shared" si="20"/>
        <v>0</v>
      </c>
      <c r="H147" s="560">
        <f t="shared" si="20"/>
        <v>40945.664551280061</v>
      </c>
      <c r="I147" s="560">
        <f t="shared" si="20"/>
        <v>36231.836164500011</v>
      </c>
      <c r="J147" s="560">
        <f t="shared" si="20"/>
        <v>287.29019338334092</v>
      </c>
      <c r="K147" s="560">
        <f t="shared" si="20"/>
        <v>76890.210522396737</v>
      </c>
    </row>
    <row r="148" spans="1:11" ht="18" customHeight="1" x14ac:dyDescent="0.4">
      <c r="A148" s="183" t="s">
        <v>155</v>
      </c>
      <c r="B148" s="117" t="s">
        <v>70</v>
      </c>
      <c r="F148" s="137" t="s">
        <v>73</v>
      </c>
      <c r="G148" s="137" t="s">
        <v>73</v>
      </c>
      <c r="H148" s="138" t="s">
        <v>73</v>
      </c>
      <c r="I148" s="138" t="s">
        <v>73</v>
      </c>
      <c r="J148" s="138" t="s">
        <v>73</v>
      </c>
      <c r="K148" s="133">
        <f>F111</f>
        <v>298167.18</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0</v>
      </c>
      <c r="I150" s="560">
        <f>I18</f>
        <v>0</v>
      </c>
      <c r="J150" s="560">
        <f>J18</f>
        <v>0</v>
      </c>
      <c r="K150" s="560">
        <f>K18</f>
        <v>0</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41945.098807542716</v>
      </c>
      <c r="G152" s="143">
        <f t="shared" si="22"/>
        <v>48402.894253734215</v>
      </c>
      <c r="H152" s="143">
        <f t="shared" si="22"/>
        <v>2040577.0000008116</v>
      </c>
      <c r="I152" s="143">
        <f t="shared" si="22"/>
        <v>786736.38817782467</v>
      </c>
      <c r="J152" s="143">
        <f t="shared" si="22"/>
        <v>275306.37381316337</v>
      </c>
      <c r="K152" s="143">
        <f t="shared" si="22"/>
        <v>2850174.1943654739</v>
      </c>
    </row>
    <row r="154" spans="1:11" ht="18" customHeight="1" x14ac:dyDescent="0.4">
      <c r="A154" s="120" t="s">
        <v>168</v>
      </c>
      <c r="B154" s="117" t="s">
        <v>28</v>
      </c>
      <c r="F154" s="571">
        <f>K152/F121</f>
        <v>5.8481908487160644E-2</v>
      </c>
    </row>
    <row r="155" spans="1:11" ht="18" customHeight="1" x14ac:dyDescent="0.4">
      <c r="A155" s="120" t="s">
        <v>169</v>
      </c>
      <c r="B155" s="117" t="s">
        <v>72</v>
      </c>
      <c r="F155" s="571">
        <f>K152/F127</f>
        <v>0.90911002498450799</v>
      </c>
      <c r="G155" s="117"/>
    </row>
    <row r="156" spans="1:11" ht="18" customHeight="1" x14ac:dyDescent="0.4">
      <c r="G156" s="117"/>
    </row>
  </sheetData>
  <mergeCells count="38">
    <mergeCell ref="B30:D30"/>
    <mergeCell ref="B54:D54"/>
    <mergeCell ref="B58:D58"/>
    <mergeCell ref="B60:D60"/>
    <mergeCell ref="B61:D61"/>
    <mergeCell ref="B45:D45"/>
    <mergeCell ref="B47:D47"/>
    <mergeCell ref="B34:D34"/>
    <mergeCell ref="B41:C41"/>
    <mergeCell ref="B44:D44"/>
    <mergeCell ref="B13:H13"/>
    <mergeCell ref="C5:G5"/>
    <mergeCell ref="C6:G6"/>
    <mergeCell ref="C7:G7"/>
    <mergeCell ref="C11:G11"/>
    <mergeCell ref="C9:G9"/>
    <mergeCell ref="C10:G10"/>
    <mergeCell ref="B90:C90"/>
    <mergeCell ref="B53:D53"/>
    <mergeCell ref="B55:D55"/>
    <mergeCell ref="B56:D56"/>
    <mergeCell ref="B59:D59"/>
    <mergeCell ref="D2:H2"/>
    <mergeCell ref="B46:D46"/>
    <mergeCell ref="B134:D134"/>
    <mergeCell ref="B135:D135"/>
    <mergeCell ref="B133:D133"/>
    <mergeCell ref="B104:D104"/>
    <mergeCell ref="B105:D105"/>
    <mergeCell ref="B106:D106"/>
    <mergeCell ref="B62:D62"/>
    <mergeCell ref="B31:D31"/>
    <mergeCell ref="B103:C103"/>
    <mergeCell ref="B96:D96"/>
    <mergeCell ref="B95:D95"/>
    <mergeCell ref="B57:D57"/>
    <mergeCell ref="B94:D94"/>
    <mergeCell ref="B52:C52"/>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K156"/>
  <sheetViews>
    <sheetView showGridLines="0" view="pageBreakPreview" zoomScale="80" zoomScaleNormal="50" zoomScaleSheetLayoutView="80" workbookViewId="0"/>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1017" t="s">
        <v>814</v>
      </c>
      <c r="D5" s="962"/>
      <c r="E5" s="962"/>
      <c r="F5" s="962"/>
      <c r="G5" s="963"/>
    </row>
    <row r="6" spans="1:11" ht="18" customHeight="1" x14ac:dyDescent="0.4">
      <c r="B6" s="183" t="s">
        <v>3</v>
      </c>
      <c r="C6" s="964">
        <v>4000</v>
      </c>
      <c r="D6" s="965"/>
      <c r="E6" s="965"/>
      <c r="F6" s="965"/>
      <c r="G6" s="966"/>
    </row>
    <row r="7" spans="1:11" ht="18" customHeight="1" x14ac:dyDescent="0.4">
      <c r="B7" s="183" t="s">
        <v>4</v>
      </c>
      <c r="C7" s="1014">
        <v>2800</v>
      </c>
      <c r="D7" s="1015"/>
      <c r="E7" s="1015"/>
      <c r="F7" s="1015"/>
      <c r="G7" s="1016"/>
    </row>
    <row r="9" spans="1:11" ht="18" customHeight="1" x14ac:dyDescent="0.4">
      <c r="B9" s="183" t="s">
        <v>1</v>
      </c>
      <c r="C9" s="1017" t="s">
        <v>607</v>
      </c>
      <c r="D9" s="962"/>
      <c r="E9" s="962"/>
      <c r="F9" s="962"/>
      <c r="G9" s="963"/>
    </row>
    <row r="10" spans="1:11" ht="18" customHeight="1" x14ac:dyDescent="0.4">
      <c r="B10" s="183" t="s">
        <v>2</v>
      </c>
      <c r="C10" s="1018" t="s">
        <v>608</v>
      </c>
      <c r="D10" s="971"/>
      <c r="E10" s="971"/>
      <c r="F10" s="971"/>
      <c r="G10" s="972"/>
    </row>
    <row r="11" spans="1:11" ht="18" customHeight="1" x14ac:dyDescent="0.4">
      <c r="B11" s="183" t="s">
        <v>32</v>
      </c>
      <c r="C11" s="954" t="s">
        <v>609</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c r="I18" s="144">
        <v>0</v>
      </c>
      <c r="J18" s="556"/>
      <c r="K18" s="557">
        <f>(H18+I18)-J18</f>
        <v>0</v>
      </c>
    </row>
    <row r="19" spans="1:11" ht="45" customHeight="1" x14ac:dyDescent="0.4">
      <c r="A19" s="620" t="s">
        <v>8</v>
      </c>
      <c r="B19" s="258"/>
      <c r="C19" s="258"/>
      <c r="D19" s="258"/>
      <c r="E19" s="258"/>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184</v>
      </c>
      <c r="G21" s="555">
        <v>86199</v>
      </c>
      <c r="H21" s="556">
        <v>19250.8</v>
      </c>
      <c r="I21" s="144">
        <v>16213.02</v>
      </c>
      <c r="J21" s="556">
        <v>0</v>
      </c>
      <c r="K21" s="557">
        <v>35463.82</v>
      </c>
    </row>
    <row r="22" spans="1:11" ht="18" customHeight="1" x14ac:dyDescent="0.4">
      <c r="A22" s="183" t="s">
        <v>76</v>
      </c>
      <c r="B22" s="189" t="s">
        <v>6</v>
      </c>
      <c r="F22" s="555"/>
      <c r="G22" s="555"/>
      <c r="H22" s="556"/>
      <c r="I22" s="144">
        <f t="shared" ref="I22:I34" si="0">H22*F$114</f>
        <v>0</v>
      </c>
      <c r="J22" s="556"/>
      <c r="K22" s="557">
        <f t="shared" ref="K22:K34" si="1">(H22+I22)-J22</f>
        <v>0</v>
      </c>
    </row>
    <row r="23" spans="1:11" ht="18" customHeight="1" x14ac:dyDescent="0.4">
      <c r="A23" s="183" t="s">
        <v>77</v>
      </c>
      <c r="B23" s="189" t="s">
        <v>43</v>
      </c>
      <c r="F23" s="555"/>
      <c r="G23" s="555"/>
      <c r="H23" s="556"/>
      <c r="I23" s="144">
        <f t="shared" si="0"/>
        <v>0</v>
      </c>
      <c r="J23" s="556"/>
      <c r="K23" s="557">
        <f t="shared" si="1"/>
        <v>0</v>
      </c>
    </row>
    <row r="24" spans="1:11" ht="18" customHeight="1" x14ac:dyDescent="0.4">
      <c r="A24" s="183" t="s">
        <v>78</v>
      </c>
      <c r="B24" s="189" t="s">
        <v>44</v>
      </c>
      <c r="F24" s="555"/>
      <c r="G24" s="555"/>
      <c r="H24" s="556"/>
      <c r="I24" s="144">
        <f t="shared" si="0"/>
        <v>0</v>
      </c>
      <c r="J24" s="556"/>
      <c r="K24" s="557">
        <f t="shared" si="1"/>
        <v>0</v>
      </c>
    </row>
    <row r="25" spans="1:11" ht="18" customHeight="1" x14ac:dyDescent="0.4">
      <c r="A25" s="183" t="s">
        <v>79</v>
      </c>
      <c r="B25" s="189" t="s">
        <v>5</v>
      </c>
      <c r="F25" s="555"/>
      <c r="G25" s="555"/>
      <c r="H25" s="556"/>
      <c r="I25" s="144">
        <f t="shared" si="0"/>
        <v>0</v>
      </c>
      <c r="J25" s="556"/>
      <c r="K25" s="557">
        <f t="shared" si="1"/>
        <v>0</v>
      </c>
    </row>
    <row r="26" spans="1:11" ht="18" customHeight="1" x14ac:dyDescent="0.4">
      <c r="A26" s="183" t="s">
        <v>80</v>
      </c>
      <c r="B26" s="189" t="s">
        <v>45</v>
      </c>
      <c r="F26" s="555"/>
      <c r="G26" s="555"/>
      <c r="H26" s="556"/>
      <c r="I26" s="144">
        <f t="shared" si="0"/>
        <v>0</v>
      </c>
      <c r="J26" s="556"/>
      <c r="K26" s="557">
        <f t="shared" si="1"/>
        <v>0</v>
      </c>
    </row>
    <row r="27" spans="1:11" ht="18" customHeight="1" x14ac:dyDescent="0.4">
      <c r="A27" s="183" t="s">
        <v>81</v>
      </c>
      <c r="B27" s="189" t="s">
        <v>498</v>
      </c>
      <c r="F27" s="555">
        <v>2139</v>
      </c>
      <c r="G27" s="555">
        <v>2692</v>
      </c>
      <c r="H27" s="556">
        <v>62416.99</v>
      </c>
      <c r="I27" s="144">
        <v>52567.59</v>
      </c>
      <c r="J27" s="556">
        <v>0</v>
      </c>
      <c r="K27" s="557">
        <v>114984.58</v>
      </c>
    </row>
    <row r="28" spans="1:11" ht="18" customHeight="1" x14ac:dyDescent="0.4">
      <c r="A28" s="183" t="s">
        <v>82</v>
      </c>
      <c r="B28" s="189" t="s">
        <v>47</v>
      </c>
      <c r="F28" s="555"/>
      <c r="G28" s="555"/>
      <c r="H28" s="556"/>
      <c r="I28" s="144">
        <f t="shared" si="0"/>
        <v>0</v>
      </c>
      <c r="J28" s="556"/>
      <c r="K28" s="557">
        <f t="shared" si="1"/>
        <v>0</v>
      </c>
    </row>
    <row r="29" spans="1:11" ht="18" customHeight="1" x14ac:dyDescent="0.4">
      <c r="A29" s="183" t="s">
        <v>83</v>
      </c>
      <c r="B29" s="189" t="s">
        <v>48</v>
      </c>
      <c r="F29" s="555"/>
      <c r="G29" s="555"/>
      <c r="H29" s="556"/>
      <c r="I29" s="144">
        <f t="shared" si="0"/>
        <v>0</v>
      </c>
      <c r="J29" s="556"/>
      <c r="K29" s="557">
        <f t="shared" si="1"/>
        <v>0</v>
      </c>
    </row>
    <row r="30" spans="1:11" ht="18" customHeight="1" x14ac:dyDescent="0.4">
      <c r="A30" s="183" t="s">
        <v>84</v>
      </c>
      <c r="B30" s="539" t="s">
        <v>441</v>
      </c>
      <c r="C30" s="532"/>
      <c r="D30" s="533"/>
      <c r="F30" s="555">
        <v>495</v>
      </c>
      <c r="G30" s="555">
        <v>4949</v>
      </c>
      <c r="H30" s="556">
        <v>86641.37</v>
      </c>
      <c r="I30" s="144">
        <v>72969.36</v>
      </c>
      <c r="J30" s="556">
        <v>0</v>
      </c>
      <c r="K30" s="557">
        <v>159610.73000000001</v>
      </c>
    </row>
    <row r="31" spans="1:11" ht="18" customHeight="1" x14ac:dyDescent="0.4">
      <c r="A31" s="183" t="s">
        <v>133</v>
      </c>
      <c r="B31" s="539" t="s">
        <v>439</v>
      </c>
      <c r="C31" s="532"/>
      <c r="D31" s="533"/>
      <c r="F31" s="555">
        <v>2119</v>
      </c>
      <c r="G31" s="555">
        <v>202</v>
      </c>
      <c r="H31" s="556">
        <v>59666.3</v>
      </c>
      <c r="I31" s="144">
        <v>50250.96</v>
      </c>
      <c r="J31" s="556">
        <v>0</v>
      </c>
      <c r="K31" s="557">
        <v>109917.26</v>
      </c>
    </row>
    <row r="32" spans="1:11" ht="18" customHeight="1" x14ac:dyDescent="0.4">
      <c r="A32" s="183" t="s">
        <v>134</v>
      </c>
      <c r="B32" s="539" t="s">
        <v>440</v>
      </c>
      <c r="C32" s="532"/>
      <c r="D32" s="533"/>
      <c r="F32" s="555">
        <v>16884</v>
      </c>
      <c r="G32" s="558">
        <v>5770</v>
      </c>
      <c r="H32" s="556">
        <v>872712.65</v>
      </c>
      <c r="I32" s="144">
        <v>734998.59</v>
      </c>
      <c r="J32" s="556">
        <v>0</v>
      </c>
      <c r="K32" s="557">
        <v>1607711.24</v>
      </c>
    </row>
    <row r="33" spans="1:11" ht="18" customHeight="1" x14ac:dyDescent="0.4">
      <c r="A33" s="183" t="s">
        <v>135</v>
      </c>
      <c r="B33" s="539" t="s">
        <v>610</v>
      </c>
      <c r="C33" s="532"/>
      <c r="D33" s="533"/>
      <c r="F33" s="555">
        <v>3643</v>
      </c>
      <c r="G33" s="558">
        <v>2086</v>
      </c>
      <c r="H33" s="556">
        <v>118554.87</v>
      </c>
      <c r="I33" s="144">
        <v>68026.460000000006</v>
      </c>
      <c r="J33" s="556">
        <v>75000</v>
      </c>
      <c r="K33" s="557">
        <v>111581.33</v>
      </c>
    </row>
    <row r="34" spans="1:11" ht="18" customHeight="1" x14ac:dyDescent="0.4">
      <c r="A34" s="183" t="s">
        <v>136</v>
      </c>
      <c r="B34" s="531"/>
      <c r="C34" s="532"/>
      <c r="D34" s="53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25464</v>
      </c>
      <c r="G36" s="560">
        <f t="shared" si="2"/>
        <v>101898</v>
      </c>
      <c r="H36" s="560">
        <f t="shared" si="2"/>
        <v>1219242.98</v>
      </c>
      <c r="I36" s="557">
        <f t="shared" si="2"/>
        <v>995025.98</v>
      </c>
      <c r="J36" s="557">
        <f t="shared" si="2"/>
        <v>75000</v>
      </c>
      <c r="K36" s="557">
        <f t="shared" si="2"/>
        <v>2139268.96</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3547</v>
      </c>
      <c r="G40" s="555">
        <v>0</v>
      </c>
      <c r="H40" s="556">
        <v>352393.06</v>
      </c>
      <c r="I40" s="144">
        <v>296785.44</v>
      </c>
      <c r="J40" s="556">
        <v>0</v>
      </c>
      <c r="K40" s="557">
        <f t="shared" ref="K40:K47" si="3">(H40+I40)-J40</f>
        <v>649178.5</v>
      </c>
    </row>
    <row r="41" spans="1:11" ht="18" customHeight="1" x14ac:dyDescent="0.4">
      <c r="A41" s="183" t="s">
        <v>88</v>
      </c>
      <c r="B41" s="534" t="s">
        <v>50</v>
      </c>
      <c r="C41" s="535"/>
      <c r="F41" s="555">
        <v>175</v>
      </c>
      <c r="G41" s="555">
        <v>387</v>
      </c>
      <c r="H41" s="556">
        <v>4897.2</v>
      </c>
      <c r="I41" s="144">
        <v>4124.43</v>
      </c>
      <c r="J41" s="556">
        <v>0</v>
      </c>
      <c r="K41" s="557">
        <f t="shared" si="3"/>
        <v>9021.630000000001</v>
      </c>
    </row>
    <row r="42" spans="1:11" ht="18" customHeight="1" x14ac:dyDescent="0.4">
      <c r="A42" s="183" t="s">
        <v>89</v>
      </c>
      <c r="B42" s="116" t="s">
        <v>11</v>
      </c>
      <c r="F42" s="555">
        <v>3489</v>
      </c>
      <c r="G42" s="555">
        <v>182</v>
      </c>
      <c r="H42" s="556">
        <v>168921.47</v>
      </c>
      <c r="I42" s="144">
        <v>142265.66</v>
      </c>
      <c r="J42" s="556">
        <v>0</v>
      </c>
      <c r="K42" s="557">
        <f t="shared" si="3"/>
        <v>311187.13</v>
      </c>
    </row>
    <row r="43" spans="1:11" ht="18" customHeight="1" x14ac:dyDescent="0.4">
      <c r="A43" s="183" t="s">
        <v>90</v>
      </c>
      <c r="B43" s="141" t="s">
        <v>10</v>
      </c>
      <c r="C43" s="123"/>
      <c r="D43" s="123"/>
      <c r="F43" s="555"/>
      <c r="G43" s="555"/>
      <c r="H43" s="556"/>
      <c r="I43" s="144">
        <v>0</v>
      </c>
      <c r="J43" s="556"/>
      <c r="K43" s="557">
        <f t="shared" si="3"/>
        <v>0</v>
      </c>
    </row>
    <row r="44" spans="1:11" ht="18" customHeight="1" x14ac:dyDescent="0.4">
      <c r="A44" s="183" t="s">
        <v>91</v>
      </c>
      <c r="B44" s="539" t="s">
        <v>442</v>
      </c>
      <c r="C44" s="532"/>
      <c r="D44" s="533"/>
      <c r="F44" s="561">
        <v>1264</v>
      </c>
      <c r="G44" s="561">
        <v>3041</v>
      </c>
      <c r="H44" s="561">
        <v>43751</v>
      </c>
      <c r="I44" s="146">
        <v>36847.339999999997</v>
      </c>
      <c r="J44" s="561">
        <v>0</v>
      </c>
      <c r="K44" s="562">
        <f t="shared" si="3"/>
        <v>80598.34</v>
      </c>
    </row>
    <row r="45" spans="1:11" ht="18" customHeight="1" x14ac:dyDescent="0.4">
      <c r="A45" s="183" t="s">
        <v>139</v>
      </c>
      <c r="B45" s="539" t="s">
        <v>539</v>
      </c>
      <c r="C45" s="532"/>
      <c r="D45" s="533"/>
      <c r="F45" s="555">
        <v>31520</v>
      </c>
      <c r="G45" s="555">
        <v>2299</v>
      </c>
      <c r="H45" s="556">
        <v>1841807.14</v>
      </c>
      <c r="I45" s="144">
        <v>1551169.97</v>
      </c>
      <c r="J45" s="556">
        <v>1506838.72</v>
      </c>
      <c r="K45" s="557">
        <f t="shared" si="3"/>
        <v>1886138.39</v>
      </c>
    </row>
    <row r="46" spans="1:11" ht="18" customHeight="1" x14ac:dyDescent="0.4">
      <c r="A46" s="183" t="s">
        <v>140</v>
      </c>
      <c r="B46" s="539" t="s">
        <v>540</v>
      </c>
      <c r="C46" s="532"/>
      <c r="D46" s="533"/>
      <c r="F46" s="555">
        <v>464</v>
      </c>
      <c r="G46" s="555">
        <v>1422</v>
      </c>
      <c r="H46" s="556">
        <v>70264.789999999994</v>
      </c>
      <c r="I46" s="144">
        <v>59177.01</v>
      </c>
      <c r="J46" s="556">
        <v>118528.66</v>
      </c>
      <c r="K46" s="557">
        <f t="shared" si="3"/>
        <v>10913.139999999985</v>
      </c>
    </row>
    <row r="47" spans="1:11" ht="18" customHeight="1" x14ac:dyDescent="0.4">
      <c r="A47" s="183" t="s">
        <v>141</v>
      </c>
      <c r="B47" s="531"/>
      <c r="C47" s="532"/>
      <c r="D47" s="533"/>
      <c r="F47" s="555"/>
      <c r="G47" s="555"/>
      <c r="H47" s="556"/>
      <c r="I47" s="144">
        <v>0</v>
      </c>
      <c r="J47" s="556"/>
      <c r="K47" s="557">
        <f t="shared" si="3"/>
        <v>0</v>
      </c>
    </row>
    <row r="49" spans="1:11" ht="18" customHeight="1" x14ac:dyDescent="0.4">
      <c r="A49" s="120" t="s">
        <v>142</v>
      </c>
      <c r="B49" s="117" t="s">
        <v>143</v>
      </c>
      <c r="E49" s="117" t="s">
        <v>7</v>
      </c>
      <c r="F49" s="563">
        <f t="shared" ref="F49:K49" si="4">SUM(F40:F47)</f>
        <v>40459</v>
      </c>
      <c r="G49" s="563">
        <f t="shared" si="4"/>
        <v>7331</v>
      </c>
      <c r="H49" s="557">
        <f t="shared" si="4"/>
        <v>2482034.66</v>
      </c>
      <c r="I49" s="557">
        <f t="shared" si="4"/>
        <v>2090369.8499999999</v>
      </c>
      <c r="J49" s="557">
        <f t="shared" si="4"/>
        <v>1625367.38</v>
      </c>
      <c r="K49" s="557">
        <f t="shared" si="4"/>
        <v>2947037.1300000004</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540" t="s">
        <v>38</v>
      </c>
      <c r="C52" s="541"/>
    </row>
    <row r="53" spans="1:11" ht="18" customHeight="1" x14ac:dyDescent="0.4">
      <c r="A53" s="183" t="s">
        <v>51</v>
      </c>
      <c r="B53" s="542" t="s">
        <v>340</v>
      </c>
      <c r="C53" s="543"/>
      <c r="D53" s="538"/>
      <c r="F53" s="555">
        <v>3928</v>
      </c>
      <c r="G53" s="555">
        <v>2458</v>
      </c>
      <c r="H53" s="556">
        <v>283316.57</v>
      </c>
      <c r="I53" s="144">
        <v>238609.22</v>
      </c>
      <c r="J53" s="556">
        <v>307073.75</v>
      </c>
      <c r="K53" s="557">
        <f t="shared" ref="K53:K62" si="5">(H53+I53)-J53</f>
        <v>214852.04000000004</v>
      </c>
    </row>
    <row r="54" spans="1:11" ht="18" customHeight="1" x14ac:dyDescent="0.4">
      <c r="A54" s="183" t="s">
        <v>93</v>
      </c>
      <c r="B54" s="539" t="s">
        <v>815</v>
      </c>
      <c r="C54" s="537"/>
      <c r="D54" s="538"/>
      <c r="F54" s="555">
        <v>9411</v>
      </c>
      <c r="G54" s="555">
        <v>14520</v>
      </c>
      <c r="H54" s="556">
        <v>244068.22</v>
      </c>
      <c r="I54" s="144">
        <v>205554.25</v>
      </c>
      <c r="J54" s="556">
        <v>0</v>
      </c>
      <c r="K54" s="557">
        <f t="shared" si="5"/>
        <v>449622.47</v>
      </c>
    </row>
    <row r="55" spans="1:11" ht="18" customHeight="1" x14ac:dyDescent="0.4">
      <c r="A55" s="183" t="s">
        <v>94</v>
      </c>
      <c r="B55" s="539" t="s">
        <v>816</v>
      </c>
      <c r="C55" s="537"/>
      <c r="D55" s="538"/>
      <c r="F55" s="555">
        <v>7110</v>
      </c>
      <c r="G55" s="555">
        <v>4240</v>
      </c>
      <c r="H55" s="556">
        <v>523614</v>
      </c>
      <c r="I55" s="144">
        <v>440987.71</v>
      </c>
      <c r="J55" s="556">
        <v>393082.77</v>
      </c>
      <c r="K55" s="557">
        <f t="shared" si="5"/>
        <v>571518.93999999994</v>
      </c>
    </row>
    <row r="56" spans="1:11" ht="18" customHeight="1" x14ac:dyDescent="0.4">
      <c r="A56" s="183" t="s">
        <v>95</v>
      </c>
      <c r="B56" s="539" t="s">
        <v>443</v>
      </c>
      <c r="C56" s="537"/>
      <c r="D56" s="538"/>
      <c r="F56" s="555">
        <v>5142</v>
      </c>
      <c r="G56" s="555">
        <v>1619</v>
      </c>
      <c r="H56" s="556">
        <v>272196.82</v>
      </c>
      <c r="I56" s="144">
        <v>229244.16</v>
      </c>
      <c r="J56" s="556">
        <v>293358.75</v>
      </c>
      <c r="K56" s="557">
        <f t="shared" si="5"/>
        <v>208082.22999999998</v>
      </c>
    </row>
    <row r="57" spans="1:11" ht="18" customHeight="1" x14ac:dyDescent="0.4">
      <c r="A57" s="183" t="s">
        <v>96</v>
      </c>
      <c r="B57" s="539" t="s">
        <v>341</v>
      </c>
      <c r="C57" s="537"/>
      <c r="D57" s="538"/>
      <c r="F57" s="555"/>
      <c r="G57" s="555"/>
      <c r="H57" s="556">
        <v>5123883.25</v>
      </c>
      <c r="I57" s="144">
        <v>4315334.47</v>
      </c>
      <c r="J57" s="556"/>
      <c r="K57" s="557">
        <f t="shared" si="5"/>
        <v>9439217.7199999988</v>
      </c>
    </row>
    <row r="58" spans="1:11" ht="18" customHeight="1" x14ac:dyDescent="0.4">
      <c r="A58" s="183" t="s">
        <v>97</v>
      </c>
      <c r="B58" s="539" t="s">
        <v>490</v>
      </c>
      <c r="C58" s="537"/>
      <c r="D58" s="538"/>
      <c r="F58" s="555"/>
      <c r="G58" s="555">
        <v>512</v>
      </c>
      <c r="H58" s="556">
        <v>128721.42</v>
      </c>
      <c r="I58" s="144">
        <v>108409.18</v>
      </c>
      <c r="J58" s="556">
        <v>61931.64</v>
      </c>
      <c r="K58" s="557">
        <f t="shared" si="5"/>
        <v>175198.95999999996</v>
      </c>
    </row>
    <row r="59" spans="1:11" ht="18" customHeight="1" x14ac:dyDescent="0.4">
      <c r="A59" s="183" t="s">
        <v>98</v>
      </c>
      <c r="B59" s="539" t="s">
        <v>541</v>
      </c>
      <c r="C59" s="537"/>
      <c r="D59" s="538"/>
      <c r="F59" s="555">
        <v>22651</v>
      </c>
      <c r="G59" s="555">
        <v>6474</v>
      </c>
      <c r="H59" s="556">
        <v>1199840</v>
      </c>
      <c r="I59" s="144">
        <v>1010505.25</v>
      </c>
      <c r="J59" s="556">
        <v>998660</v>
      </c>
      <c r="K59" s="557">
        <f t="shared" si="5"/>
        <v>1211685.25</v>
      </c>
    </row>
    <row r="60" spans="1:11" ht="18" customHeight="1" x14ac:dyDescent="0.4">
      <c r="A60" s="183" t="s">
        <v>99</v>
      </c>
      <c r="B60" s="536"/>
      <c r="C60" s="537"/>
      <c r="D60" s="538"/>
      <c r="F60" s="555"/>
      <c r="G60" s="555"/>
      <c r="H60" s="556"/>
      <c r="I60" s="144">
        <v>0</v>
      </c>
      <c r="J60" s="556"/>
      <c r="K60" s="557">
        <f t="shared" si="5"/>
        <v>0</v>
      </c>
    </row>
    <row r="61" spans="1:11" ht="18" customHeight="1" x14ac:dyDescent="0.4">
      <c r="A61" s="183" t="s">
        <v>100</v>
      </c>
      <c r="B61" s="536"/>
      <c r="C61" s="537"/>
      <c r="D61" s="538"/>
      <c r="F61" s="555"/>
      <c r="G61" s="555"/>
      <c r="H61" s="556"/>
      <c r="I61" s="144">
        <v>0</v>
      </c>
      <c r="J61" s="556"/>
      <c r="K61" s="557">
        <f t="shared" si="5"/>
        <v>0</v>
      </c>
    </row>
    <row r="62" spans="1:11" ht="18" customHeight="1" x14ac:dyDescent="0.4">
      <c r="A62" s="183" t="s">
        <v>101</v>
      </c>
      <c r="B62" s="536"/>
      <c r="C62" s="537"/>
      <c r="D62" s="538"/>
      <c r="F62" s="555"/>
      <c r="G62" s="555"/>
      <c r="H62" s="556"/>
      <c r="I62" s="144">
        <v>0</v>
      </c>
      <c r="J62" s="556"/>
      <c r="K62" s="557">
        <f t="shared" si="5"/>
        <v>0</v>
      </c>
    </row>
    <row r="63" spans="1:11" ht="18" customHeight="1" x14ac:dyDescent="0.4">
      <c r="A63" s="183"/>
      <c r="I63" s="140"/>
    </row>
    <row r="64" spans="1:11" ht="18" customHeight="1" x14ac:dyDescent="0.4">
      <c r="A64" s="183" t="s">
        <v>144</v>
      </c>
      <c r="B64" s="117" t="s">
        <v>145</v>
      </c>
      <c r="E64" s="117" t="s">
        <v>7</v>
      </c>
      <c r="F64" s="560">
        <f t="shared" ref="F64:K64" si="6">SUM(F53:F62)</f>
        <v>48242</v>
      </c>
      <c r="G64" s="560">
        <f t="shared" si="6"/>
        <v>29823</v>
      </c>
      <c r="H64" s="557">
        <f t="shared" si="6"/>
        <v>7775640.2800000003</v>
      </c>
      <c r="I64" s="557">
        <f t="shared" si="6"/>
        <v>6548644.2399999993</v>
      </c>
      <c r="J64" s="557">
        <f t="shared" si="6"/>
        <v>2054106.91</v>
      </c>
      <c r="K64" s="557">
        <f t="shared" si="6"/>
        <v>12270177.609999999</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v>440</v>
      </c>
      <c r="G68" s="564"/>
      <c r="H68" s="838">
        <v>22224</v>
      </c>
      <c r="I68" s="144">
        <v>18717.060000000001</v>
      </c>
      <c r="J68" s="564"/>
      <c r="K68" s="557">
        <f>(H68+I68)-J68</f>
        <v>40941.06</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36"/>
      <c r="C70" s="537"/>
      <c r="D70" s="538"/>
      <c r="E70" s="117"/>
      <c r="F70" s="131"/>
      <c r="G70" s="131"/>
      <c r="H70" s="132"/>
      <c r="I70" s="144">
        <v>0</v>
      </c>
      <c r="J70" s="132"/>
      <c r="K70" s="557">
        <f>(H70+I70)-J70</f>
        <v>0</v>
      </c>
    </row>
    <row r="71" spans="1:11" ht="18" customHeight="1" x14ac:dyDescent="0.4">
      <c r="A71" s="183" t="s">
        <v>179</v>
      </c>
      <c r="B71" s="536"/>
      <c r="C71" s="537"/>
      <c r="D71" s="538"/>
      <c r="E71" s="117"/>
      <c r="F71" s="131"/>
      <c r="G71" s="131"/>
      <c r="H71" s="132"/>
      <c r="I71" s="144">
        <v>0</v>
      </c>
      <c r="J71" s="132"/>
      <c r="K71" s="557">
        <f>(H71+I71)-J71</f>
        <v>0</v>
      </c>
    </row>
    <row r="72" spans="1:11" ht="18" customHeight="1" x14ac:dyDescent="0.4">
      <c r="A72" s="183" t="s">
        <v>180</v>
      </c>
      <c r="B72" s="544"/>
      <c r="C72" s="543"/>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7">SUM(F68:F72)</f>
        <v>440</v>
      </c>
      <c r="G74" s="566">
        <f t="shared" si="7"/>
        <v>0</v>
      </c>
      <c r="H74" s="566">
        <f t="shared" si="7"/>
        <v>22224</v>
      </c>
      <c r="I74" s="145">
        <f t="shared" si="7"/>
        <v>18717.060000000001</v>
      </c>
      <c r="J74" s="566">
        <f t="shared" si="7"/>
        <v>0</v>
      </c>
      <c r="K74" s="567">
        <f t="shared" si="7"/>
        <v>40941.06</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v>364</v>
      </c>
      <c r="G77" s="555">
        <v>38</v>
      </c>
      <c r="H77" s="556">
        <v>49403.02</v>
      </c>
      <c r="I77" s="144">
        <v>41607.230000000003</v>
      </c>
      <c r="J77" s="556"/>
      <c r="K77" s="557">
        <f>(H77+I77)-J77</f>
        <v>91010.25</v>
      </c>
    </row>
    <row r="78" spans="1:11" ht="18" customHeight="1" x14ac:dyDescent="0.4">
      <c r="A78" s="183" t="s">
        <v>108</v>
      </c>
      <c r="B78" s="116" t="s">
        <v>55</v>
      </c>
      <c r="F78" s="555"/>
      <c r="G78" s="555"/>
      <c r="H78" s="556"/>
      <c r="I78" s="144">
        <v>0</v>
      </c>
      <c r="J78" s="556"/>
      <c r="K78" s="557">
        <f>(H78+I78)-J78</f>
        <v>0</v>
      </c>
    </row>
    <row r="79" spans="1:11" ht="18" customHeight="1" x14ac:dyDescent="0.4">
      <c r="A79" s="183" t="s">
        <v>109</v>
      </c>
      <c r="B79" s="116" t="s">
        <v>13</v>
      </c>
      <c r="F79" s="555">
        <v>122</v>
      </c>
      <c r="G79" s="555">
        <v>8989</v>
      </c>
      <c r="H79" s="556">
        <v>37696.15</v>
      </c>
      <c r="I79" s="144">
        <v>31747.7</v>
      </c>
      <c r="J79" s="556"/>
      <c r="K79" s="557">
        <f>(H79+I79)-J79</f>
        <v>69443.850000000006</v>
      </c>
    </row>
    <row r="80" spans="1:11" ht="18" customHeight="1" x14ac:dyDescent="0.4">
      <c r="A80" s="183" t="s">
        <v>110</v>
      </c>
      <c r="B80" s="116" t="s">
        <v>56</v>
      </c>
      <c r="F80" s="555"/>
      <c r="G80" s="555"/>
      <c r="H80" s="556"/>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8">SUM(F77:F80)</f>
        <v>486</v>
      </c>
      <c r="G82" s="566">
        <f t="shared" si="8"/>
        <v>9027</v>
      </c>
      <c r="H82" s="567">
        <f t="shared" si="8"/>
        <v>87099.17</v>
      </c>
      <c r="I82" s="567">
        <f t="shared" si="8"/>
        <v>73354.930000000008</v>
      </c>
      <c r="J82" s="567">
        <f t="shared" si="8"/>
        <v>0</v>
      </c>
      <c r="K82" s="567">
        <f t="shared" si="8"/>
        <v>160454.1</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c r="I86" s="144">
        <f t="shared" ref="I86:I96" si="9">H86*F$114</f>
        <v>0</v>
      </c>
      <c r="J86" s="556"/>
      <c r="K86" s="557">
        <f t="shared" ref="K86:K96" si="10">(H86+I86)-J86</f>
        <v>0</v>
      </c>
    </row>
    <row r="87" spans="1:11" ht="18" customHeight="1" x14ac:dyDescent="0.4">
      <c r="A87" s="183" t="s">
        <v>114</v>
      </c>
      <c r="B87" s="116" t="s">
        <v>14</v>
      </c>
      <c r="F87" s="555"/>
      <c r="G87" s="555"/>
      <c r="H87" s="556"/>
      <c r="I87" s="144">
        <f t="shared" si="9"/>
        <v>0</v>
      </c>
      <c r="J87" s="556"/>
      <c r="K87" s="557">
        <f t="shared" si="10"/>
        <v>0</v>
      </c>
    </row>
    <row r="88" spans="1:11" ht="18" customHeight="1" x14ac:dyDescent="0.4">
      <c r="A88" s="183" t="s">
        <v>115</v>
      </c>
      <c r="B88" s="116" t="s">
        <v>116</v>
      </c>
      <c r="F88" s="555"/>
      <c r="G88" s="555"/>
      <c r="H88" s="556"/>
      <c r="I88" s="144">
        <f t="shared" si="9"/>
        <v>0</v>
      </c>
      <c r="J88" s="556"/>
      <c r="K88" s="557">
        <f t="shared" si="10"/>
        <v>0</v>
      </c>
    </row>
    <row r="89" spans="1:11" ht="18" customHeight="1" x14ac:dyDescent="0.4">
      <c r="A89" s="183" t="s">
        <v>117</v>
      </c>
      <c r="B89" s="116" t="s">
        <v>58</v>
      </c>
      <c r="F89" s="555"/>
      <c r="G89" s="555"/>
      <c r="H89" s="556"/>
      <c r="I89" s="144">
        <f t="shared" si="9"/>
        <v>0</v>
      </c>
      <c r="J89" s="556"/>
      <c r="K89" s="557">
        <f t="shared" si="10"/>
        <v>0</v>
      </c>
    </row>
    <row r="90" spans="1:11" ht="18" customHeight="1" x14ac:dyDescent="0.4">
      <c r="A90" s="183" t="s">
        <v>118</v>
      </c>
      <c r="B90" s="534" t="s">
        <v>59</v>
      </c>
      <c r="C90" s="535"/>
      <c r="F90" s="555"/>
      <c r="G90" s="555"/>
      <c r="H90" s="556"/>
      <c r="I90" s="144">
        <f t="shared" si="9"/>
        <v>0</v>
      </c>
      <c r="J90" s="556"/>
      <c r="K90" s="557">
        <f t="shared" si="10"/>
        <v>0</v>
      </c>
    </row>
    <row r="91" spans="1:11" ht="18" customHeight="1" x14ac:dyDescent="0.4">
      <c r="A91" s="183" t="s">
        <v>119</v>
      </c>
      <c r="B91" s="116" t="s">
        <v>60</v>
      </c>
      <c r="F91" s="555">
        <v>292</v>
      </c>
      <c r="G91" s="555"/>
      <c r="H91" s="556">
        <v>84874.89</v>
      </c>
      <c r="I91" s="144">
        <v>69970.86</v>
      </c>
      <c r="J91" s="556"/>
      <c r="K91" s="557">
        <f t="shared" si="10"/>
        <v>154845.75</v>
      </c>
    </row>
    <row r="92" spans="1:11" ht="18" customHeight="1" x14ac:dyDescent="0.4">
      <c r="A92" s="183" t="s">
        <v>120</v>
      </c>
      <c r="B92" s="116" t="s">
        <v>121</v>
      </c>
      <c r="F92" s="134"/>
      <c r="G92" s="134"/>
      <c r="H92" s="135"/>
      <c r="I92" s="144">
        <f t="shared" si="9"/>
        <v>0</v>
      </c>
      <c r="J92" s="135"/>
      <c r="K92" s="557">
        <f t="shared" si="10"/>
        <v>0</v>
      </c>
    </row>
    <row r="93" spans="1:11" ht="18" customHeight="1" x14ac:dyDescent="0.4">
      <c r="A93" s="183" t="s">
        <v>122</v>
      </c>
      <c r="B93" s="116" t="s">
        <v>123</v>
      </c>
      <c r="F93" s="555"/>
      <c r="G93" s="555"/>
      <c r="H93" s="556"/>
      <c r="I93" s="144">
        <f t="shared" si="9"/>
        <v>0</v>
      </c>
      <c r="J93" s="556"/>
      <c r="K93" s="557">
        <f t="shared" si="10"/>
        <v>0</v>
      </c>
    </row>
    <row r="94" spans="1:11" ht="18" customHeight="1" x14ac:dyDescent="0.4">
      <c r="A94" s="183" t="s">
        <v>124</v>
      </c>
      <c r="B94" s="536"/>
      <c r="C94" s="537"/>
      <c r="D94" s="538"/>
      <c r="F94" s="555"/>
      <c r="G94" s="555"/>
      <c r="H94" s="556"/>
      <c r="I94" s="144">
        <f t="shared" si="9"/>
        <v>0</v>
      </c>
      <c r="J94" s="556"/>
      <c r="K94" s="557">
        <f t="shared" si="10"/>
        <v>0</v>
      </c>
    </row>
    <row r="95" spans="1:11" ht="18" customHeight="1" x14ac:dyDescent="0.4">
      <c r="A95" s="183" t="s">
        <v>125</v>
      </c>
      <c r="B95" s="536"/>
      <c r="C95" s="537"/>
      <c r="D95" s="538"/>
      <c r="F95" s="555"/>
      <c r="G95" s="555"/>
      <c r="H95" s="556"/>
      <c r="I95" s="144">
        <f t="shared" si="9"/>
        <v>0</v>
      </c>
      <c r="J95" s="556"/>
      <c r="K95" s="557">
        <f t="shared" si="10"/>
        <v>0</v>
      </c>
    </row>
    <row r="96" spans="1:11" ht="18" customHeight="1" x14ac:dyDescent="0.4">
      <c r="A96" s="183" t="s">
        <v>126</v>
      </c>
      <c r="B96" s="536"/>
      <c r="C96" s="537"/>
      <c r="D96" s="538"/>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292</v>
      </c>
      <c r="G98" s="560">
        <f t="shared" si="11"/>
        <v>0</v>
      </c>
      <c r="H98" s="560">
        <f t="shared" si="11"/>
        <v>84874.89</v>
      </c>
      <c r="I98" s="560">
        <f t="shared" si="11"/>
        <v>69970.86</v>
      </c>
      <c r="J98" s="560">
        <f t="shared" si="11"/>
        <v>0</v>
      </c>
      <c r="K98" s="560">
        <f t="shared" si="11"/>
        <v>154845.75</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728</v>
      </c>
      <c r="G102" s="555"/>
      <c r="H102" s="556">
        <v>73329.759999999995</v>
      </c>
      <c r="I102" s="144">
        <v>61758.32</v>
      </c>
      <c r="J102" s="556"/>
      <c r="K102" s="557">
        <f>(H102+I102)-J102</f>
        <v>135088.07999999999</v>
      </c>
    </row>
    <row r="103" spans="1:11" ht="18" customHeight="1" x14ac:dyDescent="0.4">
      <c r="A103" s="183" t="s">
        <v>132</v>
      </c>
      <c r="B103" s="956" t="s">
        <v>62</v>
      </c>
      <c r="C103" s="956"/>
      <c r="F103" s="555"/>
      <c r="G103" s="555"/>
      <c r="H103" s="556"/>
      <c r="I103" s="144">
        <f>H103*F$114</f>
        <v>0</v>
      </c>
      <c r="J103" s="556"/>
      <c r="K103" s="557">
        <f>(H103+I103)-J103</f>
        <v>0</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728</v>
      </c>
      <c r="G108" s="560">
        <f t="shared" si="12"/>
        <v>0</v>
      </c>
      <c r="H108" s="557">
        <f t="shared" si="12"/>
        <v>73329.759999999995</v>
      </c>
      <c r="I108" s="557">
        <f t="shared" si="12"/>
        <v>61758.32</v>
      </c>
      <c r="J108" s="557">
        <f t="shared" si="12"/>
        <v>0</v>
      </c>
      <c r="K108" s="557">
        <f t="shared" si="12"/>
        <v>135088.07999999999</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5435242.6100000003</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0.84219999999999995</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232402986</v>
      </c>
    </row>
    <row r="118" spans="1:6" ht="18" customHeight="1" x14ac:dyDescent="0.4">
      <c r="A118" s="183" t="s">
        <v>173</v>
      </c>
      <c r="B118" s="189" t="s">
        <v>18</v>
      </c>
      <c r="F118" s="556">
        <v>11931684</v>
      </c>
    </row>
    <row r="119" spans="1:6" ht="18" customHeight="1" x14ac:dyDescent="0.4">
      <c r="A119" s="183" t="s">
        <v>174</v>
      </c>
      <c r="B119" s="117" t="s">
        <v>19</v>
      </c>
      <c r="F119" s="567">
        <f>SUM(F117:F118)</f>
        <v>244334670</v>
      </c>
    </row>
    <row r="120" spans="1:6" ht="18" customHeight="1" x14ac:dyDescent="0.4">
      <c r="A120" s="183"/>
      <c r="B120" s="117"/>
    </row>
    <row r="121" spans="1:6" ht="18" customHeight="1" x14ac:dyDescent="0.4">
      <c r="A121" s="183" t="s">
        <v>167</v>
      </c>
      <c r="B121" s="117" t="s">
        <v>36</v>
      </c>
      <c r="F121" s="556">
        <v>239576824</v>
      </c>
    </row>
    <row r="122" spans="1:6" ht="18" customHeight="1" x14ac:dyDescent="0.4">
      <c r="A122" s="183"/>
    </row>
    <row r="123" spans="1:6" ht="18" customHeight="1" x14ac:dyDescent="0.4">
      <c r="A123" s="183" t="s">
        <v>175</v>
      </c>
      <c r="B123" s="117" t="s">
        <v>20</v>
      </c>
      <c r="F123" s="556">
        <v>4757846</v>
      </c>
    </row>
    <row r="124" spans="1:6" ht="18" customHeight="1" x14ac:dyDescent="0.4">
      <c r="A124" s="183"/>
    </row>
    <row r="125" spans="1:6" ht="18" customHeight="1" x14ac:dyDescent="0.4">
      <c r="A125" s="183" t="s">
        <v>176</v>
      </c>
      <c r="B125" s="117" t="s">
        <v>21</v>
      </c>
      <c r="F125" s="556">
        <v>1474091</v>
      </c>
    </row>
    <row r="126" spans="1:6" ht="18" customHeight="1" x14ac:dyDescent="0.4">
      <c r="A126" s="183"/>
    </row>
    <row r="127" spans="1:6" ht="18" customHeight="1" x14ac:dyDescent="0.4">
      <c r="A127" s="183" t="s">
        <v>177</v>
      </c>
      <c r="B127" s="117" t="s">
        <v>22</v>
      </c>
      <c r="F127" s="556">
        <v>6231937</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531"/>
      <c r="C133" s="532"/>
      <c r="D133" s="533"/>
      <c r="F133" s="555"/>
      <c r="G133" s="555"/>
      <c r="H133" s="556"/>
      <c r="I133" s="144">
        <v>0</v>
      </c>
      <c r="J133" s="556"/>
      <c r="K133" s="557">
        <f>(H133+I133)-J133</f>
        <v>0</v>
      </c>
    </row>
    <row r="134" spans="1:11" ht="18" customHeight="1" x14ac:dyDescent="0.4">
      <c r="A134" s="183" t="s">
        <v>161</v>
      </c>
      <c r="B134" s="531"/>
      <c r="C134" s="532"/>
      <c r="D134" s="533"/>
      <c r="F134" s="555"/>
      <c r="G134" s="555"/>
      <c r="H134" s="556"/>
      <c r="I134" s="144">
        <v>0</v>
      </c>
      <c r="J134" s="556"/>
      <c r="K134" s="557">
        <f>(H134+I134)-J134</f>
        <v>0</v>
      </c>
    </row>
    <row r="135" spans="1:11" ht="18" customHeight="1" x14ac:dyDescent="0.4">
      <c r="A135" s="183" t="s">
        <v>162</v>
      </c>
      <c r="B135" s="531"/>
      <c r="C135" s="532"/>
      <c r="D135" s="53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25464</v>
      </c>
      <c r="G141" s="136">
        <f t="shared" si="14"/>
        <v>101898</v>
      </c>
      <c r="H141" s="136">
        <f t="shared" si="14"/>
        <v>1219242.98</v>
      </c>
      <c r="I141" s="136">
        <f t="shared" si="14"/>
        <v>995025.98</v>
      </c>
      <c r="J141" s="136">
        <f t="shared" si="14"/>
        <v>75000</v>
      </c>
      <c r="K141" s="136">
        <f t="shared" si="14"/>
        <v>2139268.96</v>
      </c>
    </row>
    <row r="142" spans="1:11" ht="18" customHeight="1" x14ac:dyDescent="0.4">
      <c r="A142" s="183" t="s">
        <v>142</v>
      </c>
      <c r="B142" s="117" t="s">
        <v>65</v>
      </c>
      <c r="F142" s="136">
        <f t="shared" ref="F142:K142" si="15">F49</f>
        <v>40459</v>
      </c>
      <c r="G142" s="136">
        <f t="shared" si="15"/>
        <v>7331</v>
      </c>
      <c r="H142" s="136">
        <f t="shared" si="15"/>
        <v>2482034.66</v>
      </c>
      <c r="I142" s="136">
        <f t="shared" si="15"/>
        <v>2090369.8499999999</v>
      </c>
      <c r="J142" s="136">
        <f t="shared" si="15"/>
        <v>1625367.38</v>
      </c>
      <c r="K142" s="136">
        <f t="shared" si="15"/>
        <v>2947037.1300000004</v>
      </c>
    </row>
    <row r="143" spans="1:11" ht="18" customHeight="1" x14ac:dyDescent="0.4">
      <c r="A143" s="183" t="s">
        <v>144</v>
      </c>
      <c r="B143" s="117" t="s">
        <v>66</v>
      </c>
      <c r="F143" s="136">
        <f t="shared" ref="F143:K143" si="16">F64</f>
        <v>48242</v>
      </c>
      <c r="G143" s="136">
        <f t="shared" si="16"/>
        <v>29823</v>
      </c>
      <c r="H143" s="136">
        <f t="shared" si="16"/>
        <v>7775640.2800000003</v>
      </c>
      <c r="I143" s="136">
        <f t="shared" si="16"/>
        <v>6548644.2399999993</v>
      </c>
      <c r="J143" s="136">
        <f t="shared" si="16"/>
        <v>2054106.91</v>
      </c>
      <c r="K143" s="136">
        <f t="shared" si="16"/>
        <v>12270177.609999999</v>
      </c>
    </row>
    <row r="144" spans="1:11" ht="18" customHeight="1" x14ac:dyDescent="0.4">
      <c r="A144" s="183" t="s">
        <v>146</v>
      </c>
      <c r="B144" s="117" t="s">
        <v>67</v>
      </c>
      <c r="F144" s="136">
        <f t="shared" ref="F144:K144" si="17">F74</f>
        <v>440</v>
      </c>
      <c r="G144" s="136">
        <f t="shared" si="17"/>
        <v>0</v>
      </c>
      <c r="H144" s="136">
        <f t="shared" si="17"/>
        <v>22224</v>
      </c>
      <c r="I144" s="136">
        <f t="shared" si="17"/>
        <v>18717.060000000001</v>
      </c>
      <c r="J144" s="136">
        <f t="shared" si="17"/>
        <v>0</v>
      </c>
      <c r="K144" s="136">
        <f t="shared" si="17"/>
        <v>40941.06</v>
      </c>
    </row>
    <row r="145" spans="1:11" ht="18" customHeight="1" x14ac:dyDescent="0.4">
      <c r="A145" s="183" t="s">
        <v>148</v>
      </c>
      <c r="B145" s="117" t="s">
        <v>68</v>
      </c>
      <c r="F145" s="136">
        <f t="shared" ref="F145:K145" si="18">F82</f>
        <v>486</v>
      </c>
      <c r="G145" s="136">
        <f t="shared" si="18"/>
        <v>9027</v>
      </c>
      <c r="H145" s="136">
        <f t="shared" si="18"/>
        <v>87099.17</v>
      </c>
      <c r="I145" s="136">
        <f t="shared" si="18"/>
        <v>73354.930000000008</v>
      </c>
      <c r="J145" s="136">
        <f t="shared" si="18"/>
        <v>0</v>
      </c>
      <c r="K145" s="136">
        <f t="shared" si="18"/>
        <v>160454.1</v>
      </c>
    </row>
    <row r="146" spans="1:11" ht="18" customHeight="1" x14ac:dyDescent="0.4">
      <c r="A146" s="183" t="s">
        <v>150</v>
      </c>
      <c r="B146" s="117" t="s">
        <v>69</v>
      </c>
      <c r="F146" s="136">
        <f t="shared" ref="F146:K146" si="19">F98</f>
        <v>292</v>
      </c>
      <c r="G146" s="136">
        <f t="shared" si="19"/>
        <v>0</v>
      </c>
      <c r="H146" s="136">
        <f t="shared" si="19"/>
        <v>84874.89</v>
      </c>
      <c r="I146" s="136">
        <f t="shared" si="19"/>
        <v>69970.86</v>
      </c>
      <c r="J146" s="136">
        <f t="shared" si="19"/>
        <v>0</v>
      </c>
      <c r="K146" s="136">
        <f t="shared" si="19"/>
        <v>154845.75</v>
      </c>
    </row>
    <row r="147" spans="1:11" ht="18" customHeight="1" x14ac:dyDescent="0.4">
      <c r="A147" s="183" t="s">
        <v>153</v>
      </c>
      <c r="B147" s="117" t="s">
        <v>61</v>
      </c>
      <c r="F147" s="560">
        <f t="shared" ref="F147:K147" si="20">F108</f>
        <v>728</v>
      </c>
      <c r="G147" s="560">
        <f t="shared" si="20"/>
        <v>0</v>
      </c>
      <c r="H147" s="560">
        <f t="shared" si="20"/>
        <v>73329.759999999995</v>
      </c>
      <c r="I147" s="560">
        <f t="shared" si="20"/>
        <v>61758.32</v>
      </c>
      <c r="J147" s="560">
        <f t="shared" si="20"/>
        <v>0</v>
      </c>
      <c r="K147" s="560">
        <f t="shared" si="20"/>
        <v>135088.07999999999</v>
      </c>
    </row>
    <row r="148" spans="1:11" ht="18" customHeight="1" x14ac:dyDescent="0.4">
      <c r="A148" s="183" t="s">
        <v>155</v>
      </c>
      <c r="B148" s="117" t="s">
        <v>70</v>
      </c>
      <c r="F148" s="137" t="s">
        <v>73</v>
      </c>
      <c r="G148" s="137" t="s">
        <v>73</v>
      </c>
      <c r="H148" s="138" t="s">
        <v>73</v>
      </c>
      <c r="I148" s="138" t="s">
        <v>73</v>
      </c>
      <c r="J148" s="138" t="s">
        <v>73</v>
      </c>
      <c r="K148" s="133">
        <f>F111</f>
        <v>5435242.6100000003</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186</v>
      </c>
      <c r="F150" s="137" t="s">
        <v>73</v>
      </c>
      <c r="G150" s="137" t="s">
        <v>73</v>
      </c>
      <c r="H150" s="560">
        <f>H18</f>
        <v>0</v>
      </c>
      <c r="I150" s="560">
        <f>I18</f>
        <v>0</v>
      </c>
      <c r="J150" s="560">
        <f>J18</f>
        <v>0</v>
      </c>
      <c r="K150" s="560">
        <f>K18</f>
        <v>0</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116111</v>
      </c>
      <c r="G152" s="143">
        <f t="shared" si="22"/>
        <v>148079</v>
      </c>
      <c r="H152" s="143">
        <f t="shared" si="22"/>
        <v>11744445.74</v>
      </c>
      <c r="I152" s="143">
        <f t="shared" si="22"/>
        <v>9857841.2400000002</v>
      </c>
      <c r="J152" s="143">
        <f t="shared" si="22"/>
        <v>3754474.29</v>
      </c>
      <c r="K152" s="143">
        <f t="shared" si="22"/>
        <v>23283055.299999997</v>
      </c>
    </row>
    <row r="154" spans="1:11" ht="18" customHeight="1" x14ac:dyDescent="0.4">
      <c r="A154" s="120" t="s">
        <v>168</v>
      </c>
      <c r="B154" s="117" t="s">
        <v>28</v>
      </c>
      <c r="F154" s="571">
        <f>K152/F121</f>
        <v>9.7184088641228489E-2</v>
      </c>
    </row>
    <row r="155" spans="1:11" ht="18" customHeight="1" x14ac:dyDescent="0.4">
      <c r="A155" s="120" t="s">
        <v>169</v>
      </c>
      <c r="B155" s="117" t="s">
        <v>72</v>
      </c>
      <c r="F155" s="571">
        <f>K152/F127</f>
        <v>3.7360864366889457</v>
      </c>
      <c r="G155" s="117"/>
    </row>
    <row r="156" spans="1:11" ht="18" customHeight="1" x14ac:dyDescent="0.4">
      <c r="G156" s="117"/>
    </row>
  </sheetData>
  <mergeCells count="12">
    <mergeCell ref="B103:C103"/>
    <mergeCell ref="B104:D104"/>
    <mergeCell ref="B105:D105"/>
    <mergeCell ref="B106:D106"/>
    <mergeCell ref="D2:H2"/>
    <mergeCell ref="C11:G11"/>
    <mergeCell ref="B13:H13"/>
    <mergeCell ref="C5:G5"/>
    <mergeCell ref="C6:G6"/>
    <mergeCell ref="C7:G7"/>
    <mergeCell ref="C9:G9"/>
    <mergeCell ref="C10:G10"/>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K156"/>
  <sheetViews>
    <sheetView topLeftCell="A13" zoomScale="80" zoomScaleNormal="80" workbookViewId="0">
      <selection activeCell="K10" sqref="K10"/>
    </sheetView>
  </sheetViews>
  <sheetFormatPr defaultColWidth="25.1328125" defaultRowHeight="18" customHeight="1" x14ac:dyDescent="0.35"/>
  <cols>
    <col min="1" max="1" width="7.73046875" style="115" customWidth="1"/>
    <col min="2" max="2" width="21.73046875" style="189" customWidth="1"/>
    <col min="3" max="3" width="12.73046875" style="189" customWidth="1"/>
    <col min="4" max="4" width="3.59765625" style="189" customWidth="1"/>
    <col min="5" max="5" width="3.1328125" style="189" customWidth="1"/>
    <col min="6" max="6" width="15.73046875" style="255" customWidth="1"/>
    <col min="7" max="7" width="13.265625" style="255" customWidth="1"/>
    <col min="8" max="8" width="11.3984375" style="189" customWidth="1"/>
    <col min="9" max="9" width="13.86328125" style="189" customWidth="1"/>
    <col min="10" max="10" width="13.73046875" style="189" customWidth="1"/>
    <col min="11" max="11" width="16.1328125" style="189" customWidth="1"/>
    <col min="12" max="16384" width="25.1328125" style="189"/>
  </cols>
  <sheetData>
    <row r="1" spans="1:11" ht="18" customHeight="1" x14ac:dyDescent="0.4">
      <c r="A1" s="187"/>
      <c r="B1" s="187"/>
      <c r="C1" s="283"/>
      <c r="D1" s="284"/>
      <c r="E1" s="283"/>
      <c r="F1" s="878"/>
      <c r="G1" s="878"/>
      <c r="H1" s="283"/>
      <c r="I1" s="283"/>
      <c r="J1" s="283"/>
      <c r="K1" s="283"/>
    </row>
    <row r="2" spans="1:11" ht="18" customHeight="1" x14ac:dyDescent="0.4">
      <c r="A2" s="187"/>
      <c r="B2" s="187"/>
      <c r="C2" s="187"/>
      <c r="D2" s="1041" t="s">
        <v>700</v>
      </c>
      <c r="E2" s="1042"/>
      <c r="F2" s="1042"/>
      <c r="G2" s="1042"/>
      <c r="H2" s="1042"/>
      <c r="I2" s="187"/>
      <c r="J2" s="187"/>
      <c r="K2" s="187"/>
    </row>
    <row r="3" spans="1:11" ht="18" customHeight="1" x14ac:dyDescent="0.4">
      <c r="A3" s="187"/>
      <c r="B3" s="155" t="s">
        <v>0</v>
      </c>
      <c r="C3" s="187"/>
      <c r="D3" s="187"/>
      <c r="E3" s="187"/>
      <c r="F3" s="879"/>
      <c r="G3" s="879"/>
      <c r="H3" s="187"/>
      <c r="I3" s="187"/>
      <c r="J3" s="187"/>
      <c r="K3" s="187"/>
    </row>
    <row r="5" spans="1:11" ht="18" customHeight="1" x14ac:dyDescent="0.4">
      <c r="A5" s="187"/>
      <c r="B5" s="188" t="s">
        <v>40</v>
      </c>
      <c r="C5" s="1155" t="s">
        <v>331</v>
      </c>
      <c r="D5" s="1044"/>
      <c r="E5" s="1044"/>
      <c r="F5" s="1044"/>
      <c r="G5" s="1045"/>
      <c r="H5" s="187"/>
      <c r="I5" s="187"/>
      <c r="J5" s="187"/>
      <c r="K5" s="187"/>
    </row>
    <row r="6" spans="1:11" ht="18" customHeight="1" x14ac:dyDescent="0.4">
      <c r="A6" s="187"/>
      <c r="B6" s="188" t="s">
        <v>3</v>
      </c>
      <c r="C6" s="1046"/>
      <c r="D6" s="1156"/>
      <c r="E6" s="1156"/>
      <c r="F6" s="1156"/>
      <c r="G6" s="1157"/>
      <c r="H6" s="187"/>
      <c r="I6" s="187"/>
      <c r="J6" s="187"/>
      <c r="K6" s="187"/>
    </row>
    <row r="7" spans="1:11" ht="18" customHeight="1" x14ac:dyDescent="0.4">
      <c r="A7" s="187"/>
      <c r="B7" s="188" t="s">
        <v>4</v>
      </c>
      <c r="C7" s="1049">
        <v>667</v>
      </c>
      <c r="D7" s="1050"/>
      <c r="E7" s="1050"/>
      <c r="F7" s="1050"/>
      <c r="G7" s="1051"/>
      <c r="H7" s="187"/>
      <c r="I7" s="187"/>
      <c r="J7" s="187"/>
      <c r="K7" s="187"/>
    </row>
    <row r="9" spans="1:11" ht="18" customHeight="1" x14ac:dyDescent="0.4">
      <c r="A9" s="187"/>
      <c r="B9" s="188" t="s">
        <v>1</v>
      </c>
      <c r="C9" s="1155" t="s">
        <v>604</v>
      </c>
      <c r="D9" s="1044"/>
      <c r="E9" s="1044"/>
      <c r="F9" s="1044"/>
      <c r="G9" s="1045"/>
      <c r="H9" s="187"/>
      <c r="I9" s="187"/>
      <c r="J9" s="187"/>
      <c r="K9" s="187"/>
    </row>
    <row r="10" spans="1:11" ht="18" customHeight="1" x14ac:dyDescent="0.4">
      <c r="A10" s="187"/>
      <c r="B10" s="188" t="s">
        <v>2</v>
      </c>
      <c r="C10" s="1158" t="s">
        <v>605</v>
      </c>
      <c r="D10" s="1039"/>
      <c r="E10" s="1039"/>
      <c r="F10" s="1039"/>
      <c r="G10" s="1040"/>
      <c r="H10" s="187"/>
      <c r="I10" s="187"/>
      <c r="J10" s="187"/>
      <c r="K10" s="187"/>
    </row>
    <row r="11" spans="1:11" ht="18" customHeight="1" x14ac:dyDescent="0.4">
      <c r="A11" s="187"/>
      <c r="B11" s="188" t="s">
        <v>32</v>
      </c>
      <c r="C11" s="1020" t="s">
        <v>606</v>
      </c>
      <c r="D11" s="1053"/>
      <c r="E11" s="1053"/>
      <c r="F11" s="1053"/>
      <c r="G11" s="1053"/>
      <c r="H11" s="187"/>
      <c r="I11" s="187"/>
      <c r="J11" s="187"/>
      <c r="K11" s="187"/>
    </row>
    <row r="12" spans="1:11" ht="18" customHeight="1" x14ac:dyDescent="0.4">
      <c r="A12" s="187"/>
      <c r="B12" s="188"/>
      <c r="C12" s="188"/>
      <c r="D12" s="188"/>
      <c r="E12" s="188"/>
      <c r="F12" s="880"/>
      <c r="G12" s="880"/>
      <c r="H12" s="187"/>
      <c r="I12" s="187"/>
      <c r="J12" s="187"/>
      <c r="K12" s="187"/>
    </row>
    <row r="13" spans="1:11" ht="24.6" customHeight="1" x14ac:dyDescent="0.35">
      <c r="A13" s="187"/>
      <c r="B13" s="1054"/>
      <c r="C13" s="1055"/>
      <c r="D13" s="1055"/>
      <c r="E13" s="1055"/>
      <c r="F13" s="1055"/>
      <c r="G13" s="1055"/>
      <c r="H13" s="1056"/>
      <c r="I13" s="283"/>
      <c r="J13" s="187"/>
      <c r="K13" s="187"/>
    </row>
    <row r="14" spans="1:11" ht="18" customHeight="1" x14ac:dyDescent="0.35">
      <c r="A14" s="187"/>
      <c r="B14" s="157"/>
      <c r="C14" s="187"/>
      <c r="D14" s="187"/>
      <c r="E14" s="187"/>
      <c r="F14" s="879"/>
      <c r="G14" s="879"/>
      <c r="H14" s="187"/>
      <c r="I14" s="187"/>
      <c r="J14" s="187"/>
      <c r="K14" s="187"/>
    </row>
    <row r="15" spans="1:11" ht="18" customHeight="1" x14ac:dyDescent="0.35">
      <c r="A15" s="187"/>
      <c r="B15" s="157"/>
      <c r="C15" s="187"/>
      <c r="D15" s="187"/>
      <c r="E15" s="187"/>
      <c r="F15" s="879"/>
      <c r="G15" s="879"/>
      <c r="H15" s="187"/>
      <c r="I15" s="187"/>
      <c r="J15" s="187"/>
      <c r="K15" s="187"/>
    </row>
    <row r="16" spans="1:11" ht="45" customHeight="1" x14ac:dyDescent="0.4">
      <c r="A16" s="284" t="s">
        <v>181</v>
      </c>
      <c r="B16" s="283"/>
      <c r="C16" s="283"/>
      <c r="D16" s="283"/>
      <c r="E16" s="283"/>
      <c r="F16" s="881" t="s">
        <v>9</v>
      </c>
      <c r="G16" s="881" t="s">
        <v>37</v>
      </c>
      <c r="H16" s="158" t="s">
        <v>29</v>
      </c>
      <c r="I16" s="158" t="s">
        <v>30</v>
      </c>
      <c r="J16" s="158" t="s">
        <v>33</v>
      </c>
      <c r="K16" s="158" t="s">
        <v>34</v>
      </c>
    </row>
    <row r="17" spans="1:11" ht="18" customHeight="1" x14ac:dyDescent="0.4">
      <c r="A17" s="156" t="s">
        <v>184</v>
      </c>
      <c r="B17" s="155" t="s">
        <v>182</v>
      </c>
      <c r="C17" s="187"/>
      <c r="D17" s="187"/>
      <c r="E17" s="187"/>
      <c r="F17" s="879"/>
      <c r="G17" s="879"/>
      <c r="H17" s="187"/>
      <c r="I17" s="187"/>
      <c r="J17" s="187"/>
      <c r="K17" s="187"/>
    </row>
    <row r="18" spans="1:11" ht="18" customHeight="1" x14ac:dyDescent="0.4">
      <c r="A18" s="188" t="s">
        <v>185</v>
      </c>
      <c r="B18" s="154" t="s">
        <v>183</v>
      </c>
      <c r="C18" s="187"/>
      <c r="D18" s="187"/>
      <c r="E18" s="187"/>
      <c r="F18" s="606" t="s">
        <v>73</v>
      </c>
      <c r="G18" s="606" t="s">
        <v>73</v>
      </c>
      <c r="H18" s="607"/>
      <c r="I18" s="174">
        <v>0</v>
      </c>
      <c r="J18" s="607"/>
      <c r="K18" s="608">
        <v>0</v>
      </c>
    </row>
    <row r="19" spans="1:11" ht="45" customHeight="1" x14ac:dyDescent="0.4">
      <c r="A19" s="284" t="s">
        <v>8</v>
      </c>
      <c r="B19" s="283"/>
      <c r="C19" s="283"/>
      <c r="D19" s="283"/>
      <c r="E19" s="283"/>
      <c r="F19" s="881" t="s">
        <v>9</v>
      </c>
      <c r="G19" s="881" t="s">
        <v>37</v>
      </c>
      <c r="H19" s="158" t="s">
        <v>29</v>
      </c>
      <c r="I19" s="158" t="s">
        <v>30</v>
      </c>
      <c r="J19" s="158" t="s">
        <v>33</v>
      </c>
      <c r="K19" s="158" t="s">
        <v>34</v>
      </c>
    </row>
    <row r="20" spans="1:11" ht="18" customHeight="1" x14ac:dyDescent="0.4">
      <c r="A20" s="156" t="s">
        <v>74</v>
      </c>
      <c r="B20" s="155" t="s">
        <v>41</v>
      </c>
      <c r="C20" s="187"/>
      <c r="D20" s="187"/>
      <c r="E20" s="187"/>
      <c r="F20" s="879"/>
      <c r="G20" s="879"/>
      <c r="H20" s="187"/>
      <c r="I20" s="187"/>
      <c r="J20" s="187"/>
      <c r="K20" s="187"/>
    </row>
    <row r="21" spans="1:11" ht="18" customHeight="1" x14ac:dyDescent="0.4">
      <c r="A21" s="188" t="s">
        <v>75</v>
      </c>
      <c r="B21" s="154" t="s">
        <v>42</v>
      </c>
      <c r="C21" s="187"/>
      <c r="D21" s="187"/>
      <c r="E21" s="187"/>
      <c r="F21" s="606">
        <v>2610.5</v>
      </c>
      <c r="G21" s="606">
        <v>951451</v>
      </c>
      <c r="H21" s="606">
        <v>169885.11</v>
      </c>
      <c r="I21" s="174">
        <v>84942.554999999993</v>
      </c>
      <c r="J21" s="606">
        <v>0</v>
      </c>
      <c r="K21" s="608">
        <v>254827.66499999998</v>
      </c>
    </row>
    <row r="22" spans="1:11" ht="18" customHeight="1" x14ac:dyDescent="0.4">
      <c r="A22" s="188" t="s">
        <v>76</v>
      </c>
      <c r="B22" s="187" t="s">
        <v>6</v>
      </c>
      <c r="C22" s="187"/>
      <c r="D22" s="187"/>
      <c r="E22" s="187"/>
      <c r="F22" s="606">
        <v>204</v>
      </c>
      <c r="G22" s="606">
        <v>340</v>
      </c>
      <c r="H22" s="606">
        <v>6663.1500000000005</v>
      </c>
      <c r="I22" s="174">
        <v>3331.5750000000003</v>
      </c>
      <c r="J22" s="606">
        <v>0</v>
      </c>
      <c r="K22" s="608">
        <v>9994.7250000000004</v>
      </c>
    </row>
    <row r="23" spans="1:11" ht="18" customHeight="1" x14ac:dyDescent="0.4">
      <c r="A23" s="188" t="s">
        <v>77</v>
      </c>
      <c r="B23" s="187" t="s">
        <v>43</v>
      </c>
      <c r="C23" s="187"/>
      <c r="D23" s="187"/>
      <c r="E23" s="187"/>
      <c r="F23" s="606">
        <v>0</v>
      </c>
      <c r="G23" s="606">
        <v>0</v>
      </c>
      <c r="H23" s="606">
        <v>0</v>
      </c>
      <c r="I23" s="174">
        <v>0</v>
      </c>
      <c r="J23" s="606">
        <v>0</v>
      </c>
      <c r="K23" s="608">
        <v>0</v>
      </c>
    </row>
    <row r="24" spans="1:11" ht="18" customHeight="1" x14ac:dyDescent="0.4">
      <c r="A24" s="188" t="s">
        <v>78</v>
      </c>
      <c r="B24" s="187" t="s">
        <v>44</v>
      </c>
      <c r="C24" s="187"/>
      <c r="D24" s="187"/>
      <c r="E24" s="187"/>
      <c r="F24" s="606">
        <v>315.5</v>
      </c>
      <c r="G24" s="606">
        <v>2787</v>
      </c>
      <c r="H24" s="606">
        <v>12040.268750000001</v>
      </c>
      <c r="I24" s="174">
        <v>6020.1343750000005</v>
      </c>
      <c r="J24" s="606">
        <v>0</v>
      </c>
      <c r="K24" s="608">
        <v>18060.403125000001</v>
      </c>
    </row>
    <row r="25" spans="1:11" ht="18" customHeight="1" x14ac:dyDescent="0.4">
      <c r="A25" s="188" t="s">
        <v>79</v>
      </c>
      <c r="B25" s="187" t="s">
        <v>5</v>
      </c>
      <c r="C25" s="187"/>
      <c r="D25" s="187"/>
      <c r="E25" s="187"/>
      <c r="F25" s="606">
        <v>0</v>
      </c>
      <c r="G25" s="606">
        <v>0</v>
      </c>
      <c r="H25" s="606">
        <v>0</v>
      </c>
      <c r="I25" s="174">
        <v>0</v>
      </c>
      <c r="J25" s="606">
        <v>0</v>
      </c>
      <c r="K25" s="608">
        <v>0</v>
      </c>
    </row>
    <row r="26" spans="1:11" ht="18" customHeight="1" x14ac:dyDescent="0.4">
      <c r="A26" s="188" t="s">
        <v>80</v>
      </c>
      <c r="B26" s="187" t="s">
        <v>45</v>
      </c>
      <c r="C26" s="187"/>
      <c r="D26" s="187"/>
      <c r="E26" s="187"/>
      <c r="F26" s="606">
        <v>0</v>
      </c>
      <c r="G26" s="606">
        <v>0</v>
      </c>
      <c r="H26" s="606">
        <v>0</v>
      </c>
      <c r="I26" s="174">
        <v>0</v>
      </c>
      <c r="J26" s="606">
        <v>0</v>
      </c>
      <c r="K26" s="608">
        <v>0</v>
      </c>
    </row>
    <row r="27" spans="1:11" ht="18" customHeight="1" x14ac:dyDescent="0.4">
      <c r="A27" s="188" t="s">
        <v>81</v>
      </c>
      <c r="B27" s="187" t="s">
        <v>46</v>
      </c>
      <c r="C27" s="187"/>
      <c r="D27" s="187"/>
      <c r="E27" s="187"/>
      <c r="F27" s="606">
        <v>0</v>
      </c>
      <c r="G27" s="606">
        <v>0</v>
      </c>
      <c r="H27" s="606">
        <v>0</v>
      </c>
      <c r="I27" s="174">
        <v>0</v>
      </c>
      <c r="J27" s="606">
        <v>0</v>
      </c>
      <c r="K27" s="608">
        <v>0</v>
      </c>
    </row>
    <row r="28" spans="1:11" ht="18" customHeight="1" x14ac:dyDescent="0.4">
      <c r="A28" s="188" t="s">
        <v>82</v>
      </c>
      <c r="B28" s="187" t="s">
        <v>47</v>
      </c>
      <c r="C28" s="187"/>
      <c r="D28" s="187"/>
      <c r="E28" s="187"/>
      <c r="F28" s="606">
        <v>0</v>
      </c>
      <c r="G28" s="606">
        <v>0</v>
      </c>
      <c r="H28" s="606">
        <v>0</v>
      </c>
      <c r="I28" s="174">
        <v>0</v>
      </c>
      <c r="J28" s="606">
        <v>0</v>
      </c>
      <c r="K28" s="608">
        <v>0</v>
      </c>
    </row>
    <row r="29" spans="1:11" ht="18" customHeight="1" x14ac:dyDescent="0.4">
      <c r="A29" s="188" t="s">
        <v>83</v>
      </c>
      <c r="B29" s="187" t="s">
        <v>48</v>
      </c>
      <c r="C29" s="187"/>
      <c r="D29" s="187"/>
      <c r="E29" s="187"/>
      <c r="F29" s="606">
        <v>784.25</v>
      </c>
      <c r="G29" s="606">
        <v>1338</v>
      </c>
      <c r="H29" s="606">
        <v>25900.081249999999</v>
      </c>
      <c r="I29" s="174">
        <v>12950.040625</v>
      </c>
      <c r="J29" s="606">
        <v>0</v>
      </c>
      <c r="K29" s="608">
        <v>38850.121874999997</v>
      </c>
    </row>
    <row r="30" spans="1:11" ht="18" customHeight="1" x14ac:dyDescent="0.4">
      <c r="A30" s="188" t="s">
        <v>84</v>
      </c>
      <c r="B30" s="1021"/>
      <c r="C30" s="1022"/>
      <c r="D30" s="1023"/>
      <c r="E30" s="187"/>
      <c r="F30" s="606">
        <v>0</v>
      </c>
      <c r="G30" s="606">
        <v>0</v>
      </c>
      <c r="H30" s="606">
        <v>0</v>
      </c>
      <c r="I30" s="174">
        <v>0</v>
      </c>
      <c r="J30" s="606">
        <v>0</v>
      </c>
      <c r="K30" s="608">
        <v>0</v>
      </c>
    </row>
    <row r="31" spans="1:11" ht="18" customHeight="1" x14ac:dyDescent="0.4">
      <c r="A31" s="188" t="s">
        <v>133</v>
      </c>
      <c r="B31" s="1021"/>
      <c r="C31" s="1022"/>
      <c r="D31" s="1023"/>
      <c r="E31" s="187"/>
      <c r="F31" s="606">
        <v>0</v>
      </c>
      <c r="G31" s="606">
        <v>0</v>
      </c>
      <c r="H31" s="606">
        <v>0</v>
      </c>
      <c r="I31" s="174">
        <v>0</v>
      </c>
      <c r="J31" s="606">
        <v>0</v>
      </c>
      <c r="K31" s="608">
        <v>0</v>
      </c>
    </row>
    <row r="32" spans="1:11" ht="18" customHeight="1" x14ac:dyDescent="0.4">
      <c r="A32" s="188" t="s">
        <v>134</v>
      </c>
      <c r="B32" s="545"/>
      <c r="C32" s="546"/>
      <c r="D32" s="547"/>
      <c r="E32" s="187"/>
      <c r="F32" s="606">
        <v>0</v>
      </c>
      <c r="G32" s="606">
        <v>0</v>
      </c>
      <c r="H32" s="606">
        <v>0</v>
      </c>
      <c r="I32" s="174">
        <v>0</v>
      </c>
      <c r="J32" s="606">
        <v>0</v>
      </c>
      <c r="K32" s="608">
        <v>0</v>
      </c>
    </row>
    <row r="33" spans="1:11" ht="18" customHeight="1" x14ac:dyDescent="0.4">
      <c r="A33" s="188" t="s">
        <v>135</v>
      </c>
      <c r="B33" s="545"/>
      <c r="C33" s="546"/>
      <c r="D33" s="547"/>
      <c r="E33" s="187"/>
      <c r="F33" s="606">
        <v>0</v>
      </c>
      <c r="G33" s="606">
        <v>0</v>
      </c>
      <c r="H33" s="606">
        <v>0</v>
      </c>
      <c r="I33" s="174">
        <v>0</v>
      </c>
      <c r="J33" s="606">
        <v>0</v>
      </c>
      <c r="K33" s="608">
        <v>0</v>
      </c>
    </row>
    <row r="34" spans="1:11" ht="18" customHeight="1" x14ac:dyDescent="0.4">
      <c r="A34" s="188" t="s">
        <v>136</v>
      </c>
      <c r="B34" s="1021"/>
      <c r="C34" s="1022"/>
      <c r="D34" s="1023"/>
      <c r="E34" s="187"/>
      <c r="F34" s="606">
        <v>0</v>
      </c>
      <c r="G34" s="606">
        <v>0</v>
      </c>
      <c r="H34" s="606">
        <v>0</v>
      </c>
      <c r="I34" s="174">
        <v>0</v>
      </c>
      <c r="J34" s="606">
        <v>0</v>
      </c>
      <c r="K34" s="608">
        <v>0</v>
      </c>
    </row>
    <row r="35" spans="1:11" ht="18" customHeight="1" x14ac:dyDescent="0.35">
      <c r="A35" s="187"/>
      <c r="B35" s="187"/>
      <c r="C35" s="187"/>
      <c r="D35" s="187"/>
      <c r="E35" s="187"/>
      <c r="F35" s="879"/>
      <c r="G35" s="879"/>
      <c r="H35" s="187"/>
      <c r="I35" s="187"/>
      <c r="J35" s="187"/>
      <c r="K35" s="609"/>
    </row>
    <row r="36" spans="1:11" ht="18" customHeight="1" x14ac:dyDescent="0.4">
      <c r="A36" s="156" t="s">
        <v>137</v>
      </c>
      <c r="B36" s="155" t="s">
        <v>138</v>
      </c>
      <c r="C36" s="187"/>
      <c r="D36" s="187"/>
      <c r="E36" s="155" t="s">
        <v>7</v>
      </c>
      <c r="F36" s="610">
        <v>3914.25</v>
      </c>
      <c r="G36" s="610">
        <v>955916</v>
      </c>
      <c r="H36" s="610">
        <v>214488.60999999996</v>
      </c>
      <c r="I36" s="608">
        <v>107244.30499999998</v>
      </c>
      <c r="J36" s="608">
        <v>0</v>
      </c>
      <c r="K36" s="608">
        <v>321732.91499999998</v>
      </c>
    </row>
    <row r="37" spans="1:11" ht="18" customHeight="1" thickBot="1" x14ac:dyDescent="0.45">
      <c r="A37" s="187"/>
      <c r="B37" s="155"/>
      <c r="C37" s="187"/>
      <c r="D37" s="187"/>
      <c r="E37" s="187"/>
      <c r="F37" s="111"/>
      <c r="G37" s="111"/>
      <c r="H37" s="105"/>
      <c r="I37" s="105"/>
      <c r="J37" s="105"/>
      <c r="K37" s="112"/>
    </row>
    <row r="38" spans="1:11" ht="42.75" customHeight="1" x14ac:dyDescent="0.4">
      <c r="A38" s="187"/>
      <c r="B38" s="187"/>
      <c r="C38" s="187"/>
      <c r="D38" s="187"/>
      <c r="E38" s="187"/>
      <c r="F38" s="881" t="s">
        <v>9</v>
      </c>
      <c r="G38" s="881" t="s">
        <v>37</v>
      </c>
      <c r="H38" s="158" t="s">
        <v>29</v>
      </c>
      <c r="I38" s="158" t="s">
        <v>30</v>
      </c>
      <c r="J38" s="158" t="s">
        <v>33</v>
      </c>
      <c r="K38" s="158" t="s">
        <v>34</v>
      </c>
    </row>
    <row r="39" spans="1:11" ht="18.75" customHeight="1" x14ac:dyDescent="0.4">
      <c r="A39" s="156" t="s">
        <v>86</v>
      </c>
      <c r="B39" s="155" t="s">
        <v>49</v>
      </c>
      <c r="C39" s="187"/>
      <c r="D39" s="187"/>
      <c r="E39" s="187"/>
      <c r="F39" s="879"/>
      <c r="G39" s="879"/>
      <c r="H39" s="187"/>
      <c r="I39" s="187"/>
      <c r="J39" s="187"/>
      <c r="K39" s="187"/>
    </row>
    <row r="40" spans="1:11" ht="18" customHeight="1" x14ac:dyDescent="0.4">
      <c r="A40" s="188" t="s">
        <v>87</v>
      </c>
      <c r="B40" s="187" t="s">
        <v>31</v>
      </c>
      <c r="C40" s="187"/>
      <c r="D40" s="187"/>
      <c r="E40" s="187"/>
      <c r="F40" s="606">
        <v>2</v>
      </c>
      <c r="G40" s="606">
        <v>10000</v>
      </c>
      <c r="H40" s="606">
        <v>451.57499999999999</v>
      </c>
      <c r="I40" s="174">
        <v>225.78749999999999</v>
      </c>
      <c r="J40" s="606">
        <v>0</v>
      </c>
      <c r="K40" s="608">
        <v>677.36249999999995</v>
      </c>
    </row>
    <row r="41" spans="1:11" ht="18" customHeight="1" x14ac:dyDescent="0.4">
      <c r="A41" s="188" t="s">
        <v>88</v>
      </c>
      <c r="B41" s="1036" t="s">
        <v>50</v>
      </c>
      <c r="C41" s="1037"/>
      <c r="D41" s="187"/>
      <c r="E41" s="187"/>
      <c r="F41" s="606">
        <v>3304</v>
      </c>
      <c r="G41" s="606">
        <v>10125</v>
      </c>
      <c r="H41" s="606">
        <v>164539.20000000001</v>
      </c>
      <c r="I41" s="174">
        <v>82269.600000000006</v>
      </c>
      <c r="J41" s="606">
        <v>0</v>
      </c>
      <c r="K41" s="608">
        <v>246808.80000000002</v>
      </c>
    </row>
    <row r="42" spans="1:11" ht="18" customHeight="1" x14ac:dyDescent="0.4">
      <c r="A42" s="188" t="s">
        <v>89</v>
      </c>
      <c r="B42" s="154" t="s">
        <v>11</v>
      </c>
      <c r="C42" s="187"/>
      <c r="D42" s="187"/>
      <c r="E42" s="187"/>
      <c r="F42" s="606">
        <v>7452.25</v>
      </c>
      <c r="G42" s="606">
        <v>7336.9999999999991</v>
      </c>
      <c r="H42" s="606">
        <v>303498.70625000005</v>
      </c>
      <c r="I42" s="174">
        <v>151749.35312500002</v>
      </c>
      <c r="J42" s="606">
        <v>0</v>
      </c>
      <c r="K42" s="608">
        <v>455248.05937500007</v>
      </c>
    </row>
    <row r="43" spans="1:11" ht="18" customHeight="1" x14ac:dyDescent="0.4">
      <c r="A43" s="188" t="s">
        <v>90</v>
      </c>
      <c r="B43" s="171" t="s">
        <v>10</v>
      </c>
      <c r="C43" s="159"/>
      <c r="D43" s="159"/>
      <c r="E43" s="187"/>
      <c r="F43" s="606">
        <v>61</v>
      </c>
      <c r="G43" s="606">
        <v>0</v>
      </c>
      <c r="H43" s="606">
        <v>2327.9124999999999</v>
      </c>
      <c r="I43" s="174">
        <v>1163.95625</v>
      </c>
      <c r="J43" s="606">
        <v>0</v>
      </c>
      <c r="K43" s="608">
        <v>3491.8687499999996</v>
      </c>
    </row>
    <row r="44" spans="1:11" ht="18" customHeight="1" x14ac:dyDescent="0.4">
      <c r="A44" s="188" t="s">
        <v>91</v>
      </c>
      <c r="B44" s="1021"/>
      <c r="C44" s="1022"/>
      <c r="D44" s="1023"/>
      <c r="E44" s="187"/>
      <c r="F44" s="606">
        <v>0</v>
      </c>
      <c r="G44" s="606">
        <v>0</v>
      </c>
      <c r="H44" s="606">
        <v>0</v>
      </c>
      <c r="I44" s="174">
        <v>0</v>
      </c>
      <c r="J44" s="606">
        <v>0</v>
      </c>
      <c r="K44" s="882">
        <v>0</v>
      </c>
    </row>
    <row r="45" spans="1:11" ht="18" customHeight="1" x14ac:dyDescent="0.4">
      <c r="A45" s="188" t="s">
        <v>139</v>
      </c>
      <c r="B45" s="1021"/>
      <c r="C45" s="1022"/>
      <c r="D45" s="1023"/>
      <c r="E45" s="187"/>
      <c r="F45" s="606">
        <v>0</v>
      </c>
      <c r="G45" s="606">
        <v>0</v>
      </c>
      <c r="H45" s="606">
        <v>0</v>
      </c>
      <c r="I45" s="174">
        <v>0</v>
      </c>
      <c r="J45" s="606">
        <v>0</v>
      </c>
      <c r="K45" s="608">
        <v>0</v>
      </c>
    </row>
    <row r="46" spans="1:11" ht="18" customHeight="1" x14ac:dyDescent="0.4">
      <c r="A46" s="188" t="s">
        <v>140</v>
      </c>
      <c r="B46" s="1021"/>
      <c r="C46" s="1022"/>
      <c r="D46" s="1023"/>
      <c r="E46" s="187"/>
      <c r="F46" s="606">
        <v>0</v>
      </c>
      <c r="G46" s="606">
        <v>0</v>
      </c>
      <c r="H46" s="606">
        <v>0</v>
      </c>
      <c r="I46" s="174">
        <v>0</v>
      </c>
      <c r="J46" s="606">
        <v>0</v>
      </c>
      <c r="K46" s="608">
        <v>0</v>
      </c>
    </row>
    <row r="47" spans="1:11" ht="18" customHeight="1" x14ac:dyDescent="0.4">
      <c r="A47" s="188" t="s">
        <v>141</v>
      </c>
      <c r="B47" s="1021"/>
      <c r="C47" s="1022"/>
      <c r="D47" s="1023"/>
      <c r="E47" s="187"/>
      <c r="F47" s="606">
        <v>0</v>
      </c>
      <c r="G47" s="606">
        <v>0</v>
      </c>
      <c r="H47" s="606">
        <v>0</v>
      </c>
      <c r="I47" s="174">
        <v>0</v>
      </c>
      <c r="J47" s="606">
        <v>0</v>
      </c>
      <c r="K47" s="608">
        <v>0</v>
      </c>
    </row>
    <row r="49" spans="1:11" ht="18" customHeight="1" x14ac:dyDescent="0.4">
      <c r="A49" s="156" t="s">
        <v>142</v>
      </c>
      <c r="B49" s="155" t="s">
        <v>143</v>
      </c>
      <c r="C49" s="187"/>
      <c r="D49" s="187"/>
      <c r="E49" s="155" t="s">
        <v>7</v>
      </c>
      <c r="F49" s="610">
        <v>10819.25</v>
      </c>
      <c r="G49" s="610">
        <v>27462</v>
      </c>
      <c r="H49" s="608">
        <v>470817.39375000005</v>
      </c>
      <c r="I49" s="608">
        <v>235408.69687500002</v>
      </c>
      <c r="J49" s="608">
        <v>0</v>
      </c>
      <c r="K49" s="608">
        <v>706226.09062500007</v>
      </c>
    </row>
    <row r="50" spans="1:11" ht="18" customHeight="1" thickBot="1" x14ac:dyDescent="0.4">
      <c r="A50" s="187"/>
      <c r="B50" s="187"/>
      <c r="C50" s="187"/>
      <c r="D50" s="187"/>
      <c r="E50" s="187"/>
      <c r="F50" s="879"/>
      <c r="G50" s="883"/>
      <c r="H50" s="164"/>
      <c r="I50" s="164"/>
      <c r="J50" s="164"/>
      <c r="K50" s="164"/>
    </row>
    <row r="51" spans="1:11" ht="42.75" customHeight="1" x14ac:dyDescent="0.4">
      <c r="A51" s="187"/>
      <c r="B51" s="187"/>
      <c r="C51" s="187"/>
      <c r="D51" s="187"/>
      <c r="E51" s="187"/>
      <c r="F51" s="881" t="s">
        <v>9</v>
      </c>
      <c r="G51" s="881" t="s">
        <v>37</v>
      </c>
      <c r="H51" s="158" t="s">
        <v>29</v>
      </c>
      <c r="I51" s="158" t="s">
        <v>30</v>
      </c>
      <c r="J51" s="158" t="s">
        <v>33</v>
      </c>
      <c r="K51" s="158" t="s">
        <v>34</v>
      </c>
    </row>
    <row r="52" spans="1:11" ht="18" customHeight="1" x14ac:dyDescent="0.4">
      <c r="A52" s="156" t="s">
        <v>92</v>
      </c>
      <c r="B52" s="1024" t="s">
        <v>38</v>
      </c>
      <c r="C52" s="1025"/>
      <c r="D52" s="187"/>
      <c r="E52" s="187"/>
      <c r="F52" s="879"/>
      <c r="G52" s="879"/>
      <c r="H52" s="187"/>
      <c r="I52" s="187"/>
      <c r="J52" s="187"/>
      <c r="K52" s="187"/>
    </row>
    <row r="53" spans="1:11" ht="18" customHeight="1" x14ac:dyDescent="0.4">
      <c r="A53" s="188" t="s">
        <v>51</v>
      </c>
      <c r="B53" s="1026" t="s">
        <v>332</v>
      </c>
      <c r="C53" s="1027"/>
      <c r="D53" s="1028"/>
      <c r="E53" s="187"/>
      <c r="F53" s="606">
        <v>9650</v>
      </c>
      <c r="G53" s="606">
        <v>2123</v>
      </c>
      <c r="H53" s="606">
        <v>598839</v>
      </c>
      <c r="I53" s="174">
        <v>299419.5</v>
      </c>
      <c r="J53" s="606">
        <v>325409</v>
      </c>
      <c r="K53" s="608">
        <v>572849.5</v>
      </c>
    </row>
    <row r="54" spans="1:11" ht="18" customHeight="1" x14ac:dyDescent="0.4">
      <c r="A54" s="188" t="s">
        <v>93</v>
      </c>
      <c r="B54" s="539" t="s">
        <v>813</v>
      </c>
      <c r="C54" s="549"/>
      <c r="D54" s="550"/>
      <c r="E54" s="187"/>
      <c r="F54" s="606">
        <v>2090</v>
      </c>
      <c r="G54" s="606">
        <v>109</v>
      </c>
      <c r="H54" s="607">
        <v>74285</v>
      </c>
      <c r="I54" s="174">
        <v>37142.5</v>
      </c>
      <c r="J54" s="607">
        <v>41360</v>
      </c>
      <c r="K54" s="608">
        <v>70067.5</v>
      </c>
    </row>
    <row r="55" spans="1:11" ht="18" customHeight="1" x14ac:dyDescent="0.4">
      <c r="A55" s="188" t="s">
        <v>94</v>
      </c>
      <c r="B55" s="1026"/>
      <c r="C55" s="1027"/>
      <c r="D55" s="1028"/>
      <c r="E55" s="187"/>
      <c r="F55" s="606"/>
      <c r="G55" s="606"/>
      <c r="H55" s="607"/>
      <c r="I55" s="174">
        <v>0</v>
      </c>
      <c r="J55" s="607"/>
      <c r="K55" s="608">
        <v>0</v>
      </c>
    </row>
    <row r="56" spans="1:11" ht="18" customHeight="1" x14ac:dyDescent="0.4">
      <c r="A56" s="188" t="s">
        <v>95</v>
      </c>
      <c r="B56" s="1026"/>
      <c r="C56" s="1027"/>
      <c r="D56" s="1028"/>
      <c r="E56" s="187"/>
      <c r="F56" s="606"/>
      <c r="G56" s="606"/>
      <c r="H56" s="607"/>
      <c r="I56" s="174">
        <v>0</v>
      </c>
      <c r="J56" s="607"/>
      <c r="K56" s="608">
        <v>0</v>
      </c>
    </row>
    <row r="57" spans="1:11" ht="18" customHeight="1" x14ac:dyDescent="0.4">
      <c r="A57" s="188" t="s">
        <v>96</v>
      </c>
      <c r="B57" s="1026"/>
      <c r="C57" s="1027"/>
      <c r="D57" s="1028"/>
      <c r="E57" s="187"/>
      <c r="F57" s="606"/>
      <c r="G57" s="606"/>
      <c r="H57" s="607"/>
      <c r="I57" s="174">
        <v>0</v>
      </c>
      <c r="J57" s="607"/>
      <c r="K57" s="608">
        <v>0</v>
      </c>
    </row>
    <row r="58" spans="1:11" ht="18" customHeight="1" x14ac:dyDescent="0.4">
      <c r="A58" s="188" t="s">
        <v>97</v>
      </c>
      <c r="B58" s="548"/>
      <c r="C58" s="549"/>
      <c r="D58" s="550"/>
      <c r="E58" s="187"/>
      <c r="F58" s="606"/>
      <c r="G58" s="606"/>
      <c r="H58" s="607"/>
      <c r="I58" s="174">
        <v>0</v>
      </c>
      <c r="J58" s="607"/>
      <c r="K58" s="608">
        <v>0</v>
      </c>
    </row>
    <row r="59" spans="1:11" ht="18" customHeight="1" x14ac:dyDescent="0.4">
      <c r="A59" s="188" t="s">
        <v>98</v>
      </c>
      <c r="B59" s="1026"/>
      <c r="C59" s="1027"/>
      <c r="D59" s="1028"/>
      <c r="E59" s="187"/>
      <c r="F59" s="606"/>
      <c r="G59" s="606"/>
      <c r="H59" s="607"/>
      <c r="I59" s="174">
        <v>0</v>
      </c>
      <c r="J59" s="607"/>
      <c r="K59" s="608">
        <v>0</v>
      </c>
    </row>
    <row r="60" spans="1:11" ht="18" customHeight="1" x14ac:dyDescent="0.4">
      <c r="A60" s="188" t="s">
        <v>99</v>
      </c>
      <c r="B60" s="548"/>
      <c r="C60" s="549"/>
      <c r="D60" s="550"/>
      <c r="E60" s="187"/>
      <c r="F60" s="606"/>
      <c r="G60" s="606"/>
      <c r="H60" s="607"/>
      <c r="I60" s="174">
        <v>0</v>
      </c>
      <c r="J60" s="607"/>
      <c r="K60" s="608">
        <v>0</v>
      </c>
    </row>
    <row r="61" spans="1:11" ht="18" customHeight="1" x14ac:dyDescent="0.4">
      <c r="A61" s="188" t="s">
        <v>100</v>
      </c>
      <c r="B61" s="548"/>
      <c r="C61" s="549"/>
      <c r="D61" s="550"/>
      <c r="E61" s="187"/>
      <c r="F61" s="606"/>
      <c r="G61" s="606"/>
      <c r="H61" s="607"/>
      <c r="I61" s="174">
        <v>0</v>
      </c>
      <c r="J61" s="607"/>
      <c r="K61" s="608">
        <v>0</v>
      </c>
    </row>
    <row r="62" spans="1:11" ht="18" customHeight="1" x14ac:dyDescent="0.4">
      <c r="A62" s="188" t="s">
        <v>101</v>
      </c>
      <c r="B62" s="1026"/>
      <c r="C62" s="1027"/>
      <c r="D62" s="1028"/>
      <c r="E62" s="187"/>
      <c r="F62" s="606"/>
      <c r="G62" s="606"/>
      <c r="H62" s="607"/>
      <c r="I62" s="174">
        <v>0</v>
      </c>
      <c r="J62" s="607"/>
      <c r="K62" s="608">
        <v>0</v>
      </c>
    </row>
    <row r="63" spans="1:11" ht="18" customHeight="1" x14ac:dyDescent="0.4">
      <c r="A63" s="188"/>
      <c r="B63" s="187"/>
      <c r="C63" s="187"/>
      <c r="D63" s="187"/>
      <c r="E63" s="187"/>
      <c r="F63" s="879"/>
      <c r="G63" s="879"/>
      <c r="H63" s="187"/>
      <c r="I63" s="170"/>
      <c r="J63" s="187"/>
      <c r="K63" s="187"/>
    </row>
    <row r="64" spans="1:11" ht="18" customHeight="1" x14ac:dyDescent="0.4">
      <c r="A64" s="188" t="s">
        <v>144</v>
      </c>
      <c r="B64" s="155" t="s">
        <v>145</v>
      </c>
      <c r="C64" s="187"/>
      <c r="D64" s="187"/>
      <c r="E64" s="155" t="s">
        <v>7</v>
      </c>
      <c r="F64" s="610">
        <v>11740</v>
      </c>
      <c r="G64" s="610">
        <v>2232</v>
      </c>
      <c r="H64" s="608">
        <v>673124</v>
      </c>
      <c r="I64" s="608">
        <v>336562</v>
      </c>
      <c r="J64" s="608">
        <v>366769</v>
      </c>
      <c r="K64" s="608">
        <v>642917</v>
      </c>
    </row>
    <row r="65" spans="1:11" ht="18" customHeight="1" x14ac:dyDescent="0.35">
      <c r="A65" s="187"/>
      <c r="B65" s="187"/>
      <c r="C65" s="187"/>
      <c r="D65" s="187"/>
      <c r="E65" s="187"/>
      <c r="F65" s="884"/>
      <c r="G65" s="884"/>
      <c r="H65" s="172"/>
      <c r="I65" s="172"/>
      <c r="J65" s="172"/>
      <c r="K65" s="172"/>
    </row>
    <row r="66" spans="1:11" ht="42.75" customHeight="1" x14ac:dyDescent="0.4">
      <c r="A66" s="187"/>
      <c r="B66" s="187"/>
      <c r="C66" s="187"/>
      <c r="D66" s="187"/>
      <c r="E66" s="187"/>
      <c r="F66" s="885" t="s">
        <v>9</v>
      </c>
      <c r="G66" s="885" t="s">
        <v>37</v>
      </c>
      <c r="H66" s="176" t="s">
        <v>29</v>
      </c>
      <c r="I66" s="176" t="s">
        <v>30</v>
      </c>
      <c r="J66" s="176" t="s">
        <v>33</v>
      </c>
      <c r="K66" s="176" t="s">
        <v>34</v>
      </c>
    </row>
    <row r="67" spans="1:11" ht="18" customHeight="1" x14ac:dyDescent="0.4">
      <c r="A67" s="156" t="s">
        <v>102</v>
      </c>
      <c r="B67" s="155" t="s">
        <v>12</v>
      </c>
      <c r="C67" s="187"/>
      <c r="D67" s="187"/>
      <c r="E67" s="187"/>
      <c r="F67" s="886"/>
      <c r="G67" s="886"/>
      <c r="H67" s="177"/>
      <c r="I67" s="178"/>
      <c r="J67" s="177"/>
      <c r="K67" s="179"/>
    </row>
    <row r="68" spans="1:11" ht="18" customHeight="1" x14ac:dyDescent="0.4">
      <c r="A68" s="188" t="s">
        <v>103</v>
      </c>
      <c r="B68" s="187" t="s">
        <v>52</v>
      </c>
      <c r="C68" s="187"/>
      <c r="D68" s="187"/>
      <c r="E68" s="187"/>
      <c r="F68" s="606">
        <v>0</v>
      </c>
      <c r="G68" s="606">
        <v>0</v>
      </c>
      <c r="H68" s="606">
        <v>0</v>
      </c>
      <c r="I68" s="174">
        <v>0</v>
      </c>
      <c r="J68" s="606">
        <v>0</v>
      </c>
      <c r="K68" s="608">
        <v>0</v>
      </c>
    </row>
    <row r="69" spans="1:11" ht="18" customHeight="1" x14ac:dyDescent="0.4">
      <c r="A69" s="188" t="s">
        <v>104</v>
      </c>
      <c r="B69" s="154" t="s">
        <v>53</v>
      </c>
      <c r="C69" s="187"/>
      <c r="D69" s="187"/>
      <c r="E69" s="187"/>
      <c r="F69" s="606">
        <v>124</v>
      </c>
      <c r="G69" s="606">
        <v>2685</v>
      </c>
      <c r="H69" s="606">
        <v>4732.1500000000005</v>
      </c>
      <c r="I69" s="174">
        <v>2366.0750000000003</v>
      </c>
      <c r="J69" s="606">
        <v>0</v>
      </c>
      <c r="K69" s="608">
        <v>7098.2250000000004</v>
      </c>
    </row>
    <row r="70" spans="1:11" ht="18" customHeight="1" x14ac:dyDescent="0.4">
      <c r="A70" s="188" t="s">
        <v>178</v>
      </c>
      <c r="B70" s="548"/>
      <c r="C70" s="549"/>
      <c r="D70" s="550"/>
      <c r="E70" s="155"/>
      <c r="F70" s="606">
        <v>0</v>
      </c>
      <c r="G70" s="606">
        <v>0</v>
      </c>
      <c r="H70" s="606">
        <v>0</v>
      </c>
      <c r="I70" s="174">
        <v>0</v>
      </c>
      <c r="J70" s="606">
        <v>0</v>
      </c>
      <c r="K70" s="608">
        <v>0</v>
      </c>
    </row>
    <row r="71" spans="1:11" ht="18" customHeight="1" x14ac:dyDescent="0.4">
      <c r="A71" s="188" t="s">
        <v>179</v>
      </c>
      <c r="B71" s="548"/>
      <c r="C71" s="549"/>
      <c r="D71" s="550"/>
      <c r="E71" s="155"/>
      <c r="F71" s="606">
        <v>0</v>
      </c>
      <c r="G71" s="606">
        <v>0</v>
      </c>
      <c r="H71" s="606">
        <v>0</v>
      </c>
      <c r="I71" s="174">
        <v>0</v>
      </c>
      <c r="J71" s="606">
        <v>0</v>
      </c>
      <c r="K71" s="608">
        <v>0</v>
      </c>
    </row>
    <row r="72" spans="1:11" ht="18" customHeight="1" x14ac:dyDescent="0.4">
      <c r="A72" s="188" t="s">
        <v>180</v>
      </c>
      <c r="B72" s="551"/>
      <c r="C72" s="552"/>
      <c r="D72" s="165"/>
      <c r="E72" s="155"/>
      <c r="F72" s="606">
        <v>0</v>
      </c>
      <c r="G72" s="606">
        <v>0</v>
      </c>
      <c r="H72" s="606">
        <v>0</v>
      </c>
      <c r="I72" s="174">
        <v>0</v>
      </c>
      <c r="J72" s="606">
        <v>0</v>
      </c>
      <c r="K72" s="608">
        <v>0</v>
      </c>
    </row>
    <row r="73" spans="1:11" ht="18" customHeight="1" x14ac:dyDescent="0.4">
      <c r="A73" s="188"/>
      <c r="B73" s="154"/>
      <c r="C73" s="187"/>
      <c r="D73" s="187"/>
      <c r="E73" s="155"/>
      <c r="F73" s="180"/>
      <c r="G73" s="180"/>
      <c r="H73" s="181"/>
      <c r="I73" s="178"/>
      <c r="J73" s="181"/>
      <c r="K73" s="179"/>
    </row>
    <row r="74" spans="1:11" ht="18" customHeight="1" x14ac:dyDescent="0.4">
      <c r="A74" s="156" t="s">
        <v>146</v>
      </c>
      <c r="B74" s="155" t="s">
        <v>147</v>
      </c>
      <c r="C74" s="187"/>
      <c r="D74" s="187"/>
      <c r="E74" s="155" t="s">
        <v>7</v>
      </c>
      <c r="F74" s="614">
        <v>124</v>
      </c>
      <c r="G74" s="614">
        <v>2685</v>
      </c>
      <c r="H74" s="611">
        <v>4732.1500000000005</v>
      </c>
      <c r="I74" s="175">
        <v>2366.0750000000003</v>
      </c>
      <c r="J74" s="611">
        <v>0</v>
      </c>
      <c r="K74" s="612">
        <v>7098.2250000000004</v>
      </c>
    </row>
    <row r="75" spans="1:11" ht="42.75" customHeight="1" x14ac:dyDescent="0.4">
      <c r="A75" s="187"/>
      <c r="B75" s="187"/>
      <c r="C75" s="187"/>
      <c r="D75" s="187"/>
      <c r="E75" s="187"/>
      <c r="F75" s="881" t="s">
        <v>9</v>
      </c>
      <c r="G75" s="881" t="s">
        <v>37</v>
      </c>
      <c r="H75" s="158" t="s">
        <v>29</v>
      </c>
      <c r="I75" s="158" t="s">
        <v>30</v>
      </c>
      <c r="J75" s="158" t="s">
        <v>33</v>
      </c>
      <c r="K75" s="158" t="s">
        <v>34</v>
      </c>
    </row>
    <row r="76" spans="1:11" ht="18" customHeight="1" x14ac:dyDescent="0.4">
      <c r="A76" s="156" t="s">
        <v>105</v>
      </c>
      <c r="B76" s="155" t="s">
        <v>106</v>
      </c>
      <c r="C76" s="187"/>
      <c r="D76" s="187"/>
      <c r="E76" s="187"/>
      <c r="F76" s="879"/>
      <c r="G76" s="879"/>
      <c r="H76" s="187"/>
      <c r="I76" s="187"/>
      <c r="J76" s="187"/>
      <c r="K76" s="187"/>
    </row>
    <row r="77" spans="1:11" ht="18" customHeight="1" x14ac:dyDescent="0.4">
      <c r="A77" s="188" t="s">
        <v>107</v>
      </c>
      <c r="B77" s="154" t="s">
        <v>54</v>
      </c>
      <c r="C77" s="187"/>
      <c r="D77" s="187"/>
      <c r="E77" s="187"/>
      <c r="F77" s="606">
        <v>0</v>
      </c>
      <c r="G77" s="606">
        <v>0</v>
      </c>
      <c r="H77" s="606">
        <v>0</v>
      </c>
      <c r="I77" s="174">
        <v>0</v>
      </c>
      <c r="J77" s="606">
        <v>0</v>
      </c>
      <c r="K77" s="608">
        <v>0</v>
      </c>
    </row>
    <row r="78" spans="1:11" ht="18" customHeight="1" x14ac:dyDescent="0.4">
      <c r="A78" s="188" t="s">
        <v>108</v>
      </c>
      <c r="B78" s="154" t="s">
        <v>55</v>
      </c>
      <c r="C78" s="187"/>
      <c r="D78" s="187"/>
      <c r="E78" s="187"/>
      <c r="F78" s="606">
        <v>0</v>
      </c>
      <c r="G78" s="606">
        <v>0</v>
      </c>
      <c r="H78" s="606">
        <v>0</v>
      </c>
      <c r="I78" s="174">
        <v>0</v>
      </c>
      <c r="J78" s="606">
        <v>0</v>
      </c>
      <c r="K78" s="608">
        <v>0</v>
      </c>
    </row>
    <row r="79" spans="1:11" ht="18" customHeight="1" x14ac:dyDescent="0.4">
      <c r="A79" s="188" t="s">
        <v>109</v>
      </c>
      <c r="B79" s="154" t="s">
        <v>13</v>
      </c>
      <c r="C79" s="187"/>
      <c r="D79" s="187"/>
      <c r="E79" s="187"/>
      <c r="F79" s="606">
        <v>1349.5</v>
      </c>
      <c r="G79" s="606">
        <v>2432</v>
      </c>
      <c r="H79" s="606">
        <v>58183.21875</v>
      </c>
      <c r="I79" s="174">
        <v>29091.609375</v>
      </c>
      <c r="J79" s="606">
        <v>0</v>
      </c>
      <c r="K79" s="608">
        <v>87274.828125</v>
      </c>
    </row>
    <row r="80" spans="1:11" ht="18" customHeight="1" x14ac:dyDescent="0.4">
      <c r="A80" s="188" t="s">
        <v>110</v>
      </c>
      <c r="B80" s="154" t="s">
        <v>56</v>
      </c>
      <c r="C80" s="187"/>
      <c r="D80" s="187"/>
      <c r="E80" s="187"/>
      <c r="F80" s="606">
        <v>0</v>
      </c>
      <c r="G80" s="606">
        <v>0</v>
      </c>
      <c r="H80" s="606">
        <v>0</v>
      </c>
      <c r="I80" s="174">
        <v>0</v>
      </c>
      <c r="J80" s="606">
        <v>0</v>
      </c>
      <c r="K80" s="608">
        <v>0</v>
      </c>
    </row>
    <row r="81" spans="1:11" ht="18" customHeight="1" x14ac:dyDescent="0.4">
      <c r="A81" s="188"/>
      <c r="B81" s="187"/>
      <c r="C81" s="187"/>
      <c r="D81" s="187"/>
      <c r="E81" s="187"/>
      <c r="F81" s="879"/>
      <c r="G81" s="879"/>
      <c r="H81" s="187"/>
      <c r="I81" s="187"/>
      <c r="J81" s="187"/>
      <c r="K81" s="613"/>
    </row>
    <row r="82" spans="1:11" ht="18" customHeight="1" x14ac:dyDescent="0.4">
      <c r="A82" s="188" t="s">
        <v>148</v>
      </c>
      <c r="B82" s="155" t="s">
        <v>149</v>
      </c>
      <c r="C82" s="187"/>
      <c r="D82" s="187"/>
      <c r="E82" s="155" t="s">
        <v>7</v>
      </c>
      <c r="F82" s="614">
        <v>1349.5</v>
      </c>
      <c r="G82" s="614">
        <v>2432</v>
      </c>
      <c r="H82" s="612">
        <v>58183.21875</v>
      </c>
      <c r="I82" s="612">
        <v>29091.609375</v>
      </c>
      <c r="J82" s="612">
        <v>0</v>
      </c>
      <c r="K82" s="612">
        <v>87274.828125</v>
      </c>
    </row>
    <row r="83" spans="1:11" ht="18" customHeight="1" thickBot="1" x14ac:dyDescent="0.45">
      <c r="A83" s="188"/>
      <c r="B83" s="187"/>
      <c r="C83" s="187"/>
      <c r="D83" s="187"/>
      <c r="E83" s="187"/>
      <c r="F83" s="883"/>
      <c r="G83" s="883"/>
      <c r="H83" s="164"/>
      <c r="I83" s="164"/>
      <c r="J83" s="164"/>
      <c r="K83" s="164"/>
    </row>
    <row r="84" spans="1:11" ht="42.75" customHeight="1" x14ac:dyDescent="0.4">
      <c r="A84" s="187"/>
      <c r="B84" s="187"/>
      <c r="C84" s="187"/>
      <c r="D84" s="187"/>
      <c r="E84" s="187"/>
      <c r="F84" s="881" t="s">
        <v>9</v>
      </c>
      <c r="G84" s="881" t="s">
        <v>37</v>
      </c>
      <c r="H84" s="158" t="s">
        <v>29</v>
      </c>
      <c r="I84" s="158" t="s">
        <v>30</v>
      </c>
      <c r="J84" s="158" t="s">
        <v>33</v>
      </c>
      <c r="K84" s="158" t="s">
        <v>34</v>
      </c>
    </row>
    <row r="85" spans="1:11" ht="18" customHeight="1" x14ac:dyDescent="0.4">
      <c r="A85" s="156" t="s">
        <v>111</v>
      </c>
      <c r="B85" s="155" t="s">
        <v>57</v>
      </c>
      <c r="C85" s="187"/>
      <c r="D85" s="187"/>
      <c r="E85" s="187"/>
      <c r="F85" s="879"/>
      <c r="G85" s="879"/>
      <c r="H85" s="187"/>
      <c r="I85" s="187"/>
      <c r="J85" s="187"/>
      <c r="K85" s="187"/>
    </row>
    <row r="86" spans="1:11" ht="18" customHeight="1" x14ac:dyDescent="0.4">
      <c r="A86" s="188" t="s">
        <v>112</v>
      </c>
      <c r="B86" s="154" t="s">
        <v>113</v>
      </c>
      <c r="C86" s="187"/>
      <c r="D86" s="187"/>
      <c r="E86" s="187"/>
      <c r="F86" s="606">
        <v>225</v>
      </c>
      <c r="G86" s="606">
        <v>105</v>
      </c>
      <c r="H86" s="606">
        <v>6153.7499999999991</v>
      </c>
      <c r="I86" s="174">
        <v>3076.8749999999995</v>
      </c>
      <c r="J86" s="606">
        <v>0</v>
      </c>
      <c r="K86" s="608">
        <v>9230.6249999999982</v>
      </c>
    </row>
    <row r="87" spans="1:11" ht="18" customHeight="1" x14ac:dyDescent="0.4">
      <c r="A87" s="188" t="s">
        <v>114</v>
      </c>
      <c r="B87" s="154" t="s">
        <v>14</v>
      </c>
      <c r="C87" s="187"/>
      <c r="D87" s="187"/>
      <c r="E87" s="187"/>
      <c r="F87" s="606">
        <v>0</v>
      </c>
      <c r="G87" s="606">
        <v>0</v>
      </c>
      <c r="H87" s="606">
        <v>0</v>
      </c>
      <c r="I87" s="174">
        <v>0</v>
      </c>
      <c r="J87" s="606">
        <v>0</v>
      </c>
      <c r="K87" s="608">
        <v>0</v>
      </c>
    </row>
    <row r="88" spans="1:11" ht="18" customHeight="1" x14ac:dyDescent="0.4">
      <c r="A88" s="188" t="s">
        <v>115</v>
      </c>
      <c r="B88" s="154" t="s">
        <v>116</v>
      </c>
      <c r="C88" s="187"/>
      <c r="D88" s="187"/>
      <c r="E88" s="187"/>
      <c r="F88" s="606">
        <v>123</v>
      </c>
      <c r="G88" s="606">
        <v>307</v>
      </c>
      <c r="H88" s="606">
        <v>6334.7625000000007</v>
      </c>
      <c r="I88" s="174">
        <v>3167.3812500000004</v>
      </c>
      <c r="J88" s="606">
        <v>0</v>
      </c>
      <c r="K88" s="608">
        <v>9502.1437500000011</v>
      </c>
    </row>
    <row r="89" spans="1:11" ht="18" customHeight="1" x14ac:dyDescent="0.4">
      <c r="A89" s="188" t="s">
        <v>117</v>
      </c>
      <c r="B89" s="154" t="s">
        <v>58</v>
      </c>
      <c r="C89" s="187"/>
      <c r="D89" s="187"/>
      <c r="E89" s="187"/>
      <c r="F89" s="606">
        <v>364</v>
      </c>
      <c r="G89" s="606">
        <v>10000</v>
      </c>
      <c r="H89" s="606">
        <v>13891.15</v>
      </c>
      <c r="I89" s="174">
        <v>6945.5749999999998</v>
      </c>
      <c r="J89" s="606">
        <v>0</v>
      </c>
      <c r="K89" s="608">
        <v>20836.724999999999</v>
      </c>
    </row>
    <row r="90" spans="1:11" ht="18" customHeight="1" x14ac:dyDescent="0.4">
      <c r="A90" s="188" t="s">
        <v>118</v>
      </c>
      <c r="B90" s="1036" t="s">
        <v>59</v>
      </c>
      <c r="C90" s="1037"/>
      <c r="D90" s="187"/>
      <c r="E90" s="187"/>
      <c r="F90" s="606">
        <v>0</v>
      </c>
      <c r="G90" s="606">
        <v>0</v>
      </c>
      <c r="H90" s="606">
        <v>0</v>
      </c>
      <c r="I90" s="174">
        <v>0</v>
      </c>
      <c r="J90" s="606">
        <v>0</v>
      </c>
      <c r="K90" s="608">
        <v>0</v>
      </c>
    </row>
    <row r="91" spans="1:11" ht="18" customHeight="1" x14ac:dyDescent="0.4">
      <c r="A91" s="188" t="s">
        <v>119</v>
      </c>
      <c r="B91" s="154" t="s">
        <v>60</v>
      </c>
      <c r="C91" s="187"/>
      <c r="D91" s="187"/>
      <c r="E91" s="187"/>
      <c r="F91" s="606">
        <v>1116</v>
      </c>
      <c r="G91" s="606">
        <v>153969</v>
      </c>
      <c r="H91" s="606">
        <v>42212.700000000004</v>
      </c>
      <c r="I91" s="174">
        <v>21106.350000000002</v>
      </c>
      <c r="J91" s="606">
        <v>0</v>
      </c>
      <c r="K91" s="608">
        <v>63319.05</v>
      </c>
    </row>
    <row r="92" spans="1:11" ht="18" customHeight="1" x14ac:dyDescent="0.4">
      <c r="A92" s="188" t="s">
        <v>120</v>
      </c>
      <c r="B92" s="154" t="s">
        <v>121</v>
      </c>
      <c r="C92" s="187"/>
      <c r="D92" s="187"/>
      <c r="E92" s="187"/>
      <c r="F92" s="606">
        <v>583</v>
      </c>
      <c r="G92" s="606">
        <v>1001258</v>
      </c>
      <c r="H92" s="606">
        <v>22248.737499999999</v>
      </c>
      <c r="I92" s="174">
        <v>11124.36875</v>
      </c>
      <c r="J92" s="606">
        <v>0</v>
      </c>
      <c r="K92" s="608">
        <v>33373.106249999997</v>
      </c>
    </row>
    <row r="93" spans="1:11" ht="18" customHeight="1" x14ac:dyDescent="0.4">
      <c r="A93" s="188" t="s">
        <v>122</v>
      </c>
      <c r="B93" s="154" t="s">
        <v>123</v>
      </c>
      <c r="C93" s="187"/>
      <c r="D93" s="187"/>
      <c r="E93" s="187"/>
      <c r="F93" s="606">
        <v>0</v>
      </c>
      <c r="G93" s="606">
        <v>0</v>
      </c>
      <c r="H93" s="606">
        <v>0</v>
      </c>
      <c r="I93" s="174">
        <v>0</v>
      </c>
      <c r="J93" s="606">
        <v>0</v>
      </c>
      <c r="K93" s="608">
        <v>0</v>
      </c>
    </row>
    <row r="94" spans="1:11" ht="18" customHeight="1" x14ac:dyDescent="0.4">
      <c r="A94" s="188" t="s">
        <v>124</v>
      </c>
      <c r="B94" s="1026"/>
      <c r="C94" s="1027"/>
      <c r="D94" s="1028"/>
      <c r="E94" s="187"/>
      <c r="F94" s="606">
        <v>0</v>
      </c>
      <c r="G94" s="606">
        <v>0</v>
      </c>
      <c r="H94" s="606">
        <v>0</v>
      </c>
      <c r="I94" s="174">
        <v>0</v>
      </c>
      <c r="J94" s="606">
        <v>0</v>
      </c>
      <c r="K94" s="608">
        <v>0</v>
      </c>
    </row>
    <row r="95" spans="1:11" ht="18" customHeight="1" x14ac:dyDescent="0.4">
      <c r="A95" s="188" t="s">
        <v>125</v>
      </c>
      <c r="B95" s="1026"/>
      <c r="C95" s="1027"/>
      <c r="D95" s="1028"/>
      <c r="E95" s="187"/>
      <c r="F95" s="606">
        <v>0</v>
      </c>
      <c r="G95" s="606">
        <v>0</v>
      </c>
      <c r="H95" s="606">
        <v>0</v>
      </c>
      <c r="I95" s="174">
        <v>0</v>
      </c>
      <c r="J95" s="606">
        <v>0</v>
      </c>
      <c r="K95" s="608">
        <v>0</v>
      </c>
    </row>
    <row r="96" spans="1:11" ht="18" customHeight="1" x14ac:dyDescent="0.4">
      <c r="A96" s="188" t="s">
        <v>126</v>
      </c>
      <c r="B96" s="1026"/>
      <c r="C96" s="1027"/>
      <c r="D96" s="1028"/>
      <c r="E96" s="187"/>
      <c r="F96" s="606">
        <v>0</v>
      </c>
      <c r="G96" s="606">
        <v>0</v>
      </c>
      <c r="H96" s="606">
        <v>0</v>
      </c>
      <c r="I96" s="174">
        <v>0</v>
      </c>
      <c r="J96" s="606">
        <v>0</v>
      </c>
      <c r="K96" s="608">
        <v>0</v>
      </c>
    </row>
    <row r="97" spans="1:11" ht="18" customHeight="1" x14ac:dyDescent="0.4">
      <c r="A97" s="188"/>
      <c r="B97" s="154"/>
      <c r="C97" s="187"/>
      <c r="D97" s="187"/>
      <c r="E97" s="187"/>
      <c r="F97" s="879"/>
      <c r="G97" s="879"/>
      <c r="H97" s="187"/>
      <c r="I97" s="187"/>
      <c r="J97" s="187"/>
      <c r="K97" s="187"/>
    </row>
    <row r="98" spans="1:11" ht="18" customHeight="1" x14ac:dyDescent="0.4">
      <c r="A98" s="156" t="s">
        <v>150</v>
      </c>
      <c r="B98" s="155" t="s">
        <v>151</v>
      </c>
      <c r="C98" s="187"/>
      <c r="D98" s="187"/>
      <c r="E98" s="155" t="s">
        <v>7</v>
      </c>
      <c r="F98" s="610">
        <v>2411</v>
      </c>
      <c r="G98" s="610">
        <v>1165639</v>
      </c>
      <c r="H98" s="610">
        <v>90841.1</v>
      </c>
      <c r="I98" s="610">
        <v>45420.55</v>
      </c>
      <c r="J98" s="610">
        <v>0</v>
      </c>
      <c r="K98" s="610">
        <v>136261.65</v>
      </c>
    </row>
    <row r="99" spans="1:11" ht="18" customHeight="1" thickBot="1" x14ac:dyDescent="0.45">
      <c r="A99" s="187"/>
      <c r="B99" s="155"/>
      <c r="C99" s="187"/>
      <c r="D99" s="187"/>
      <c r="E99" s="187"/>
      <c r="F99" s="883"/>
      <c r="G99" s="883"/>
      <c r="H99" s="164"/>
      <c r="I99" s="164"/>
      <c r="J99" s="164"/>
      <c r="K99" s="164"/>
    </row>
    <row r="100" spans="1:11" ht="42.75" customHeight="1" x14ac:dyDescent="0.4">
      <c r="A100" s="187"/>
      <c r="B100" s="187"/>
      <c r="C100" s="187"/>
      <c r="D100" s="187"/>
      <c r="E100" s="187"/>
      <c r="F100" s="881" t="s">
        <v>9</v>
      </c>
      <c r="G100" s="881" t="s">
        <v>37</v>
      </c>
      <c r="H100" s="158" t="s">
        <v>29</v>
      </c>
      <c r="I100" s="158" t="s">
        <v>30</v>
      </c>
      <c r="J100" s="158" t="s">
        <v>33</v>
      </c>
      <c r="K100" s="158" t="s">
        <v>34</v>
      </c>
    </row>
    <row r="101" spans="1:11" ht="18" customHeight="1" x14ac:dyDescent="0.4">
      <c r="A101" s="156" t="s">
        <v>130</v>
      </c>
      <c r="B101" s="155" t="s">
        <v>63</v>
      </c>
      <c r="C101" s="187"/>
      <c r="D101" s="187"/>
      <c r="E101" s="187"/>
      <c r="F101" s="879"/>
      <c r="G101" s="879"/>
      <c r="H101" s="187"/>
      <c r="I101" s="187"/>
      <c r="J101" s="187"/>
      <c r="K101" s="187"/>
    </row>
    <row r="102" spans="1:11" ht="18" customHeight="1" x14ac:dyDescent="0.4">
      <c r="A102" s="188" t="s">
        <v>131</v>
      </c>
      <c r="B102" s="154" t="s">
        <v>152</v>
      </c>
      <c r="C102" s="187"/>
      <c r="D102" s="187"/>
      <c r="E102" s="187"/>
      <c r="F102" s="606">
        <v>2092.5</v>
      </c>
      <c r="G102" s="606">
        <v>0</v>
      </c>
      <c r="H102" s="606">
        <v>71859.056249999994</v>
      </c>
      <c r="I102" s="174">
        <v>35929.528124999997</v>
      </c>
      <c r="J102" s="606">
        <v>0</v>
      </c>
      <c r="K102" s="608">
        <v>107788.58437499999</v>
      </c>
    </row>
    <row r="103" spans="1:11" ht="18" customHeight="1" x14ac:dyDescent="0.4">
      <c r="A103" s="188" t="s">
        <v>132</v>
      </c>
      <c r="B103" s="1036" t="s">
        <v>62</v>
      </c>
      <c r="C103" s="1036"/>
      <c r="D103" s="187"/>
      <c r="E103" s="187"/>
      <c r="F103" s="606">
        <v>139</v>
      </c>
      <c r="G103" s="606">
        <v>100000</v>
      </c>
      <c r="H103" s="606">
        <v>5304.5875000000005</v>
      </c>
      <c r="I103" s="174">
        <v>2652.2937500000003</v>
      </c>
      <c r="J103" s="606">
        <v>0</v>
      </c>
      <c r="K103" s="608">
        <v>7956.8812500000004</v>
      </c>
    </row>
    <row r="104" spans="1:11" ht="18" customHeight="1" x14ac:dyDescent="0.4">
      <c r="A104" s="188" t="s">
        <v>128</v>
      </c>
      <c r="B104" s="1026"/>
      <c r="C104" s="1027"/>
      <c r="D104" s="1028"/>
      <c r="E104" s="187"/>
      <c r="F104" s="606">
        <v>0</v>
      </c>
      <c r="G104" s="606">
        <v>0</v>
      </c>
      <c r="H104" s="606">
        <v>0</v>
      </c>
      <c r="I104" s="174">
        <v>0</v>
      </c>
      <c r="J104" s="606">
        <v>0</v>
      </c>
      <c r="K104" s="608">
        <v>0</v>
      </c>
    </row>
    <row r="105" spans="1:11" ht="18" customHeight="1" x14ac:dyDescent="0.4">
      <c r="A105" s="188" t="s">
        <v>127</v>
      </c>
      <c r="B105" s="1026"/>
      <c r="C105" s="1027"/>
      <c r="D105" s="1028"/>
      <c r="E105" s="187"/>
      <c r="F105" s="606">
        <v>0</v>
      </c>
      <c r="G105" s="606">
        <v>0</v>
      </c>
      <c r="H105" s="606">
        <v>0</v>
      </c>
      <c r="I105" s="174">
        <v>0</v>
      </c>
      <c r="J105" s="606">
        <v>0</v>
      </c>
      <c r="K105" s="608">
        <v>0</v>
      </c>
    </row>
    <row r="106" spans="1:11" ht="18" customHeight="1" x14ac:dyDescent="0.4">
      <c r="A106" s="188" t="s">
        <v>129</v>
      </c>
      <c r="B106" s="1026"/>
      <c r="C106" s="1027"/>
      <c r="D106" s="1028"/>
      <c r="E106" s="187"/>
      <c r="F106" s="606">
        <v>0</v>
      </c>
      <c r="G106" s="606">
        <v>0</v>
      </c>
      <c r="H106" s="606">
        <v>0</v>
      </c>
      <c r="I106" s="174">
        <v>0</v>
      </c>
      <c r="J106" s="606">
        <v>0</v>
      </c>
      <c r="K106" s="608">
        <v>0</v>
      </c>
    </row>
    <row r="107" spans="1:11" ht="18" customHeight="1" x14ac:dyDescent="0.4">
      <c r="A107" s="187"/>
      <c r="B107" s="155"/>
      <c r="C107" s="187"/>
      <c r="D107" s="187"/>
      <c r="E107" s="187"/>
      <c r="F107" s="879"/>
      <c r="G107" s="879"/>
      <c r="H107" s="187"/>
      <c r="I107" s="187"/>
      <c r="J107" s="187"/>
      <c r="K107" s="187"/>
    </row>
    <row r="108" spans="1:11" s="123" customFormat="1" ht="18" customHeight="1" x14ac:dyDescent="0.4">
      <c r="A108" s="156" t="s">
        <v>153</v>
      </c>
      <c r="B108" s="182" t="s">
        <v>154</v>
      </c>
      <c r="C108" s="187"/>
      <c r="D108" s="187"/>
      <c r="E108" s="155" t="s">
        <v>7</v>
      </c>
      <c r="F108" s="610">
        <v>2231.5</v>
      </c>
      <c r="G108" s="610">
        <v>100000</v>
      </c>
      <c r="H108" s="608">
        <v>77163.643749999988</v>
      </c>
      <c r="I108" s="608">
        <v>38581.821874999994</v>
      </c>
      <c r="J108" s="608">
        <v>0</v>
      </c>
      <c r="K108" s="608">
        <v>115745.46562499998</v>
      </c>
    </row>
    <row r="109" spans="1:11" s="123" customFormat="1" ht="18" customHeight="1" thickBot="1" x14ac:dyDescent="0.45">
      <c r="A109" s="160"/>
      <c r="B109" s="161"/>
      <c r="C109" s="162"/>
      <c r="D109" s="162"/>
      <c r="E109" s="162"/>
      <c r="F109" s="883"/>
      <c r="G109" s="883"/>
      <c r="H109" s="164"/>
      <c r="I109" s="164"/>
      <c r="J109" s="164"/>
      <c r="K109" s="164"/>
    </row>
    <row r="110" spans="1:11" s="123" customFormat="1" ht="18" customHeight="1" x14ac:dyDescent="0.4">
      <c r="A110" s="156" t="s">
        <v>156</v>
      </c>
      <c r="B110" s="155" t="s">
        <v>39</v>
      </c>
      <c r="C110" s="187"/>
      <c r="D110" s="187"/>
      <c r="E110" s="187"/>
      <c r="F110" s="879"/>
      <c r="G110" s="879"/>
      <c r="H110" s="187"/>
      <c r="I110" s="187"/>
      <c r="J110" s="187"/>
      <c r="K110" s="187"/>
    </row>
    <row r="111" spans="1:11" ht="18" customHeight="1" x14ac:dyDescent="0.4">
      <c r="A111" s="156" t="s">
        <v>155</v>
      </c>
      <c r="B111" s="155" t="s">
        <v>164</v>
      </c>
      <c r="C111" s="187"/>
      <c r="D111" s="187"/>
      <c r="E111" s="155" t="s">
        <v>7</v>
      </c>
      <c r="F111" s="606">
        <v>101000</v>
      </c>
      <c r="G111" s="879"/>
      <c r="H111" s="187"/>
      <c r="I111" s="187"/>
      <c r="J111" s="187"/>
      <c r="K111" s="187"/>
    </row>
    <row r="112" spans="1:11" ht="18" customHeight="1" x14ac:dyDescent="0.4">
      <c r="A112" s="187"/>
      <c r="B112" s="155"/>
      <c r="C112" s="187"/>
      <c r="D112" s="187"/>
      <c r="E112" s="155"/>
      <c r="F112" s="887"/>
      <c r="G112" s="879"/>
      <c r="H112" s="187"/>
      <c r="I112" s="187"/>
      <c r="J112" s="187"/>
      <c r="K112" s="187"/>
    </row>
    <row r="113" spans="1:6" ht="13.15" x14ac:dyDescent="0.4">
      <c r="A113" s="156"/>
      <c r="B113" s="155" t="s">
        <v>15</v>
      </c>
      <c r="C113" s="187"/>
      <c r="D113" s="187"/>
      <c r="E113" s="187"/>
      <c r="F113" s="879"/>
    </row>
    <row r="114" spans="1:6" ht="13.15" x14ac:dyDescent="0.4">
      <c r="A114" s="188" t="s">
        <v>171</v>
      </c>
      <c r="B114" s="154" t="s">
        <v>35</v>
      </c>
      <c r="C114" s="187"/>
      <c r="D114" s="187"/>
      <c r="E114" s="187"/>
      <c r="F114" s="570">
        <v>0.5</v>
      </c>
    </row>
    <row r="115" spans="1:6" ht="13.15" x14ac:dyDescent="0.4">
      <c r="A115" s="188"/>
      <c r="B115" s="155"/>
      <c r="C115" s="187"/>
      <c r="D115" s="187"/>
      <c r="E115" s="187"/>
      <c r="F115" s="879"/>
    </row>
    <row r="116" spans="1:6" ht="13.15" x14ac:dyDescent="0.4">
      <c r="A116" s="188" t="s">
        <v>170</v>
      </c>
      <c r="B116" s="155" t="s">
        <v>16</v>
      </c>
      <c r="C116" s="187"/>
      <c r="D116" s="187"/>
      <c r="E116" s="187"/>
      <c r="F116" s="879"/>
    </row>
    <row r="117" spans="1:6" ht="13.15" x14ac:dyDescent="0.4">
      <c r="A117" s="188" t="s">
        <v>172</v>
      </c>
      <c r="B117" s="154" t="s">
        <v>17</v>
      </c>
      <c r="C117" s="187"/>
      <c r="D117" s="187"/>
      <c r="E117" s="187"/>
      <c r="F117" s="606">
        <v>68984777</v>
      </c>
    </row>
    <row r="118" spans="1:6" ht="13.15" x14ac:dyDescent="0.4">
      <c r="A118" s="188" t="s">
        <v>173</v>
      </c>
      <c r="B118" s="187" t="s">
        <v>18</v>
      </c>
      <c r="C118" s="187"/>
      <c r="D118" s="187"/>
      <c r="E118" s="187"/>
      <c r="F118" s="606">
        <v>935403</v>
      </c>
    </row>
    <row r="119" spans="1:6" ht="13.15" x14ac:dyDescent="0.4">
      <c r="A119" s="188" t="s">
        <v>174</v>
      </c>
      <c r="B119" s="155" t="s">
        <v>19</v>
      </c>
      <c r="C119" s="187"/>
      <c r="D119" s="187"/>
      <c r="E119" s="187"/>
      <c r="F119" s="614">
        <v>69920180</v>
      </c>
    </row>
    <row r="120" spans="1:6" ht="13.15" x14ac:dyDescent="0.4">
      <c r="A120" s="188"/>
      <c r="B120" s="155"/>
      <c r="C120" s="187"/>
      <c r="D120" s="187"/>
      <c r="E120" s="187"/>
      <c r="F120" s="879"/>
    </row>
    <row r="121" spans="1:6" ht="13.15" x14ac:dyDescent="0.4">
      <c r="A121" s="188" t="s">
        <v>167</v>
      </c>
      <c r="B121" s="155" t="s">
        <v>36</v>
      </c>
      <c r="C121" s="187"/>
      <c r="D121" s="187"/>
      <c r="E121" s="187"/>
      <c r="F121" s="606">
        <v>62496501</v>
      </c>
    </row>
    <row r="122" spans="1:6" ht="13.15" x14ac:dyDescent="0.4">
      <c r="A122" s="188"/>
      <c r="B122" s="187"/>
      <c r="C122" s="187"/>
      <c r="D122" s="187"/>
      <c r="E122" s="187"/>
      <c r="F122" s="879"/>
    </row>
    <row r="123" spans="1:6" ht="13.15" x14ac:dyDescent="0.4">
      <c r="A123" s="188" t="s">
        <v>175</v>
      </c>
      <c r="B123" s="155" t="s">
        <v>20</v>
      </c>
      <c r="C123" s="187"/>
      <c r="D123" s="187"/>
      <c r="E123" s="187"/>
      <c r="F123" s="606">
        <v>2832613</v>
      </c>
    </row>
    <row r="124" spans="1:6" ht="13.15" x14ac:dyDescent="0.4">
      <c r="A124" s="188"/>
      <c r="B124" s="187"/>
      <c r="C124" s="187"/>
      <c r="D124" s="187"/>
      <c r="E124" s="187"/>
      <c r="F124" s="879"/>
    </row>
    <row r="125" spans="1:6" ht="13.15" x14ac:dyDescent="0.4">
      <c r="A125" s="188" t="s">
        <v>176</v>
      </c>
      <c r="B125" s="155" t="s">
        <v>21</v>
      </c>
      <c r="C125" s="187"/>
      <c r="D125" s="187"/>
      <c r="E125" s="187"/>
      <c r="F125" s="714">
        <v>2321081</v>
      </c>
    </row>
    <row r="126" spans="1:6" ht="13.15" x14ac:dyDescent="0.4">
      <c r="A126" s="188"/>
      <c r="B126" s="187"/>
      <c r="C126" s="187"/>
      <c r="D126" s="187"/>
      <c r="E126" s="187"/>
      <c r="F126" s="879"/>
    </row>
    <row r="127" spans="1:6" ht="13.15" x14ac:dyDescent="0.4">
      <c r="A127" s="188" t="s">
        <v>177</v>
      </c>
      <c r="B127" s="155" t="s">
        <v>22</v>
      </c>
      <c r="C127" s="187"/>
      <c r="D127" s="187"/>
      <c r="E127" s="187"/>
      <c r="F127" s="606">
        <v>5153694</v>
      </c>
    </row>
    <row r="128" spans="1:6" ht="13.15" x14ac:dyDescent="0.4">
      <c r="A128" s="188"/>
      <c r="B128" s="187"/>
      <c r="C128" s="187"/>
      <c r="D128" s="187"/>
      <c r="E128" s="187"/>
      <c r="F128" s="879"/>
    </row>
    <row r="129" spans="1:11" ht="42.75" customHeight="1" x14ac:dyDescent="0.4">
      <c r="A129" s="187"/>
      <c r="B129" s="187"/>
      <c r="C129" s="187"/>
      <c r="D129" s="187"/>
      <c r="E129" s="187"/>
      <c r="F129" s="881" t="s">
        <v>9</v>
      </c>
      <c r="G129" s="881" t="s">
        <v>37</v>
      </c>
      <c r="H129" s="158" t="s">
        <v>29</v>
      </c>
      <c r="I129" s="158" t="s">
        <v>30</v>
      </c>
      <c r="J129" s="158" t="s">
        <v>33</v>
      </c>
      <c r="K129" s="158" t="s">
        <v>34</v>
      </c>
    </row>
    <row r="130" spans="1:11" ht="18" customHeight="1" x14ac:dyDescent="0.4">
      <c r="A130" s="156" t="s">
        <v>157</v>
      </c>
      <c r="B130" s="155" t="s">
        <v>23</v>
      </c>
      <c r="C130" s="187"/>
      <c r="D130" s="187"/>
      <c r="E130" s="187"/>
      <c r="F130" s="879"/>
      <c r="G130" s="879"/>
      <c r="H130" s="187"/>
      <c r="I130" s="187"/>
      <c r="J130" s="187"/>
      <c r="K130" s="187"/>
    </row>
    <row r="131" spans="1:11" ht="18" customHeight="1" x14ac:dyDescent="0.4">
      <c r="A131" s="188" t="s">
        <v>158</v>
      </c>
      <c r="B131" s="187" t="s">
        <v>24</v>
      </c>
      <c r="C131" s="187"/>
      <c r="D131" s="187"/>
      <c r="E131" s="187"/>
      <c r="F131" s="606">
        <v>0</v>
      </c>
      <c r="G131" s="606">
        <v>0</v>
      </c>
      <c r="H131" s="607">
        <v>162778</v>
      </c>
      <c r="I131" s="174">
        <v>6</v>
      </c>
      <c r="J131" s="607">
        <v>0</v>
      </c>
      <c r="K131" s="608">
        <v>162784</v>
      </c>
    </row>
    <row r="132" spans="1:11" ht="18" customHeight="1" x14ac:dyDescent="0.4">
      <c r="A132" s="188" t="s">
        <v>159</v>
      </c>
      <c r="B132" s="187" t="s">
        <v>25</v>
      </c>
      <c r="C132" s="187"/>
      <c r="D132" s="187"/>
      <c r="E132" s="187"/>
      <c r="F132" s="606"/>
      <c r="G132" s="606"/>
      <c r="H132" s="607"/>
      <c r="I132" s="174">
        <v>0</v>
      </c>
      <c r="J132" s="607"/>
      <c r="K132" s="608">
        <v>0</v>
      </c>
    </row>
    <row r="133" spans="1:11" ht="18" customHeight="1" x14ac:dyDescent="0.4">
      <c r="A133" s="188" t="s">
        <v>160</v>
      </c>
      <c r="B133" s="1021"/>
      <c r="C133" s="1022"/>
      <c r="D133" s="1023"/>
      <c r="E133" s="187"/>
      <c r="F133" s="606"/>
      <c r="G133" s="606"/>
      <c r="H133" s="607"/>
      <c r="I133" s="174">
        <v>0</v>
      </c>
      <c r="J133" s="607"/>
      <c r="K133" s="608">
        <v>0</v>
      </c>
    </row>
    <row r="134" spans="1:11" ht="18" customHeight="1" x14ac:dyDescent="0.4">
      <c r="A134" s="188" t="s">
        <v>161</v>
      </c>
      <c r="B134" s="1021"/>
      <c r="C134" s="1022"/>
      <c r="D134" s="1023"/>
      <c r="E134" s="187"/>
      <c r="F134" s="606"/>
      <c r="G134" s="606"/>
      <c r="H134" s="607"/>
      <c r="I134" s="174">
        <v>0</v>
      </c>
      <c r="J134" s="607"/>
      <c r="K134" s="608">
        <v>0</v>
      </c>
    </row>
    <row r="135" spans="1:11" ht="18" customHeight="1" x14ac:dyDescent="0.4">
      <c r="A135" s="188" t="s">
        <v>162</v>
      </c>
      <c r="B135" s="1021"/>
      <c r="C135" s="1022"/>
      <c r="D135" s="1023"/>
      <c r="E135" s="187"/>
      <c r="F135" s="606"/>
      <c r="G135" s="606"/>
      <c r="H135" s="607"/>
      <c r="I135" s="174">
        <v>0</v>
      </c>
      <c r="J135" s="607"/>
      <c r="K135" s="608">
        <v>0</v>
      </c>
    </row>
    <row r="136" spans="1:11" ht="18" customHeight="1" x14ac:dyDescent="0.4">
      <c r="A136" s="156"/>
      <c r="B136" s="187"/>
      <c r="C136" s="187"/>
      <c r="D136" s="187"/>
      <c r="E136" s="187"/>
      <c r="F136" s="879"/>
      <c r="G136" s="879"/>
      <c r="H136" s="187"/>
      <c r="I136" s="187"/>
      <c r="J136" s="187"/>
      <c r="K136" s="187"/>
    </row>
    <row r="137" spans="1:11" ht="18" customHeight="1" x14ac:dyDescent="0.4">
      <c r="A137" s="156" t="s">
        <v>163</v>
      </c>
      <c r="B137" s="155" t="s">
        <v>27</v>
      </c>
      <c r="C137" s="187"/>
      <c r="D137" s="187"/>
      <c r="E137" s="187"/>
      <c r="F137" s="610">
        <v>0</v>
      </c>
      <c r="G137" s="610">
        <v>0</v>
      </c>
      <c r="H137" s="608">
        <v>162778</v>
      </c>
      <c r="I137" s="608">
        <v>6</v>
      </c>
      <c r="J137" s="608">
        <v>0</v>
      </c>
      <c r="K137" s="608">
        <v>162784</v>
      </c>
    </row>
    <row r="138" spans="1:11" ht="18" customHeight="1" x14ac:dyDescent="0.35">
      <c r="A138" s="187"/>
      <c r="B138" s="187"/>
      <c r="C138" s="187"/>
      <c r="D138" s="187"/>
      <c r="E138" s="187"/>
      <c r="F138" s="879"/>
      <c r="G138" s="879"/>
      <c r="H138" s="187"/>
      <c r="I138" s="187"/>
      <c r="J138" s="187"/>
      <c r="K138" s="187"/>
    </row>
    <row r="139" spans="1:11" ht="42.75" customHeight="1" x14ac:dyDescent="0.4">
      <c r="A139" s="187"/>
      <c r="B139" s="187"/>
      <c r="C139" s="187"/>
      <c r="D139" s="187"/>
      <c r="E139" s="187"/>
      <c r="F139" s="881" t="s">
        <v>9</v>
      </c>
      <c r="G139" s="881" t="s">
        <v>37</v>
      </c>
      <c r="H139" s="158" t="s">
        <v>29</v>
      </c>
      <c r="I139" s="158" t="s">
        <v>30</v>
      </c>
      <c r="J139" s="158" t="s">
        <v>33</v>
      </c>
      <c r="K139" s="158" t="s">
        <v>34</v>
      </c>
    </row>
    <row r="140" spans="1:11" ht="18" customHeight="1" x14ac:dyDescent="0.4">
      <c r="A140" s="156" t="s">
        <v>166</v>
      </c>
      <c r="B140" s="155" t="s">
        <v>26</v>
      </c>
      <c r="C140" s="187"/>
      <c r="D140" s="187"/>
      <c r="E140" s="187"/>
      <c r="F140" s="879"/>
      <c r="G140" s="879"/>
      <c r="H140" s="187"/>
      <c r="I140" s="187"/>
      <c r="J140" s="187"/>
      <c r="K140" s="187"/>
    </row>
    <row r="141" spans="1:11" ht="18" customHeight="1" x14ac:dyDescent="0.4">
      <c r="A141" s="188" t="s">
        <v>137</v>
      </c>
      <c r="B141" s="155" t="s">
        <v>64</v>
      </c>
      <c r="C141" s="187"/>
      <c r="D141" s="187"/>
      <c r="E141" s="187"/>
      <c r="F141" s="167">
        <v>3914.25</v>
      </c>
      <c r="G141" s="167">
        <v>955916</v>
      </c>
      <c r="H141" s="167">
        <v>214488.60999999996</v>
      </c>
      <c r="I141" s="167">
        <v>107244.30499999998</v>
      </c>
      <c r="J141" s="167">
        <v>0</v>
      </c>
      <c r="K141" s="167">
        <v>321732.91499999998</v>
      </c>
    </row>
    <row r="142" spans="1:11" ht="18" customHeight="1" x14ac:dyDescent="0.4">
      <c r="A142" s="188" t="s">
        <v>142</v>
      </c>
      <c r="B142" s="155" t="s">
        <v>65</v>
      </c>
      <c r="C142" s="187"/>
      <c r="D142" s="187"/>
      <c r="E142" s="187"/>
      <c r="F142" s="167">
        <v>10819.25</v>
      </c>
      <c r="G142" s="167">
        <v>27462</v>
      </c>
      <c r="H142" s="167">
        <v>470817.39375000005</v>
      </c>
      <c r="I142" s="167">
        <v>235408.69687500002</v>
      </c>
      <c r="J142" s="167">
        <v>0</v>
      </c>
      <c r="K142" s="167">
        <v>706226.09062500007</v>
      </c>
    </row>
    <row r="143" spans="1:11" ht="18" customHeight="1" x14ac:dyDescent="0.4">
      <c r="A143" s="188" t="s">
        <v>144</v>
      </c>
      <c r="B143" s="155" t="s">
        <v>66</v>
      </c>
      <c r="C143" s="187"/>
      <c r="D143" s="187"/>
      <c r="E143" s="187"/>
      <c r="F143" s="167">
        <v>11740</v>
      </c>
      <c r="G143" s="167">
        <v>2232</v>
      </c>
      <c r="H143" s="167">
        <v>673124</v>
      </c>
      <c r="I143" s="167">
        <v>336562</v>
      </c>
      <c r="J143" s="167">
        <v>366769</v>
      </c>
      <c r="K143" s="167">
        <v>642917</v>
      </c>
    </row>
    <row r="144" spans="1:11" ht="18" customHeight="1" x14ac:dyDescent="0.4">
      <c r="A144" s="188" t="s">
        <v>146</v>
      </c>
      <c r="B144" s="155" t="s">
        <v>67</v>
      </c>
      <c r="C144" s="187"/>
      <c r="D144" s="187"/>
      <c r="E144" s="187"/>
      <c r="F144" s="167">
        <v>124</v>
      </c>
      <c r="G144" s="167">
        <v>2685</v>
      </c>
      <c r="H144" s="167">
        <v>4732.1500000000005</v>
      </c>
      <c r="I144" s="167">
        <v>2366.0750000000003</v>
      </c>
      <c r="J144" s="167">
        <v>0</v>
      </c>
      <c r="K144" s="167">
        <v>7098.2250000000004</v>
      </c>
    </row>
    <row r="145" spans="1:11" ht="18" customHeight="1" x14ac:dyDescent="0.4">
      <c r="A145" s="188" t="s">
        <v>148</v>
      </c>
      <c r="B145" s="155" t="s">
        <v>68</v>
      </c>
      <c r="C145" s="187"/>
      <c r="D145" s="187"/>
      <c r="E145" s="187"/>
      <c r="F145" s="167">
        <v>1349.5</v>
      </c>
      <c r="G145" s="167">
        <v>2432</v>
      </c>
      <c r="H145" s="167">
        <v>58183.21875</v>
      </c>
      <c r="I145" s="167">
        <v>29091.609375</v>
      </c>
      <c r="J145" s="167">
        <v>0</v>
      </c>
      <c r="K145" s="167">
        <v>87274.828125</v>
      </c>
    </row>
    <row r="146" spans="1:11" ht="18" customHeight="1" x14ac:dyDescent="0.4">
      <c r="A146" s="188" t="s">
        <v>150</v>
      </c>
      <c r="B146" s="155" t="s">
        <v>69</v>
      </c>
      <c r="C146" s="187"/>
      <c r="D146" s="187"/>
      <c r="E146" s="187"/>
      <c r="F146" s="167">
        <v>2411</v>
      </c>
      <c r="G146" s="167">
        <v>1165639</v>
      </c>
      <c r="H146" s="167">
        <v>90841.1</v>
      </c>
      <c r="I146" s="167">
        <v>45420.55</v>
      </c>
      <c r="J146" s="167">
        <v>0</v>
      </c>
      <c r="K146" s="167">
        <v>136261.65</v>
      </c>
    </row>
    <row r="147" spans="1:11" ht="18" customHeight="1" x14ac:dyDescent="0.4">
      <c r="A147" s="188" t="s">
        <v>153</v>
      </c>
      <c r="B147" s="155" t="s">
        <v>61</v>
      </c>
      <c r="C147" s="187"/>
      <c r="D147" s="187"/>
      <c r="E147" s="187"/>
      <c r="F147" s="610">
        <v>2231.5</v>
      </c>
      <c r="G147" s="610">
        <v>100000</v>
      </c>
      <c r="H147" s="610">
        <v>77163.643749999988</v>
      </c>
      <c r="I147" s="610">
        <v>38581.821874999994</v>
      </c>
      <c r="J147" s="610">
        <v>0</v>
      </c>
      <c r="K147" s="610">
        <v>115745.465625</v>
      </c>
    </row>
    <row r="148" spans="1:11" ht="18" customHeight="1" x14ac:dyDescent="0.4">
      <c r="A148" s="188" t="s">
        <v>155</v>
      </c>
      <c r="B148" s="155" t="s">
        <v>70</v>
      </c>
      <c r="C148" s="187"/>
      <c r="D148" s="187"/>
      <c r="E148" s="187"/>
      <c r="F148" s="168" t="s">
        <v>73</v>
      </c>
      <c r="G148" s="168" t="s">
        <v>73</v>
      </c>
      <c r="H148" s="169" t="s">
        <v>73</v>
      </c>
      <c r="I148" s="169" t="s">
        <v>73</v>
      </c>
      <c r="J148" s="169" t="s">
        <v>73</v>
      </c>
      <c r="K148" s="166">
        <v>101000</v>
      </c>
    </row>
    <row r="149" spans="1:11" ht="18" customHeight="1" x14ac:dyDescent="0.4">
      <c r="A149" s="188" t="s">
        <v>163</v>
      </c>
      <c r="B149" s="155" t="s">
        <v>71</v>
      </c>
      <c r="C149" s="187"/>
      <c r="D149" s="187"/>
      <c r="E149" s="187"/>
      <c r="F149" s="610">
        <v>0</v>
      </c>
      <c r="G149" s="610">
        <v>0</v>
      </c>
      <c r="H149" s="610">
        <v>162778</v>
      </c>
      <c r="I149" s="610">
        <v>6</v>
      </c>
      <c r="J149" s="610">
        <v>0</v>
      </c>
      <c r="K149" s="610">
        <v>162784</v>
      </c>
    </row>
    <row r="150" spans="1:11" ht="18" customHeight="1" x14ac:dyDescent="0.4">
      <c r="A150" s="188" t="s">
        <v>185</v>
      </c>
      <c r="B150" s="155" t="s">
        <v>186</v>
      </c>
      <c r="C150" s="187"/>
      <c r="D150" s="187"/>
      <c r="E150" s="187"/>
      <c r="F150" s="168" t="s">
        <v>73</v>
      </c>
      <c r="G150" s="168" t="s">
        <v>73</v>
      </c>
      <c r="H150" s="610">
        <v>0</v>
      </c>
      <c r="I150" s="610">
        <v>0</v>
      </c>
      <c r="J150" s="610">
        <v>0</v>
      </c>
      <c r="K150" s="610">
        <v>0</v>
      </c>
    </row>
    <row r="151" spans="1:11" ht="18" customHeight="1" x14ac:dyDescent="0.4">
      <c r="A151" s="187"/>
      <c r="B151" s="155"/>
      <c r="C151" s="187"/>
      <c r="D151" s="187"/>
      <c r="E151" s="187"/>
      <c r="F151" s="884"/>
      <c r="G151" s="884"/>
      <c r="H151" s="172"/>
      <c r="I151" s="172"/>
      <c r="J151" s="172"/>
      <c r="K151" s="172"/>
    </row>
    <row r="152" spans="1:11" ht="18" customHeight="1" x14ac:dyDescent="0.4">
      <c r="A152" s="156" t="s">
        <v>165</v>
      </c>
      <c r="B152" s="155" t="s">
        <v>26</v>
      </c>
      <c r="C152" s="187"/>
      <c r="D152" s="187"/>
      <c r="E152" s="187"/>
      <c r="F152" s="173">
        <v>32589.5</v>
      </c>
      <c r="G152" s="173">
        <v>2256366</v>
      </c>
      <c r="H152" s="173">
        <v>1752128.1162500002</v>
      </c>
      <c r="I152" s="173">
        <v>794681.0581250001</v>
      </c>
      <c r="J152" s="173">
        <v>366769</v>
      </c>
      <c r="K152" s="173">
        <v>2281040.1743749999</v>
      </c>
    </row>
    <row r="154" spans="1:11" ht="18" customHeight="1" x14ac:dyDescent="0.4">
      <c r="A154" s="156" t="s">
        <v>168</v>
      </c>
      <c r="B154" s="155" t="s">
        <v>28</v>
      </c>
      <c r="C154" s="187"/>
      <c r="D154" s="187"/>
      <c r="E154" s="187"/>
      <c r="F154" s="571">
        <f>K152/F121</f>
        <v>3.649868613244444E-2</v>
      </c>
      <c r="G154" s="879"/>
      <c r="H154" s="187"/>
      <c r="I154" s="187"/>
      <c r="J154" s="187"/>
      <c r="K154" s="187"/>
    </row>
    <row r="155" spans="1:11" ht="18" customHeight="1" x14ac:dyDescent="0.4">
      <c r="A155" s="156" t="s">
        <v>169</v>
      </c>
      <c r="B155" s="155" t="s">
        <v>72</v>
      </c>
      <c r="C155" s="187"/>
      <c r="D155" s="187"/>
      <c r="E155" s="187"/>
      <c r="F155" s="571">
        <f>K152/F127</f>
        <v>0.44260295127630783</v>
      </c>
      <c r="G155" s="888"/>
      <c r="H155" s="187"/>
      <c r="I155" s="187"/>
      <c r="J155" s="187"/>
      <c r="K155" s="187"/>
    </row>
    <row r="156" spans="1:11" ht="18" customHeight="1" x14ac:dyDescent="0.4">
      <c r="A156" s="187"/>
      <c r="B156" s="187"/>
      <c r="C156" s="187"/>
      <c r="D156" s="187"/>
      <c r="E156" s="187"/>
      <c r="F156" s="879"/>
      <c r="G156" s="888"/>
      <c r="H156" s="187"/>
      <c r="I156" s="187"/>
      <c r="J156" s="187"/>
      <c r="K156" s="187"/>
    </row>
  </sheetData>
  <mergeCells count="34">
    <mergeCell ref="D2:H2"/>
    <mergeCell ref="B45:D45"/>
    <mergeCell ref="B46:D46"/>
    <mergeCell ref="B47:D47"/>
    <mergeCell ref="B34:D34"/>
    <mergeCell ref="C5:G5"/>
    <mergeCell ref="C6:G6"/>
    <mergeCell ref="C7:G7"/>
    <mergeCell ref="C9:G9"/>
    <mergeCell ref="C10:G10"/>
    <mergeCell ref="C11:G11"/>
    <mergeCell ref="B41:C41"/>
    <mergeCell ref="B44:D44"/>
    <mergeCell ref="B13:H13"/>
    <mergeCell ref="B55:D55"/>
    <mergeCell ref="B52:C52"/>
    <mergeCell ref="B53:D53"/>
    <mergeCell ref="B30:D30"/>
    <mergeCell ref="B31:D31"/>
    <mergeCell ref="B134:D134"/>
    <mergeCell ref="B135:D135"/>
    <mergeCell ref="B90:C90"/>
    <mergeCell ref="B56:D56"/>
    <mergeCell ref="B133:D133"/>
    <mergeCell ref="B104:D104"/>
    <mergeCell ref="B105:D105"/>
    <mergeCell ref="B106:D106"/>
    <mergeCell ref="B62:D62"/>
    <mergeCell ref="B103:C103"/>
    <mergeCell ref="B96:D96"/>
    <mergeCell ref="B95:D95"/>
    <mergeCell ref="B94:D94"/>
    <mergeCell ref="B59:D59"/>
    <mergeCell ref="B57:D57"/>
  </mergeCells>
  <hyperlinks>
    <hyperlink ref="C11"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249977111117893"/>
    <pageSetUpPr fitToPage="1"/>
  </sheetPr>
  <dimension ref="A1:AV64"/>
  <sheetViews>
    <sheetView zoomScale="80" zoomScaleNormal="80" workbookViewId="0">
      <pane xSplit="2" ySplit="2" topLeftCell="C26" activePane="bottomRight" state="frozen"/>
      <selection pane="topRight" activeCell="C1" sqref="C1"/>
      <selection pane="bottomLeft" activeCell="A3" sqref="A3"/>
      <selection pane="bottomRight" activeCell="C44" sqref="C44"/>
    </sheetView>
  </sheetViews>
  <sheetFormatPr defaultColWidth="9.265625" defaultRowHeight="14.25" x14ac:dyDescent="0.45"/>
  <cols>
    <col min="1" max="1" width="18.59765625" style="2" customWidth="1"/>
    <col min="2" max="2" width="57.3984375" style="2" bestFit="1" customWidth="1"/>
    <col min="3" max="3" width="14" style="21" bestFit="1" customWidth="1"/>
    <col min="4" max="4" width="16.3984375" style="2" customWidth="1"/>
    <col min="5" max="5" width="21" style="15" customWidth="1"/>
    <col min="6" max="6" width="20.73046875" style="15" customWidth="1"/>
    <col min="7" max="7" width="15.265625" style="6" customWidth="1"/>
    <col min="8" max="8" width="23.59765625" style="23" customWidth="1"/>
    <col min="9" max="9" width="30.59765625" style="9" customWidth="1"/>
    <col min="10" max="10" width="18.265625" style="15" bestFit="1" customWidth="1"/>
    <col min="11" max="11" width="18.265625" style="2" bestFit="1" customWidth="1"/>
    <col min="12" max="16384" width="9.265625" style="2"/>
  </cols>
  <sheetData>
    <row r="1" spans="1:11" ht="27.75" customHeight="1" x14ac:dyDescent="0.45">
      <c r="A1" s="939" t="s">
        <v>821</v>
      </c>
      <c r="B1" s="939"/>
      <c r="C1" s="939"/>
    </row>
    <row r="2" spans="1:11" s="7" customFormat="1" ht="71.25" x14ac:dyDescent="0.45">
      <c r="A2" s="476" t="s">
        <v>196</v>
      </c>
      <c r="B2" s="476" t="s">
        <v>197</v>
      </c>
      <c r="C2" s="476" t="s">
        <v>548</v>
      </c>
      <c r="D2" s="476" t="s">
        <v>549</v>
      </c>
      <c r="E2" s="477" t="s">
        <v>221</v>
      </c>
      <c r="F2" s="477" t="s">
        <v>550</v>
      </c>
      <c r="G2" s="478" t="s">
        <v>222</v>
      </c>
      <c r="H2" s="476" t="s">
        <v>1019</v>
      </c>
      <c r="I2" s="479" t="s">
        <v>551</v>
      </c>
      <c r="J2" s="478" t="s">
        <v>223</v>
      </c>
      <c r="K2" s="477" t="s">
        <v>224</v>
      </c>
    </row>
    <row r="3" spans="1:11" ht="15.4" x14ac:dyDescent="0.45">
      <c r="A3" s="443">
        <v>210001</v>
      </c>
      <c r="B3" s="443" t="s">
        <v>194</v>
      </c>
      <c r="C3" s="480">
        <f>'#1-Meritus'!$C$7</f>
        <v>2718</v>
      </c>
      <c r="D3" s="480">
        <f>'#1-Meritus'!$F$108</f>
        <v>139.5</v>
      </c>
      <c r="E3" s="481">
        <f>'#1-Meritus'!$F$121</f>
        <v>402886829</v>
      </c>
      <c r="F3" s="482">
        <f>'#1-Meritus'!$K$152</f>
        <v>41440328.016631991</v>
      </c>
      <c r="G3" s="483">
        <f t="shared" ref="G3:G34" si="0">F3/E3</f>
        <v>0.10285848291315572</v>
      </c>
      <c r="H3" s="484">
        <f>'Rate Support-Attachment I'!F3</f>
        <v>4407118</v>
      </c>
      <c r="I3" s="485">
        <f t="shared" ref="I3:I34" si="1">F3-H3</f>
        <v>37033210.016631991</v>
      </c>
      <c r="J3" s="486">
        <f t="shared" ref="J3:J34" si="2">I3/E3</f>
        <v>9.1919634376114071E-2</v>
      </c>
      <c r="K3" s="481">
        <f>'#1-Meritus'!$F$111</f>
        <v>4286506.92</v>
      </c>
    </row>
    <row r="4" spans="1:11" ht="15.4" x14ac:dyDescent="0.45">
      <c r="A4" s="449" t="s">
        <v>656</v>
      </c>
      <c r="B4" s="443" t="s">
        <v>657</v>
      </c>
      <c r="C4" s="480">
        <f>'#2-UMMC'!$C$7</f>
        <v>9010</v>
      </c>
      <c r="D4" s="480">
        <f>'#2-UMMC'!$F$108</f>
        <v>2852.8</v>
      </c>
      <c r="E4" s="481">
        <f>'#2-UMMC'!$F$121</f>
        <v>1639396000</v>
      </c>
      <c r="F4" s="482">
        <f>'#2-UMMC'!$K$152</f>
        <v>235150570.24264938</v>
      </c>
      <c r="G4" s="483">
        <f t="shared" si="0"/>
        <v>0.14343732096616643</v>
      </c>
      <c r="H4" s="484">
        <f>'Rate Support-Attachment I'!F4</f>
        <v>137976560</v>
      </c>
      <c r="I4" s="485">
        <f t="shared" si="1"/>
        <v>97174010.242649376</v>
      </c>
      <c r="J4" s="486">
        <f t="shared" si="2"/>
        <v>5.9274275551879703E-2</v>
      </c>
      <c r="K4" s="481">
        <f>'#2-UMMC'!$F$111</f>
        <v>23193000</v>
      </c>
    </row>
    <row r="5" spans="1:11" ht="15.4" x14ac:dyDescent="0.45">
      <c r="A5" s="449" t="s">
        <v>658</v>
      </c>
      <c r="B5" s="443" t="s">
        <v>693</v>
      </c>
      <c r="C5" s="480">
        <f>'#3-Prince Georges Hospital'!$C$7</f>
        <v>2500</v>
      </c>
      <c r="D5" s="480">
        <f>'#3-Prince Georges Hospital'!$F$108</f>
        <v>4848</v>
      </c>
      <c r="E5" s="481">
        <f>'#3-Prince Georges Hospital'!$F$121</f>
        <v>350398856.96500582</v>
      </c>
      <c r="F5" s="482">
        <f>'#3-Prince Georges Hospital'!$K$152</f>
        <v>62958758.321381852</v>
      </c>
      <c r="G5" s="483">
        <f t="shared" si="0"/>
        <v>0.17967740781662858</v>
      </c>
      <c r="H5" s="484">
        <f>'Rate Support-Attachment I'!F5</f>
        <v>16367952</v>
      </c>
      <c r="I5" s="485">
        <f t="shared" si="1"/>
        <v>46590806.321381852</v>
      </c>
      <c r="J5" s="486">
        <f t="shared" si="2"/>
        <v>0.13296506365611477</v>
      </c>
      <c r="K5" s="481">
        <f>'#3-Prince Georges Hospital'!$F$111</f>
        <v>11417000</v>
      </c>
    </row>
    <row r="6" spans="1:11" ht="15.4" x14ac:dyDescent="0.45">
      <c r="A6" s="443">
        <v>210004</v>
      </c>
      <c r="B6" s="443" t="s">
        <v>492</v>
      </c>
      <c r="C6" s="480">
        <f>'#4-Holy Cross Hospital'!$C$7</f>
        <v>2875</v>
      </c>
      <c r="D6" s="480">
        <f>'#4-Holy Cross Hospital'!$F$108</f>
        <v>6349</v>
      </c>
      <c r="E6" s="481">
        <f>'#4-Holy Cross Hospital'!$F$121</f>
        <v>437129013</v>
      </c>
      <c r="F6" s="482">
        <f>'#4-Holy Cross Hospital'!$K$152</f>
        <v>49023795.697197422</v>
      </c>
      <c r="G6" s="483">
        <f t="shared" si="0"/>
        <v>0.1121494895997613</v>
      </c>
      <c r="H6" s="484">
        <f>'Rate Support-Attachment I'!F6</f>
        <v>22732829.848416582</v>
      </c>
      <c r="I6" s="485">
        <f t="shared" si="1"/>
        <v>26290965.848780841</v>
      </c>
      <c r="J6" s="486">
        <f t="shared" si="2"/>
        <v>6.014463709088292E-2</v>
      </c>
      <c r="K6" s="481">
        <f>'#4-Holy Cross Hospital'!$F$111</f>
        <v>31098161</v>
      </c>
    </row>
    <row r="7" spans="1:11" ht="15.4" x14ac:dyDescent="0.45">
      <c r="A7" s="443">
        <v>210005</v>
      </c>
      <c r="B7" s="443" t="s">
        <v>659</v>
      </c>
      <c r="C7" s="480">
        <f>'#5-Frederick Memorial Hospital'!$C$7</f>
        <v>2247</v>
      </c>
      <c r="D7" s="480">
        <f>'#5-Frederick Memorial Hospital'!$F$108</f>
        <v>361</v>
      </c>
      <c r="E7" s="481">
        <f>'#5-Frederick Memorial Hospital'!$F$121</f>
        <v>340006000</v>
      </c>
      <c r="F7" s="482">
        <f>'#5-Frederick Memorial Hospital'!$K$152</f>
        <v>29876983.623999998</v>
      </c>
      <c r="G7" s="483">
        <f t="shared" si="0"/>
        <v>8.7871930565931178E-2</v>
      </c>
      <c r="H7" s="484">
        <f>'Rate Support-Attachment I'!F7</f>
        <v>6663141.2267785752</v>
      </c>
      <c r="I7" s="485">
        <f t="shared" si="1"/>
        <v>23213842.397221424</v>
      </c>
      <c r="J7" s="486">
        <f t="shared" si="2"/>
        <v>6.8274802201200635E-2</v>
      </c>
      <c r="K7" s="481">
        <f>'#5-Frederick Memorial Hospital'!$F$111</f>
        <v>7002000</v>
      </c>
    </row>
    <row r="8" spans="1:11" ht="15.4" x14ac:dyDescent="0.45">
      <c r="A8" s="443">
        <v>210006</v>
      </c>
      <c r="B8" s="443" t="s">
        <v>660</v>
      </c>
      <c r="C8" s="480">
        <f>'#6-UM Harford Memorial'!$C$7</f>
        <v>1022</v>
      </c>
      <c r="D8" s="480">
        <f>'#6-UM Harford Memorial'!$F$108</f>
        <v>992</v>
      </c>
      <c r="E8" s="481">
        <f>'#6-UM Harford Memorial'!$F$121</f>
        <v>89425000</v>
      </c>
      <c r="F8" s="482">
        <f>'#6-UM Harford Memorial'!$K$152</f>
        <v>7476205.5199999996</v>
      </c>
      <c r="G8" s="483">
        <f t="shared" si="0"/>
        <v>8.3603081017612518E-2</v>
      </c>
      <c r="H8" s="484">
        <f>'Rate Support-Attachment I'!F8</f>
        <v>1705879.3584563558</v>
      </c>
      <c r="I8" s="485">
        <f t="shared" si="1"/>
        <v>5770326.161543644</v>
      </c>
      <c r="J8" s="486">
        <f t="shared" si="2"/>
        <v>6.4526990903479381E-2</v>
      </c>
      <c r="K8" s="481">
        <f>'#6-UM Harford Memorial'!$F$111</f>
        <v>1862000</v>
      </c>
    </row>
    <row r="9" spans="1:11" ht="15.4" x14ac:dyDescent="0.45">
      <c r="A9" s="443">
        <v>210008</v>
      </c>
      <c r="B9" s="443" t="s">
        <v>661</v>
      </c>
      <c r="C9" s="480">
        <f>'#8-Mercy'!$C$7</f>
        <v>3551</v>
      </c>
      <c r="D9" s="480">
        <f>'#8-Mercy'!$F$108</f>
        <v>2619</v>
      </c>
      <c r="E9" s="481">
        <f>'#8-Mercy'!$F$121</f>
        <v>493862600</v>
      </c>
      <c r="F9" s="482">
        <f>'#8-Mercy'!$K$152</f>
        <v>69422977.535716712</v>
      </c>
      <c r="G9" s="483">
        <f t="shared" si="0"/>
        <v>0.14057144140033426</v>
      </c>
      <c r="H9" s="484">
        <f>'Rate Support-Attachment I'!F9</f>
        <v>20391812.321748547</v>
      </c>
      <c r="I9" s="485">
        <f t="shared" si="1"/>
        <v>49031165.213968165</v>
      </c>
      <c r="J9" s="486">
        <f t="shared" si="2"/>
        <v>9.9280984658421528E-2</v>
      </c>
      <c r="K9" s="481">
        <f>'#8-Mercy'!$F$111</f>
        <v>18604182</v>
      </c>
    </row>
    <row r="10" spans="1:11" ht="15.4" x14ac:dyDescent="0.45">
      <c r="A10" s="443">
        <v>210009</v>
      </c>
      <c r="B10" s="443" t="s">
        <v>493</v>
      </c>
      <c r="C10" s="480">
        <f>'#9-Johns Hopkins'!$C$7</f>
        <v>0</v>
      </c>
      <c r="D10" s="480">
        <f>'#9-Johns Hopkins'!$F$108</f>
        <v>6651</v>
      </c>
      <c r="E10" s="481">
        <f>'#9-Johns Hopkins'!$F$121</f>
        <v>2476117000</v>
      </c>
      <c r="F10" s="482">
        <f>'#9-Johns Hopkins'!$K$152</f>
        <v>277233977.31980526</v>
      </c>
      <c r="G10" s="483">
        <f t="shared" si="0"/>
        <v>0.11196319774865456</v>
      </c>
      <c r="H10" s="484">
        <f>'Rate Support-Attachment I'!F10</f>
        <v>148793384.73673916</v>
      </c>
      <c r="I10" s="485">
        <f t="shared" si="1"/>
        <v>128440592.58306611</v>
      </c>
      <c r="J10" s="486">
        <f t="shared" si="2"/>
        <v>5.1871778507665875E-2</v>
      </c>
      <c r="K10" s="481">
        <f>'#9-Johns Hopkins'!$F$111</f>
        <v>25938000</v>
      </c>
    </row>
    <row r="11" spans="1:11" ht="15.4" x14ac:dyDescent="0.45">
      <c r="A11" s="443">
        <v>210010</v>
      </c>
      <c r="B11" s="443" t="s">
        <v>662</v>
      </c>
      <c r="C11" s="480">
        <f>'#10-UM Shore Health Dorchester'!$C$7</f>
        <v>269</v>
      </c>
      <c r="D11" s="480">
        <f>'#10-UM Shore Health Dorchester'!$F$108</f>
        <v>2160</v>
      </c>
      <c r="E11" s="481">
        <f>'#10-UM Shore Health Dorchester'!$F$121</f>
        <v>40190863.089935303</v>
      </c>
      <c r="F11" s="482">
        <f>'#10-UM Shore Health Dorchester'!$K$152</f>
        <v>11260926.601529578</v>
      </c>
      <c r="G11" s="483">
        <f t="shared" si="0"/>
        <v>0.2801862347750767</v>
      </c>
      <c r="H11" s="484">
        <f>'Rate Support-Attachment I'!F11</f>
        <v>452595.96700570337</v>
      </c>
      <c r="I11" s="485">
        <f t="shared" si="1"/>
        <v>10808330.634523874</v>
      </c>
      <c r="J11" s="486">
        <f t="shared" si="2"/>
        <v>0.26892506912175579</v>
      </c>
      <c r="K11" s="481">
        <f>'#10-UM Shore Health Dorchester'!$F$111</f>
        <v>446565.16</v>
      </c>
    </row>
    <row r="12" spans="1:11" ht="15.4" x14ac:dyDescent="0.45">
      <c r="A12" s="443">
        <v>210011</v>
      </c>
      <c r="B12" s="443" t="s">
        <v>663</v>
      </c>
      <c r="C12" s="480">
        <f>'#11-St. Agnes Hospital'!$C$7</f>
        <v>2491</v>
      </c>
      <c r="D12" s="480">
        <f>'#11-St. Agnes Hospital'!$F$108</f>
        <v>0</v>
      </c>
      <c r="E12" s="481">
        <f>'#11-St. Agnes Hospital'!$F$121</f>
        <v>448522000</v>
      </c>
      <c r="F12" s="482">
        <f>'#11-St. Agnes Hospital'!$K$152</f>
        <v>52747629.464728191</v>
      </c>
      <c r="G12" s="483">
        <f t="shared" si="0"/>
        <v>0.11760321559416972</v>
      </c>
      <c r="H12" s="484">
        <f>'Rate Support-Attachment I'!F12</f>
        <v>26882586.644456584</v>
      </c>
      <c r="I12" s="485">
        <f t="shared" si="1"/>
        <v>25865042.820271607</v>
      </c>
      <c r="J12" s="486">
        <f t="shared" si="2"/>
        <v>5.7667277904476497E-2</v>
      </c>
      <c r="K12" s="481">
        <f>'#11-St. Agnes Hospital'!$F$111</f>
        <v>23179252</v>
      </c>
    </row>
    <row r="13" spans="1:11" ht="15.4" x14ac:dyDescent="0.45">
      <c r="A13" s="443">
        <v>210012</v>
      </c>
      <c r="B13" s="443" t="s">
        <v>664</v>
      </c>
      <c r="C13" s="480">
        <f>'#12-Sinai'!$C$7</f>
        <v>5109</v>
      </c>
      <c r="D13" s="480">
        <f>'#12-Sinai'!$F$108</f>
        <v>3325</v>
      </c>
      <c r="E13" s="481">
        <f>'#12-Sinai'!$F$121</f>
        <v>784881000</v>
      </c>
      <c r="F13" s="482">
        <f>'#12-Sinai'!$K$152</f>
        <v>64320383.437000006</v>
      </c>
      <c r="G13" s="483">
        <f t="shared" si="0"/>
        <v>8.1949217062204344E-2</v>
      </c>
      <c r="H13" s="484">
        <f>'Rate Support-Attachment I'!F13</f>
        <v>23029670.281097699</v>
      </c>
      <c r="I13" s="485">
        <f t="shared" si="1"/>
        <v>41290713.155902311</v>
      </c>
      <c r="J13" s="486">
        <f t="shared" si="2"/>
        <v>5.2607609505010713E-2</v>
      </c>
      <c r="K13" s="481">
        <f>'#12-Sinai'!$F$111</f>
        <v>5247000</v>
      </c>
    </row>
    <row r="14" spans="1:11" ht="15.4" x14ac:dyDescent="0.45">
      <c r="A14" s="443">
        <v>210013</v>
      </c>
      <c r="B14" s="443" t="s">
        <v>665</v>
      </c>
      <c r="C14" s="480">
        <f>'#13-Bon Secours'!$C$7</f>
        <v>566</v>
      </c>
      <c r="D14" s="480">
        <f>'#13-Bon Secours'!$F$108</f>
        <v>17073</v>
      </c>
      <c r="E14" s="481">
        <f>'#13-Bon Secours'!$F$121</f>
        <v>114971612</v>
      </c>
      <c r="F14" s="482">
        <f>'#13-Bon Secours'!$K$152</f>
        <v>24681804.6263</v>
      </c>
      <c r="G14" s="483">
        <f t="shared" si="0"/>
        <v>0.21467738163312872</v>
      </c>
      <c r="H14" s="484">
        <f>'Rate Support-Attachment I'!F14</f>
        <v>605868.18443366338</v>
      </c>
      <c r="I14" s="485">
        <f t="shared" si="1"/>
        <v>24075936.441866335</v>
      </c>
      <c r="J14" s="486">
        <f t="shared" si="2"/>
        <v>0.20940766179625572</v>
      </c>
      <c r="K14" s="481">
        <f>'#13-Bon Secours'!$F$111</f>
        <v>491056</v>
      </c>
    </row>
    <row r="15" spans="1:11" ht="15.4" x14ac:dyDescent="0.45">
      <c r="A15" s="443">
        <v>210015</v>
      </c>
      <c r="B15" s="443" t="s">
        <v>666</v>
      </c>
      <c r="C15" s="480">
        <f>'#15-MedStar Franklin Square'!$C$7</f>
        <v>3045</v>
      </c>
      <c r="D15" s="480">
        <f>'#15-MedStar Franklin Square'!$F$108</f>
        <v>2733</v>
      </c>
      <c r="E15" s="481">
        <f>'#15-MedStar Franklin Square'!$F$121</f>
        <v>538458851.62</v>
      </c>
      <c r="F15" s="482">
        <f>'#15-MedStar Franklin Square'!$K$152</f>
        <v>44603345.760000005</v>
      </c>
      <c r="G15" s="483">
        <f t="shared" si="0"/>
        <v>8.2835198317953149E-2</v>
      </c>
      <c r="H15" s="484">
        <f>'Rate Support-Attachment I'!F15</f>
        <v>20210067.344703935</v>
      </c>
      <c r="I15" s="485">
        <f t="shared" si="1"/>
        <v>24393278.41529607</v>
      </c>
      <c r="J15" s="486">
        <f t="shared" si="2"/>
        <v>4.530202882152793E-2</v>
      </c>
      <c r="K15" s="481">
        <f>'#15-MedStar Franklin Square'!$F$111</f>
        <v>10276998.380000001</v>
      </c>
    </row>
    <row r="16" spans="1:11" ht="15.4" x14ac:dyDescent="0.45">
      <c r="A16" s="443">
        <v>210016</v>
      </c>
      <c r="B16" s="443" t="s">
        <v>667</v>
      </c>
      <c r="C16" s="480">
        <f>'#16-Washington Adventist'!$C$7</f>
        <v>1600</v>
      </c>
      <c r="D16" s="480">
        <f>'#16-Washington Adventist'!$F$108</f>
        <v>3463.0511803528998</v>
      </c>
      <c r="E16" s="481">
        <f>'#16-Washington Adventist'!$F$121</f>
        <v>252683555.63</v>
      </c>
      <c r="F16" s="482">
        <f>'#16-Washington Adventist'!$K$152</f>
        <v>36707214.384179845</v>
      </c>
      <c r="G16" s="483">
        <f t="shared" si="0"/>
        <v>0.14526950237287922</v>
      </c>
      <c r="H16" s="484">
        <f>'Rate Support-Attachment I'!F16</f>
        <v>5999943.9661834072</v>
      </c>
      <c r="I16" s="485">
        <f t="shared" si="1"/>
        <v>30707270.417996436</v>
      </c>
      <c r="J16" s="486">
        <f t="shared" si="2"/>
        <v>0.12152460947225446</v>
      </c>
      <c r="K16" s="481">
        <f>'#16-Washington Adventist'!$F$111</f>
        <v>6114949.0499999989</v>
      </c>
    </row>
    <row r="17" spans="1:11" ht="15.4" x14ac:dyDescent="0.45">
      <c r="A17" s="443">
        <v>210017</v>
      </c>
      <c r="B17" s="443" t="s">
        <v>668</v>
      </c>
      <c r="C17" s="480" t="str">
        <f>'#17-Garrett County Memorial'!$C$7</f>
        <v>449</v>
      </c>
      <c r="D17" s="480">
        <f>'#17-Garrett County Memorial'!$F$108</f>
        <v>42</v>
      </c>
      <c r="E17" s="481">
        <f>'#17-Garrett County Memorial'!$F$121</f>
        <v>49273773</v>
      </c>
      <c r="F17" s="482">
        <f>'#17-Garrett County Memorial'!$K$152</f>
        <v>3844370.8268046877</v>
      </c>
      <c r="G17" s="483">
        <f t="shared" si="0"/>
        <v>7.8020630301736546E-2</v>
      </c>
      <c r="H17" s="484">
        <f>'Rate Support-Attachment I'!F17</f>
        <v>2893010.9490967654</v>
      </c>
      <c r="I17" s="485">
        <f t="shared" si="1"/>
        <v>951359.87770792237</v>
      </c>
      <c r="J17" s="486">
        <f t="shared" si="2"/>
        <v>1.9307632027852267E-2</v>
      </c>
      <c r="K17" s="481">
        <f>'#17-Garrett County Memorial'!$F$111</f>
        <v>2924970</v>
      </c>
    </row>
    <row r="18" spans="1:11" ht="15.4" x14ac:dyDescent="0.45">
      <c r="A18" s="443">
        <v>210018</v>
      </c>
      <c r="B18" s="443" t="s">
        <v>669</v>
      </c>
      <c r="C18" s="480">
        <f>'#18-MedStar Montgomery General'!$C$7</f>
        <v>1111</v>
      </c>
      <c r="D18" s="480">
        <f>'#18-MedStar Montgomery General'!$F$108</f>
        <v>0</v>
      </c>
      <c r="E18" s="481">
        <f>'#18-MedStar Montgomery General'!$F$121</f>
        <v>164980014</v>
      </c>
      <c r="F18" s="482">
        <f>'#18-MedStar Montgomery General'!$K$152</f>
        <v>6636812.7300000004</v>
      </c>
      <c r="G18" s="483">
        <f t="shared" si="0"/>
        <v>4.0227980160069572E-2</v>
      </c>
      <c r="H18" s="484">
        <f>'Rate Support-Attachment I'!F18</f>
        <v>2602654.9082367616</v>
      </c>
      <c r="I18" s="485">
        <f t="shared" si="1"/>
        <v>4034157.8217632389</v>
      </c>
      <c r="J18" s="486">
        <f t="shared" si="2"/>
        <v>2.4452403196930501E-2</v>
      </c>
      <c r="K18" s="481">
        <f>'#18-MedStar Montgomery General'!$F$111</f>
        <v>2495103.73</v>
      </c>
    </row>
    <row r="19" spans="1:11" ht="15.4" x14ac:dyDescent="0.45">
      <c r="A19" s="443">
        <v>210019</v>
      </c>
      <c r="B19" s="443" t="s">
        <v>428</v>
      </c>
      <c r="C19" s="480">
        <f>'#19-Peninsula Regional'!$C$7</f>
        <v>2774</v>
      </c>
      <c r="D19" s="480">
        <f>'#19-Peninsula Regional'!$F$108</f>
        <v>445</v>
      </c>
      <c r="E19" s="481">
        <f>'#19-Peninsula Regional'!$F$121</f>
        <v>451254859</v>
      </c>
      <c r="F19" s="482">
        <f>'#19-Peninsula Regional'!$K$152</f>
        <v>65491800.721000001</v>
      </c>
      <c r="G19" s="483">
        <f t="shared" si="0"/>
        <v>0.14513262165449614</v>
      </c>
      <c r="H19" s="484">
        <f>'Rate Support-Attachment I'!F19</f>
        <v>11282276.599606359</v>
      </c>
      <c r="I19" s="485">
        <f t="shared" si="1"/>
        <v>54209524.121393643</v>
      </c>
      <c r="J19" s="486">
        <f t="shared" si="2"/>
        <v>0.12013061585979209</v>
      </c>
      <c r="K19" s="481">
        <f>'#19-Peninsula Regional'!$F$111</f>
        <v>10436200</v>
      </c>
    </row>
    <row r="20" spans="1:11" s="92" customFormat="1" ht="15.4" x14ac:dyDescent="0.45">
      <c r="A20" s="443">
        <v>210022</v>
      </c>
      <c r="B20" s="443" t="s">
        <v>670</v>
      </c>
      <c r="C20" s="487">
        <f>'#22-Suburban'!$C$7</f>
        <v>1786</v>
      </c>
      <c r="D20" s="487">
        <f>'#22-Suburban'!$F$108</f>
        <v>2174</v>
      </c>
      <c r="E20" s="488">
        <f>'#22-Suburban'!$F$121</f>
        <v>300567000</v>
      </c>
      <c r="F20" s="489">
        <f>'#22-Suburban'!$K$152</f>
        <v>28999485</v>
      </c>
      <c r="G20" s="490">
        <f t="shared" si="0"/>
        <v>9.648259788998792E-2</v>
      </c>
      <c r="H20" s="484">
        <f>'Rate Support-Attachment I'!F20</f>
        <v>5265693.4934252016</v>
      </c>
      <c r="I20" s="485">
        <f t="shared" si="1"/>
        <v>23733791.506574798</v>
      </c>
      <c r="J20" s="486">
        <f t="shared" si="2"/>
        <v>7.896339753391024E-2</v>
      </c>
      <c r="K20" s="488">
        <f>'#22-Suburban'!$F$111</f>
        <v>4484000</v>
      </c>
    </row>
    <row r="21" spans="1:11" s="92" customFormat="1" ht="15.4" x14ac:dyDescent="0.45">
      <c r="A21" s="443">
        <v>210023</v>
      </c>
      <c r="B21" s="443" t="s">
        <v>671</v>
      </c>
      <c r="C21" s="487">
        <f>'#23-AAMC'!$C$7</f>
        <v>4926</v>
      </c>
      <c r="D21" s="487">
        <f>'#23-AAMC'!$F$108</f>
        <v>1368</v>
      </c>
      <c r="E21" s="488">
        <f>'#23-AAMC'!$F$121</f>
        <v>557932000</v>
      </c>
      <c r="F21" s="489">
        <f>'#23-AAMC'!$K$152</f>
        <v>53331202.9212</v>
      </c>
      <c r="G21" s="490">
        <f t="shared" si="0"/>
        <v>9.5587281104507357E-2</v>
      </c>
      <c r="H21" s="484">
        <f>'Rate Support-Attachment I'!F21</f>
        <v>6588607.3787637707</v>
      </c>
      <c r="I21" s="485">
        <f t="shared" si="1"/>
        <v>46742595.542436227</v>
      </c>
      <c r="J21" s="486">
        <f t="shared" si="2"/>
        <v>8.3778301912125902E-2</v>
      </c>
      <c r="K21" s="488">
        <f>'#23-AAMC'!$F$111</f>
        <v>4024300</v>
      </c>
    </row>
    <row r="22" spans="1:11" ht="15.4" x14ac:dyDescent="0.45">
      <c r="A22" s="443">
        <v>210024</v>
      </c>
      <c r="B22" s="443" t="s">
        <v>430</v>
      </c>
      <c r="C22" s="480">
        <f>'#24-MedStar Union Memorial'!$C$7</f>
        <v>2113</v>
      </c>
      <c r="D22" s="480">
        <f>'#24-MedStar Union Memorial'!$F$108</f>
        <v>20</v>
      </c>
      <c r="E22" s="481">
        <f>'#24-MedStar Union Memorial'!$F$121</f>
        <v>447659408.34000087</v>
      </c>
      <c r="F22" s="482">
        <f>'#24-MedStar Union Memorial'!$K$152</f>
        <v>37771783.19285927</v>
      </c>
      <c r="G22" s="483">
        <f t="shared" si="0"/>
        <v>8.4376162969351243E-2</v>
      </c>
      <c r="H22" s="484">
        <f>'Rate Support-Attachment I'!F22</f>
        <v>22375032.389884949</v>
      </c>
      <c r="I22" s="485">
        <f t="shared" si="1"/>
        <v>15396750.802974321</v>
      </c>
      <c r="J22" s="486">
        <f t="shared" si="2"/>
        <v>3.4393895260837158E-2</v>
      </c>
      <c r="K22" s="481">
        <f>'#24-MedStar Union Memorial'!$F$111</f>
        <v>7793317.4699999997</v>
      </c>
    </row>
    <row r="23" spans="1:11" ht="15.4" x14ac:dyDescent="0.45">
      <c r="A23" s="443">
        <v>210027</v>
      </c>
      <c r="B23" s="443" t="s">
        <v>672</v>
      </c>
      <c r="C23" s="480">
        <f>'#27-Western Maryland Regional'!$C$7</f>
        <v>2268</v>
      </c>
      <c r="D23" s="480">
        <f>'#27-Western Maryland Regional'!$F$108</f>
        <v>260</v>
      </c>
      <c r="E23" s="481">
        <f>'#27-Western Maryland Regional'!$F$121</f>
        <v>330368433</v>
      </c>
      <c r="F23" s="482">
        <f>'#27-Western Maryland Regional'!$K$152</f>
        <v>61025349.872000009</v>
      </c>
      <c r="G23" s="483">
        <f t="shared" si="0"/>
        <v>0.18471907051724887</v>
      </c>
      <c r="H23" s="484">
        <f>'Rate Support-Attachment I'!F23</f>
        <v>9068608.53223834</v>
      </c>
      <c r="I23" s="485">
        <f t="shared" si="1"/>
        <v>51956741.339761667</v>
      </c>
      <c r="J23" s="486">
        <f t="shared" si="2"/>
        <v>0.1572690855114528</v>
      </c>
      <c r="K23" s="481">
        <f>'#27-Western Maryland Regional'!$F$111</f>
        <v>10860972</v>
      </c>
    </row>
    <row r="24" spans="1:11" ht="15.4" x14ac:dyDescent="0.45">
      <c r="A24" s="443">
        <v>210028</v>
      </c>
      <c r="B24" s="443" t="s">
        <v>673</v>
      </c>
      <c r="C24" s="480">
        <f>'#28-MedStar St. Marys'!$C$7</f>
        <v>1200</v>
      </c>
      <c r="D24" s="480">
        <f>'#28-MedStar St. Marys'!$F$108</f>
        <v>6240</v>
      </c>
      <c r="E24" s="481">
        <f>'#28-MedStar St. Marys'!$F$121</f>
        <v>160019685</v>
      </c>
      <c r="F24" s="482">
        <f>'#28-MedStar St. Marys'!$K$152</f>
        <v>17045900.969948437</v>
      </c>
      <c r="G24" s="483">
        <f t="shared" si="0"/>
        <v>0.10652377530894676</v>
      </c>
      <c r="H24" s="484">
        <f>'Rate Support-Attachment I'!F24</f>
        <v>4159768.7659975239</v>
      </c>
      <c r="I24" s="485">
        <f t="shared" si="1"/>
        <v>12886132.203950914</v>
      </c>
      <c r="J24" s="486">
        <f t="shared" si="2"/>
        <v>8.0528418762672319E-2</v>
      </c>
      <c r="K24" s="481">
        <f>'#28-MedStar St. Marys'!$F$111</f>
        <v>4627204</v>
      </c>
    </row>
    <row r="25" spans="1:11" s="92" customFormat="1" ht="15.4" x14ac:dyDescent="0.45">
      <c r="A25" s="443">
        <v>210029</v>
      </c>
      <c r="B25" s="443" t="s">
        <v>674</v>
      </c>
      <c r="C25" s="487">
        <f>'#29-JH Bayview'!$C$7</f>
        <v>3479</v>
      </c>
      <c r="D25" s="487">
        <f>'#29-JH Bayview'!$F$108</f>
        <v>3387</v>
      </c>
      <c r="E25" s="488">
        <f>'#29-JH Bayview'!$F$121</f>
        <v>652464000</v>
      </c>
      <c r="F25" s="489">
        <f>'#29-JH Bayview'!$K$152</f>
        <v>87565399</v>
      </c>
      <c r="G25" s="490">
        <f t="shared" si="0"/>
        <v>0.13420724974864515</v>
      </c>
      <c r="H25" s="484">
        <f>'Rate Support-Attachment I'!F25</f>
        <v>42424765.471367151</v>
      </c>
      <c r="I25" s="485">
        <f t="shared" si="1"/>
        <v>45140633.528632849</v>
      </c>
      <c r="J25" s="486">
        <f t="shared" si="2"/>
        <v>6.9184864649440958E-2</v>
      </c>
      <c r="K25" s="488">
        <f>'#29-JH Bayview'!$F$111</f>
        <v>19238000</v>
      </c>
    </row>
    <row r="26" spans="1:11" ht="15.4" x14ac:dyDescent="0.45">
      <c r="A26" s="443">
        <v>210030</v>
      </c>
      <c r="B26" s="443" t="s">
        <v>675</v>
      </c>
      <c r="C26" s="480">
        <f>'#30-UM Shore Health Chestertown'!$C$7</f>
        <v>184.6</v>
      </c>
      <c r="D26" s="480">
        <f>'#30-UM Shore Health Chestertown'!$F$108</f>
        <v>1460</v>
      </c>
      <c r="E26" s="481">
        <f>'#30-UM Shore Health Chestertown'!$F$121</f>
        <v>51275000</v>
      </c>
      <c r="F26" s="482">
        <f>'#30-UM Shore Health Chestertown'!$K$152</f>
        <v>16362809.825154087</v>
      </c>
      <c r="G26" s="483">
        <f t="shared" si="0"/>
        <v>0.31911867040768577</v>
      </c>
      <c r="H26" s="484">
        <f>'Rate Support-Attachment I'!F26</f>
        <v>423708.9312519065</v>
      </c>
      <c r="I26" s="485">
        <f t="shared" si="1"/>
        <v>15939100.893902181</v>
      </c>
      <c r="J26" s="486">
        <f t="shared" si="2"/>
        <v>0.31085521002247063</v>
      </c>
      <c r="K26" s="481">
        <f>'#30-UM Shore Health Chestertown'!$F$111</f>
        <v>464000</v>
      </c>
    </row>
    <row r="27" spans="1:11" ht="15.4" x14ac:dyDescent="0.45">
      <c r="A27" s="443">
        <v>210032</v>
      </c>
      <c r="B27" s="443" t="s">
        <v>230</v>
      </c>
      <c r="C27" s="480">
        <f>'#32-Union Hospital Cecil Co'!$C$7</f>
        <v>1200</v>
      </c>
      <c r="D27" s="480">
        <f>'#32-Union Hospital Cecil Co'!$F$108</f>
        <v>2081.75</v>
      </c>
      <c r="E27" s="481">
        <f>'#32-Union Hospital Cecil Co'!$F$121</f>
        <v>162448177</v>
      </c>
      <c r="F27" s="482">
        <f>'#32-Union Hospital Cecil Co'!$K$152</f>
        <v>12135655</v>
      </c>
      <c r="G27" s="483">
        <f t="shared" si="0"/>
        <v>7.4704778004372432E-2</v>
      </c>
      <c r="H27" s="484">
        <f>'Rate Support-Attachment I'!F27</f>
        <v>1666501.4281187702</v>
      </c>
      <c r="I27" s="485">
        <f t="shared" si="1"/>
        <v>10469153.571881229</v>
      </c>
      <c r="J27" s="486">
        <f t="shared" si="2"/>
        <v>6.4446113001817365E-2</v>
      </c>
      <c r="K27" s="481">
        <f>'#32-Union Hospital Cecil Co'!$F$111</f>
        <v>1836442</v>
      </c>
    </row>
    <row r="28" spans="1:11" ht="15.4" x14ac:dyDescent="0.45">
      <c r="A28" s="443">
        <v>210033</v>
      </c>
      <c r="B28" s="443" t="s">
        <v>676</v>
      </c>
      <c r="C28" s="480">
        <f>'#33-Carroll Hospital Center'!$C$7</f>
        <v>1745</v>
      </c>
      <c r="D28" s="480">
        <f>'#33-Carroll Hospital Center'!$F$108</f>
        <v>2080</v>
      </c>
      <c r="E28" s="481">
        <f>'#33-Carroll Hospital Center'!$F$121</f>
        <v>203344125</v>
      </c>
      <c r="F28" s="482">
        <f>'#33-Carroll Hospital Center'!$K$152</f>
        <v>17107868</v>
      </c>
      <c r="G28" s="483">
        <f t="shared" si="0"/>
        <v>8.4132590503905633E-2</v>
      </c>
      <c r="H28" s="484">
        <f>'Rate Support-Attachment I'!F28</f>
        <v>524938.209828194</v>
      </c>
      <c r="I28" s="485">
        <f t="shared" si="1"/>
        <v>16582929.790171806</v>
      </c>
      <c r="J28" s="486">
        <f t="shared" si="2"/>
        <v>8.1551064188216921E-2</v>
      </c>
      <c r="K28" s="481">
        <f>'#33-Carroll Hospital Center'!$F$111</f>
        <v>376223</v>
      </c>
    </row>
    <row r="29" spans="1:11" ht="15.4" x14ac:dyDescent="0.45">
      <c r="A29" s="443">
        <v>210034</v>
      </c>
      <c r="B29" s="443" t="s">
        <v>677</v>
      </c>
      <c r="C29" s="480">
        <f>'#34-MedStar Harbor Hospital'!$C$7</f>
        <v>1161</v>
      </c>
      <c r="D29" s="480">
        <f>'#34-MedStar Harbor Hospital'!$F$108</f>
        <v>2080</v>
      </c>
      <c r="E29" s="481">
        <f>'#34-MedStar Harbor Hospital'!$F$121</f>
        <v>190590189</v>
      </c>
      <c r="F29" s="482">
        <f>'#34-MedStar Harbor Hospital'!$K$152</f>
        <v>23048579</v>
      </c>
      <c r="G29" s="483">
        <f t="shared" si="0"/>
        <v>0.12093266248872862</v>
      </c>
      <c r="H29" s="484">
        <f>'Rate Support-Attachment I'!F29</f>
        <v>9047064.6003142428</v>
      </c>
      <c r="I29" s="485">
        <f t="shared" si="1"/>
        <v>14001514.399685757</v>
      </c>
      <c r="J29" s="486">
        <f t="shared" si="2"/>
        <v>7.3463982973886219E-2</v>
      </c>
      <c r="K29" s="481">
        <f>'#34-MedStar Harbor Hospital'!$F$111</f>
        <v>5016378</v>
      </c>
    </row>
    <row r="30" spans="1:11" ht="15.4" x14ac:dyDescent="0.45">
      <c r="A30" s="443">
        <v>210035</v>
      </c>
      <c r="B30" s="443" t="s">
        <v>678</v>
      </c>
      <c r="C30" s="480">
        <f>'#35-UM Charles Regional'!$C$7</f>
        <v>0</v>
      </c>
      <c r="D30" s="480">
        <f>'#35-UM Charles Regional'!$F$108</f>
        <v>394</v>
      </c>
      <c r="E30" s="481">
        <f>'#35-UM Charles Regional'!$F$121</f>
        <v>124218000</v>
      </c>
      <c r="F30" s="482">
        <f>'#35-UM Charles Regional'!$K$152</f>
        <v>11355994.020149998</v>
      </c>
      <c r="G30" s="483">
        <f t="shared" si="0"/>
        <v>9.1419874898565415E-2</v>
      </c>
      <c r="H30" s="484">
        <f>'Rate Support-Attachment I'!F30</f>
        <v>1085271.9984781872</v>
      </c>
      <c r="I30" s="485">
        <f t="shared" si="1"/>
        <v>10270722.021671811</v>
      </c>
      <c r="J30" s="486">
        <f t="shared" si="2"/>
        <v>8.2683041279619784E-2</v>
      </c>
      <c r="K30" s="481">
        <f>'#35-UM Charles Regional'!$F$111</f>
        <v>966929</v>
      </c>
    </row>
    <row r="31" spans="1:11" ht="15.4" x14ac:dyDescent="0.45">
      <c r="A31" s="443">
        <v>210037</v>
      </c>
      <c r="B31" s="443" t="s">
        <v>679</v>
      </c>
      <c r="C31" s="480">
        <f>'#37-UM Shore Health Easton'!$C$7</f>
        <v>1316</v>
      </c>
      <c r="D31" s="480">
        <f>'#37-UM Shore Health Easton'!$F$108</f>
        <v>2000</v>
      </c>
      <c r="E31" s="481">
        <f>'#37-UM Shore Health Easton'!$F$121</f>
        <v>210627324.73757601</v>
      </c>
      <c r="F31" s="482">
        <f>'#37-UM Shore Health Easton'!$K$152</f>
        <v>34690481.356526002</v>
      </c>
      <c r="G31" s="483">
        <f t="shared" si="0"/>
        <v>0.16470076425149222</v>
      </c>
      <c r="H31" s="484">
        <f>'Rate Support-Attachment I'!F31</f>
        <v>2169152.0992441806</v>
      </c>
      <c r="I31" s="485">
        <f t="shared" si="1"/>
        <v>32521329.257281821</v>
      </c>
      <c r="J31" s="486">
        <f t="shared" si="2"/>
        <v>0.1544022329382034</v>
      </c>
      <c r="K31" s="481">
        <f>'#37-UM Shore Health Easton'!$F$111</f>
        <v>2265610.8900000006</v>
      </c>
    </row>
    <row r="32" spans="1:11" ht="15.4" x14ac:dyDescent="0.45">
      <c r="A32" s="443">
        <v>210038</v>
      </c>
      <c r="B32" s="443" t="s">
        <v>680</v>
      </c>
      <c r="C32" s="480">
        <f>'#38-UM Midtown'!$C$7</f>
        <v>1412</v>
      </c>
      <c r="D32" s="480">
        <f>'#38-UM Midtown'!$F$108</f>
        <v>832</v>
      </c>
      <c r="E32" s="481">
        <f>'#38-UM Midtown'!$F$121</f>
        <v>228130000</v>
      </c>
      <c r="F32" s="482">
        <f>'#38-UM Midtown'!$K$152</f>
        <v>40856365.586367056</v>
      </c>
      <c r="G32" s="483">
        <f t="shared" si="0"/>
        <v>0.17909247177647419</v>
      </c>
      <c r="H32" s="484">
        <f>'Rate Support-Attachment I'!F32</f>
        <v>9316913.1486242358</v>
      </c>
      <c r="I32" s="485">
        <f t="shared" si="1"/>
        <v>31539452.437742822</v>
      </c>
      <c r="J32" s="486">
        <f t="shared" si="2"/>
        <v>0.13825210379057037</v>
      </c>
      <c r="K32" s="481">
        <f>'#38-UM Midtown'!$F$111</f>
        <v>3819000</v>
      </c>
    </row>
    <row r="33" spans="1:11" ht="15.4" x14ac:dyDescent="0.45">
      <c r="A33" s="443">
        <v>210039</v>
      </c>
      <c r="B33" s="443" t="s">
        <v>681</v>
      </c>
      <c r="C33" s="480">
        <f>'#39-Calvert Memorial'!$C$7</f>
        <v>1150</v>
      </c>
      <c r="D33" s="480">
        <f>'#39-Calvert Memorial'!$F$108</f>
        <v>172</v>
      </c>
      <c r="E33" s="481">
        <f>'#39-Calvert Memorial'!$F$121</f>
        <v>135516353</v>
      </c>
      <c r="F33" s="482">
        <f>'#39-Calvert Memorial'!$K$152</f>
        <v>19718888.887762614</v>
      </c>
      <c r="G33" s="483">
        <f t="shared" si="0"/>
        <v>0.14550929427507994</v>
      </c>
      <c r="H33" s="484">
        <f>'Rate Support-Attachment I'!F33</f>
        <v>4467271.5474103708</v>
      </c>
      <c r="I33" s="485">
        <f t="shared" si="1"/>
        <v>15251617.340352243</v>
      </c>
      <c r="J33" s="486">
        <f t="shared" si="2"/>
        <v>0.11254447897038848</v>
      </c>
      <c r="K33" s="481">
        <f>'#39-Calvert Memorial'!$F$111</f>
        <v>4881836</v>
      </c>
    </row>
    <row r="34" spans="1:11" ht="15.4" x14ac:dyDescent="0.45">
      <c r="A34" s="443">
        <v>210040</v>
      </c>
      <c r="B34" s="443" t="s">
        <v>528</v>
      </c>
      <c r="C34" s="480">
        <f>'#40-Lifebridge Northwest'!$C$7</f>
        <v>1690</v>
      </c>
      <c r="D34" s="480">
        <f>'#40-Lifebridge Northwest'!$F$108</f>
        <v>1048</v>
      </c>
      <c r="E34" s="481">
        <f>'#40-Lifebridge Northwest'!$F$121</f>
        <v>246006000</v>
      </c>
      <c r="F34" s="482">
        <f>'#40-Lifebridge Northwest'!$K$152</f>
        <v>13611437.754200004</v>
      </c>
      <c r="G34" s="483">
        <f t="shared" si="0"/>
        <v>5.532969827646482E-2</v>
      </c>
      <c r="H34" s="484">
        <f>'Rate Support-Attachment I'!F34</f>
        <v>2086864.8752300926</v>
      </c>
      <c r="I34" s="485">
        <f t="shared" si="1"/>
        <v>11524572.878969911</v>
      </c>
      <c r="J34" s="486">
        <f t="shared" si="2"/>
        <v>4.6846714628789185E-2</v>
      </c>
      <c r="K34" s="481">
        <f>'#40-Lifebridge Northwest'!$F$111</f>
        <v>1936100</v>
      </c>
    </row>
    <row r="35" spans="1:11" ht="15.4" x14ac:dyDescent="0.45">
      <c r="A35" s="443">
        <v>210043</v>
      </c>
      <c r="B35" s="443" t="s">
        <v>682</v>
      </c>
      <c r="C35" s="480">
        <f>'#43-UM BWMC'!$C$7</f>
        <v>3200</v>
      </c>
      <c r="D35" s="480">
        <f>'#43-UM BWMC'!$F$108</f>
        <v>4789</v>
      </c>
      <c r="E35" s="481">
        <f>'#43-UM BWMC'!$F$121</f>
        <v>384744000</v>
      </c>
      <c r="F35" s="482">
        <f>'#43-UM BWMC'!$K$152</f>
        <v>23463182</v>
      </c>
      <c r="G35" s="483">
        <f t="shared" ref="G35:G55" si="3">F35/E35</f>
        <v>6.0983880190464308E-2</v>
      </c>
      <c r="H35" s="484">
        <f>'Rate Support-Attachment I'!F35</f>
        <v>6662391</v>
      </c>
      <c r="I35" s="485">
        <f t="shared" ref="I35:I52" si="4">F35-H35</f>
        <v>16800791</v>
      </c>
      <c r="J35" s="486">
        <f t="shared" ref="J35:J55" si="5">I35/E35</f>
        <v>4.3667454203314408E-2</v>
      </c>
      <c r="K35" s="481">
        <f>'#43-UM BWMC'!$F$111</f>
        <v>6285000</v>
      </c>
    </row>
    <row r="36" spans="1:11" ht="15.4" x14ac:dyDescent="0.45">
      <c r="A36" s="443">
        <v>210044</v>
      </c>
      <c r="B36" s="443" t="s">
        <v>482</v>
      </c>
      <c r="C36" s="480">
        <f>'#44-GBMC'!$C$7</f>
        <v>0</v>
      </c>
      <c r="D36" s="480">
        <f>'#44-GBMC'!$F$108</f>
        <v>4520</v>
      </c>
      <c r="E36" s="481">
        <f>'#44-GBMC'!$F$121</f>
        <v>524072000</v>
      </c>
      <c r="F36" s="482">
        <f>'#44-GBMC'!$K$152</f>
        <v>52326649.364113726</v>
      </c>
      <c r="G36" s="483">
        <f t="shared" si="3"/>
        <v>9.984629853171649E-2</v>
      </c>
      <c r="H36" s="484">
        <f>'Rate Support-Attachment I'!F36</f>
        <v>9720759</v>
      </c>
      <c r="I36" s="485">
        <f t="shared" si="4"/>
        <v>42605890.364113726</v>
      </c>
      <c r="J36" s="486">
        <f t="shared" si="5"/>
        <v>8.1297780389171195E-2</v>
      </c>
      <c r="K36" s="481">
        <f>'#44-GBMC'!$F$111</f>
        <v>1264000</v>
      </c>
    </row>
    <row r="37" spans="1:11" ht="15.4" x14ac:dyDescent="0.45">
      <c r="A37" s="443">
        <v>210045</v>
      </c>
      <c r="B37" s="443" t="s">
        <v>683</v>
      </c>
      <c r="C37" s="480" t="str">
        <f>'#45-McCready'!$C$7</f>
        <v>263</v>
      </c>
      <c r="D37" s="480">
        <f>'#45-McCready'!$F$108</f>
        <v>0</v>
      </c>
      <c r="E37" s="481">
        <f>'#45-McCready'!$F$121</f>
        <v>17725100</v>
      </c>
      <c r="F37" s="482">
        <f>'#45-McCready'!$K$152</f>
        <v>619068.81915076717</v>
      </c>
      <c r="G37" s="483">
        <f t="shared" si="3"/>
        <v>3.4926111511402881E-2</v>
      </c>
      <c r="H37" s="484">
        <f>'Rate Support-Attachment I'!F37</f>
        <v>369212</v>
      </c>
      <c r="I37" s="485">
        <f t="shared" si="4"/>
        <v>249856.81915076717</v>
      </c>
      <c r="J37" s="486">
        <f t="shared" si="5"/>
        <v>1.409621492407756E-2</v>
      </c>
      <c r="K37" s="481">
        <f>'#45-McCready'!$F$111</f>
        <v>378616</v>
      </c>
    </row>
    <row r="38" spans="1:11" ht="15.4" x14ac:dyDescent="0.45">
      <c r="A38" s="443">
        <v>210048</v>
      </c>
      <c r="B38" s="443" t="s">
        <v>281</v>
      </c>
      <c r="C38" s="480">
        <f>'#48-Howard County'!$C$7</f>
        <v>1658</v>
      </c>
      <c r="D38" s="480">
        <f>'#48-Howard County'!$F$108</f>
        <v>2913</v>
      </c>
      <c r="E38" s="481">
        <f>'#48-Howard County'!$F$121</f>
        <v>266793000</v>
      </c>
      <c r="F38" s="482">
        <f>'#48-Howard County'!$K$152</f>
        <v>27852189.125465944</v>
      </c>
      <c r="G38" s="483">
        <f t="shared" si="3"/>
        <v>0.1043962514963509</v>
      </c>
      <c r="H38" s="484">
        <f>'Rate Support-Attachment I'!F38</f>
        <v>4610463</v>
      </c>
      <c r="I38" s="485">
        <f t="shared" si="4"/>
        <v>23241726.125465944</v>
      </c>
      <c r="J38" s="486">
        <f t="shared" si="5"/>
        <v>8.7115202143481812E-2</v>
      </c>
      <c r="K38" s="481">
        <f>'#48-Howard County'!$F$111</f>
        <v>5237664.0999999996</v>
      </c>
    </row>
    <row r="39" spans="1:11" ht="15.4" x14ac:dyDescent="0.45">
      <c r="A39" s="443">
        <v>210049</v>
      </c>
      <c r="B39" s="443" t="s">
        <v>684</v>
      </c>
      <c r="C39" s="480">
        <f>'#49-UM Upper Chesapeake Medical'!$C$7</f>
        <v>2285</v>
      </c>
      <c r="D39" s="480">
        <f>'#49-UM Upper Chesapeake Medical'!$F$108</f>
        <v>2314</v>
      </c>
      <c r="E39" s="481">
        <f>'#49-UM Upper Chesapeake Medical'!$F$121</f>
        <v>251520000</v>
      </c>
      <c r="F39" s="482">
        <f>'#49-UM Upper Chesapeake Medical'!$K$152</f>
        <v>17409231.399999999</v>
      </c>
      <c r="G39" s="483">
        <f t="shared" si="3"/>
        <v>6.9216091762086512E-2</v>
      </c>
      <c r="H39" s="484">
        <f>'Rate Support-Attachment I'!F39</f>
        <v>3794504</v>
      </c>
      <c r="I39" s="485">
        <f t="shared" si="4"/>
        <v>13614727.399999999</v>
      </c>
      <c r="J39" s="486">
        <f t="shared" si="5"/>
        <v>5.4129800413486001E-2</v>
      </c>
      <c r="K39" s="481">
        <f>'#49-UM Upper Chesapeake Medical'!$F$111</f>
        <v>4041000</v>
      </c>
    </row>
    <row r="40" spans="1:11" ht="15.4" x14ac:dyDescent="0.45">
      <c r="A40" s="443">
        <v>210051</v>
      </c>
      <c r="B40" s="443" t="s">
        <v>685</v>
      </c>
      <c r="C40" s="480">
        <f>'#51-Doctors Community Hospital'!$C$7</f>
        <v>1609</v>
      </c>
      <c r="D40" s="480">
        <f>'#51-Doctors Community Hospital'!$F$108</f>
        <v>4112</v>
      </c>
      <c r="E40" s="481">
        <f>'#51-Doctors Community Hospital'!$F$121</f>
        <v>200232626</v>
      </c>
      <c r="F40" s="482">
        <f>'#51-Doctors Community Hospital'!$K$152</f>
        <v>14223843.090799998</v>
      </c>
      <c r="G40" s="483">
        <f t="shared" si="3"/>
        <v>7.1036590664300625E-2</v>
      </c>
      <c r="H40" s="484">
        <f>'Rate Support-Attachment I'!F40</f>
        <v>5801159</v>
      </c>
      <c r="I40" s="485">
        <f t="shared" si="4"/>
        <v>8422684.0907999985</v>
      </c>
      <c r="J40" s="486">
        <f t="shared" si="5"/>
        <v>4.2064493979118059E-2</v>
      </c>
      <c r="K40" s="481">
        <f>'#51-Doctors Community Hospital'!$F$111</f>
        <v>8425301</v>
      </c>
    </row>
    <row r="41" spans="1:11" ht="15.4" x14ac:dyDescent="0.45">
      <c r="A41" s="901">
        <v>210056</v>
      </c>
      <c r="B41" s="444" t="s">
        <v>437</v>
      </c>
      <c r="C41" s="480">
        <f>'#2004-MedStar Good Samaritan'!$C$7</f>
        <v>1710</v>
      </c>
      <c r="D41" s="480">
        <f>'#2004-MedStar Good Samaritan'!$F$108</f>
        <v>1520</v>
      </c>
      <c r="E41" s="481">
        <f>'#2004-MedStar Good Samaritan'!$F$121</f>
        <v>261186698.41000032</v>
      </c>
      <c r="F41" s="482">
        <f>'#2004-MedStar Good Samaritan'!$K$152</f>
        <v>21291047.729438979</v>
      </c>
      <c r="G41" s="483">
        <f>F41/E41</f>
        <v>8.1516585105789546E-2</v>
      </c>
      <c r="H41" s="484">
        <f>'Rate Support-Attachment I'!F41</f>
        <v>10554608</v>
      </c>
      <c r="I41" s="485">
        <f>F41-H41</f>
        <v>10736439.729438979</v>
      </c>
      <c r="J41" s="486">
        <f>I41/E41</f>
        <v>4.1106380205416702E-2</v>
      </c>
      <c r="K41" s="481">
        <f>'#2004-MedStar Good Samaritan'!$F$111</f>
        <v>6085945.0099999998</v>
      </c>
    </row>
    <row r="42" spans="1:11" ht="15.4" x14ac:dyDescent="0.45">
      <c r="A42" s="901">
        <v>210057</v>
      </c>
      <c r="B42" s="444" t="s">
        <v>686</v>
      </c>
      <c r="C42" s="480">
        <f>'#5050-Shady Grove Adventist'!$C$7</f>
        <v>3037</v>
      </c>
      <c r="D42" s="480">
        <f>'#5050-Shady Grove Adventist'!$F$108</f>
        <v>5600.0400972594689</v>
      </c>
      <c r="E42" s="481">
        <f>'#5050-Shady Grove Adventist'!$F$121</f>
        <v>388910382.95999998</v>
      </c>
      <c r="F42" s="482">
        <f>'#5050-Shady Grove Adventist'!$K$152</f>
        <v>35994401.734018907</v>
      </c>
      <c r="G42" s="483">
        <f>F42/E42</f>
        <v>9.2551917642479054E-2</v>
      </c>
      <c r="H42" s="484">
        <f>'Rate Support-Attachment I'!F42</f>
        <v>5463874</v>
      </c>
      <c r="I42" s="485">
        <f>F42-H42</f>
        <v>30530527.734018907</v>
      </c>
      <c r="J42" s="486">
        <f>I42/E42</f>
        <v>7.8502732433242906E-2</v>
      </c>
      <c r="K42" s="481">
        <f>'#5050-Shady Grove Adventist'!$F$111</f>
        <v>5786233.3499999996</v>
      </c>
    </row>
    <row r="43" spans="1:11" ht="15.4" x14ac:dyDescent="0.45">
      <c r="A43" s="901">
        <v>210058</v>
      </c>
      <c r="B43" s="444" t="s">
        <v>687</v>
      </c>
      <c r="C43" s="480">
        <f>'#2001-UM ROI'!$C$7</f>
        <v>660</v>
      </c>
      <c r="D43" s="480">
        <f>'#2001-UM ROI'!$F$108</f>
        <v>750</v>
      </c>
      <c r="E43" s="481">
        <f>'#2001-UM ROI'!$F$121</f>
        <v>109077000</v>
      </c>
      <c r="F43" s="482">
        <f>'#2001-UM ROI'!$K$152</f>
        <v>12615070.88448354</v>
      </c>
      <c r="G43" s="483">
        <f>F43/E43</f>
        <v>0.11565289551861108</v>
      </c>
      <c r="H43" s="484">
        <f>'Rate Support-Attachment I'!F43</f>
        <v>4184165</v>
      </c>
      <c r="I43" s="485">
        <f>F43-H43</f>
        <v>8430905.8844835404</v>
      </c>
      <c r="J43" s="486">
        <f>I43/E43</f>
        <v>7.7293158818848517E-2</v>
      </c>
      <c r="K43" s="481">
        <f>'#2001-UM ROI'!$F$111</f>
        <v>1668000</v>
      </c>
    </row>
    <row r="44" spans="1:11" ht="15.4" x14ac:dyDescent="0.45">
      <c r="A44" s="901">
        <v>210060</v>
      </c>
      <c r="B44" s="444" t="s">
        <v>232</v>
      </c>
      <c r="C44" s="480">
        <f>'#60-Fort Washington'!$C$7</f>
        <v>410</v>
      </c>
      <c r="D44" s="480">
        <f>'#60-Fort Washington'!$F$108</f>
        <v>232</v>
      </c>
      <c r="E44" s="481">
        <f>'#60-Fort Washington'!$F$121</f>
        <v>44440761</v>
      </c>
      <c r="F44" s="482">
        <f>'#60-Fort Washington'!$K$152</f>
        <v>2857941</v>
      </c>
      <c r="G44" s="483">
        <f t="shared" si="3"/>
        <v>6.4309002269335572E-2</v>
      </c>
      <c r="H44" s="484">
        <f>'Rate Support-Attachment I'!F44</f>
        <v>964236</v>
      </c>
      <c r="I44" s="485">
        <f t="shared" si="4"/>
        <v>1893705</v>
      </c>
      <c r="J44" s="486">
        <f t="shared" si="5"/>
        <v>4.2611894067250557E-2</v>
      </c>
      <c r="K44" s="481">
        <f>'#60-Fort Washington'!$F$111</f>
        <v>1042403</v>
      </c>
    </row>
    <row r="45" spans="1:11" ht="15.4" x14ac:dyDescent="0.45">
      <c r="A45" s="901">
        <v>210061</v>
      </c>
      <c r="B45" s="444" t="s">
        <v>242</v>
      </c>
      <c r="C45" s="480">
        <f>'#61-Atlantic General'!$C$7</f>
        <v>925</v>
      </c>
      <c r="D45" s="480">
        <f>'#61-Atlantic General'!$F$108</f>
        <v>102</v>
      </c>
      <c r="E45" s="481">
        <f>'#61-Atlantic General'!$F$121</f>
        <v>134838095</v>
      </c>
      <c r="F45" s="482">
        <f>'#61-Atlantic General'!$K$152</f>
        <v>16647351.337497793</v>
      </c>
      <c r="G45" s="483">
        <f t="shared" si="3"/>
        <v>0.12346178086762345</v>
      </c>
      <c r="H45" s="484">
        <f>'Rate Support-Attachment I'!F45</f>
        <v>2658209</v>
      </c>
      <c r="I45" s="485">
        <f t="shared" si="4"/>
        <v>13989142.337497793</v>
      </c>
      <c r="J45" s="486">
        <f t="shared" si="5"/>
        <v>0.10374770080738528</v>
      </c>
      <c r="K45" s="481">
        <f>'#61-Atlantic General'!$F$111</f>
        <v>2388460</v>
      </c>
    </row>
    <row r="46" spans="1:11" ht="15.4" x14ac:dyDescent="0.45">
      <c r="A46" s="901">
        <v>210062</v>
      </c>
      <c r="B46" s="444" t="s">
        <v>688</v>
      </c>
      <c r="C46" s="480">
        <f>'#62-MedStar Southern Maryland'!$C$7</f>
        <v>1169</v>
      </c>
      <c r="D46" s="480">
        <f>'#62-MedStar Southern Maryland'!$F$108</f>
        <v>41</v>
      </c>
      <c r="E46" s="481">
        <f>'#62-MedStar Southern Maryland'!$F$121</f>
        <v>247304491.32999998</v>
      </c>
      <c r="F46" s="482">
        <f>'#62-MedStar Southern Maryland'!$K$152</f>
        <v>16665330.496927207</v>
      </c>
      <c r="G46" s="483">
        <f t="shared" si="3"/>
        <v>6.7387900669742387E-2</v>
      </c>
      <c r="H46" s="484">
        <f>'Rate Support-Attachment I'!F46</f>
        <v>5208631</v>
      </c>
      <c r="I46" s="485">
        <f t="shared" si="4"/>
        <v>11456699.496927207</v>
      </c>
      <c r="J46" s="486">
        <f t="shared" si="5"/>
        <v>4.6326289649303347E-2</v>
      </c>
      <c r="K46" s="481">
        <f>'#62-MedStar Southern Maryland'!$F$111</f>
        <v>5863574</v>
      </c>
    </row>
    <row r="47" spans="1:11" s="92" customFormat="1" ht="15.4" x14ac:dyDescent="0.45">
      <c r="A47" s="901">
        <v>210063</v>
      </c>
      <c r="B47" s="444" t="s">
        <v>689</v>
      </c>
      <c r="C47" s="487">
        <f>'#63-UM St Joseph'!$C$7</f>
        <v>2631</v>
      </c>
      <c r="D47" s="487">
        <f>'#63-UM St Joseph'!$F$108</f>
        <v>249</v>
      </c>
      <c r="E47" s="488">
        <f>'#63-UM St Joseph'!$F$121</f>
        <v>335424000</v>
      </c>
      <c r="F47" s="489">
        <f>'#63-UM St Joseph'!$K$152</f>
        <v>47999642.13606482</v>
      </c>
      <c r="G47" s="490">
        <f t="shared" si="3"/>
        <v>0.143101394462128</v>
      </c>
      <c r="H47" s="484">
        <f>'Rate Support-Attachment I'!F47</f>
        <v>8759059</v>
      </c>
      <c r="I47" s="485">
        <f t="shared" si="4"/>
        <v>39240583.13606482</v>
      </c>
      <c r="J47" s="486">
        <f t="shared" si="5"/>
        <v>0.11698800066800473</v>
      </c>
      <c r="K47" s="488">
        <f>'#63-UM St Joseph'!$F$111</f>
        <v>8081000</v>
      </c>
    </row>
    <row r="48" spans="1:11" s="5" customFormat="1" ht="15.4" x14ac:dyDescent="0.45">
      <c r="A48" s="901">
        <v>210064</v>
      </c>
      <c r="B48" s="444" t="s">
        <v>198</v>
      </c>
      <c r="C48" s="491">
        <f>'#64-Levindale'!$C$7</f>
        <v>860</v>
      </c>
      <c r="D48" s="491">
        <f>'#64-Levindale'!$F$108</f>
        <v>182</v>
      </c>
      <c r="E48" s="492">
        <f>'#64-Levindale'!$F$121</f>
        <v>77338000</v>
      </c>
      <c r="F48" s="493">
        <f>'#64-Levindale'!$K$152</f>
        <v>2393573.0677999998</v>
      </c>
      <c r="G48" s="494">
        <f t="shared" si="3"/>
        <v>3.094950823398588E-2</v>
      </c>
      <c r="H48" s="484">
        <f>'Rate Support-Attachment I'!F48</f>
        <v>59432</v>
      </c>
      <c r="I48" s="485">
        <f t="shared" si="4"/>
        <v>2334141.0677999998</v>
      </c>
      <c r="J48" s="486">
        <f t="shared" si="5"/>
        <v>3.0181037365848609E-2</v>
      </c>
      <c r="K48" s="492">
        <f>'#64-Levindale'!$F$111</f>
        <v>1142100</v>
      </c>
    </row>
    <row r="49" spans="1:48" s="5" customFormat="1" ht="15.4" x14ac:dyDescent="0.45">
      <c r="A49" s="902">
        <v>210065</v>
      </c>
      <c r="B49" s="444" t="s">
        <v>690</v>
      </c>
      <c r="C49" s="491">
        <f>'#65-Holy Cross Germantown'!$C$7</f>
        <v>681</v>
      </c>
      <c r="D49" s="491">
        <f>'#65-Holy Cross Germantown'!$F$108</f>
        <v>354</v>
      </c>
      <c r="E49" s="492">
        <f>'#65-Holy Cross Germantown'!$F$121</f>
        <v>108725994</v>
      </c>
      <c r="F49" s="493">
        <f>'#65-Holy Cross Germantown'!$K$152</f>
        <v>7674729.1403868897</v>
      </c>
      <c r="G49" s="494">
        <f t="shared" si="3"/>
        <v>7.0587803873164767E-2</v>
      </c>
      <c r="H49" s="484">
        <f>'Rate Support-Attachment I'!F49</f>
        <v>4487383</v>
      </c>
      <c r="I49" s="485">
        <f t="shared" si="4"/>
        <v>3187346.1403868897</v>
      </c>
      <c r="J49" s="486">
        <f t="shared" si="5"/>
        <v>2.9315401249740608E-2</v>
      </c>
      <c r="K49" s="492">
        <f>'#65-Holy Cross Germantown'!$F$111</f>
        <v>4282298</v>
      </c>
    </row>
    <row r="50" spans="1:48" ht="15.4" x14ac:dyDescent="0.45">
      <c r="A50" s="903">
        <v>213300</v>
      </c>
      <c r="B50" s="444" t="s">
        <v>691</v>
      </c>
      <c r="C50" s="495">
        <f>'#5034-Mt Washington Pediatric'!$C$7</f>
        <v>667</v>
      </c>
      <c r="D50" s="495">
        <f>'#5034-Mt Washington Pediatric'!$F$108</f>
        <v>2231.5</v>
      </c>
      <c r="E50" s="496">
        <f>'#5034-Mt Washington Pediatric'!$F$121</f>
        <v>62496501</v>
      </c>
      <c r="F50" s="497">
        <f>'#5034-Mt Washington Pediatric'!$K$152</f>
        <v>2281040.1743749999</v>
      </c>
      <c r="G50" s="483">
        <f>F50/E50</f>
        <v>3.649868613244444E-2</v>
      </c>
      <c r="H50" s="484">
        <f>'Rate Support-Attachment I'!F50</f>
        <v>59447</v>
      </c>
      <c r="I50" s="485">
        <f>F50-H50</f>
        <v>2221593.1743749999</v>
      </c>
      <c r="J50" s="486">
        <f>I50/E50</f>
        <v>3.5547480880169596E-2</v>
      </c>
      <c r="K50" s="496">
        <f>'#5034-Mt Washington Pediatric'!$F$111</f>
        <v>101000</v>
      </c>
    </row>
    <row r="51" spans="1:48" ht="15.4" x14ac:dyDescent="0.45">
      <c r="A51" s="903">
        <v>214000</v>
      </c>
      <c r="B51" s="444" t="s">
        <v>199</v>
      </c>
      <c r="C51" s="495">
        <f>'#4000-Sheppard Pratt'!$C$7</f>
        <v>2800</v>
      </c>
      <c r="D51" s="495">
        <f>'#4000-Sheppard Pratt'!$F$108</f>
        <v>728</v>
      </c>
      <c r="E51" s="496">
        <f>'#4000-Sheppard Pratt'!$F$121</f>
        <v>239576824</v>
      </c>
      <c r="F51" s="497">
        <f>'#4000-Sheppard Pratt'!$K$152</f>
        <v>23283055.299999997</v>
      </c>
      <c r="G51" s="483">
        <f>F51/E51</f>
        <v>9.7184088641228489E-2</v>
      </c>
      <c r="H51" s="484">
        <f>'Rate Support-Attachment I'!F51</f>
        <v>2842969</v>
      </c>
      <c r="I51" s="485">
        <f>F51-H51</f>
        <v>20440086.299999997</v>
      </c>
      <c r="J51" s="486">
        <f>I51/E51</f>
        <v>8.5317460840869969E-2</v>
      </c>
      <c r="K51" s="496">
        <f>'#4000-Sheppard Pratt'!$F$111</f>
        <v>5435242.6100000003</v>
      </c>
    </row>
    <row r="52" spans="1:48" s="90" customFormat="1" ht="15.4" x14ac:dyDescent="0.45">
      <c r="A52" s="903">
        <v>213029</v>
      </c>
      <c r="B52" s="444" t="s">
        <v>692</v>
      </c>
      <c r="C52" s="495">
        <f>'#3029-Adventist Rehab'!$C$7</f>
        <v>573</v>
      </c>
      <c r="D52" s="495">
        <f>'#3029-Adventist Rehab'!$F$108</f>
        <v>700.42874664534759</v>
      </c>
      <c r="E52" s="496">
        <f>'#3029-Adventist Rehab'!$F$121</f>
        <v>48735998.329999998</v>
      </c>
      <c r="F52" s="497">
        <f>'#3029-Adventist Rehab'!$K$152</f>
        <v>2850174.1943654739</v>
      </c>
      <c r="G52" s="483">
        <f t="shared" si="3"/>
        <v>5.8481908487160644E-2</v>
      </c>
      <c r="H52" s="484">
        <f>'Rate Support-Attachment I'!F52</f>
        <v>59478</v>
      </c>
      <c r="I52" s="485">
        <f t="shared" si="4"/>
        <v>2790696.1943654739</v>
      </c>
      <c r="J52" s="486">
        <f t="shared" si="5"/>
        <v>5.7261496429583329E-2</v>
      </c>
      <c r="K52" s="496">
        <f>'#3029-Adventist Rehab'!$F$111</f>
        <v>298167.18</v>
      </c>
    </row>
    <row r="53" spans="1:48" s="91" customFormat="1" x14ac:dyDescent="0.45"/>
    <row r="54" spans="1:48" s="4" customFormat="1" x14ac:dyDescent="0.45"/>
    <row r="55" spans="1:48" x14ac:dyDescent="0.45">
      <c r="A55" s="10"/>
      <c r="B55" s="498" t="s">
        <v>448</v>
      </c>
      <c r="C55" s="11">
        <f>SUM(C3:C52)</f>
        <v>91393.600000000006</v>
      </c>
      <c r="D55" s="12">
        <f>SUM(D3:D52)</f>
        <v>110988.07002425773</v>
      </c>
      <c r="E55" s="13">
        <f>SUM(E3:E52)</f>
        <v>16778744994.412516</v>
      </c>
      <c r="F55" s="13">
        <f>SUM(F3:F52)</f>
        <v>1885952606.2099812</v>
      </c>
      <c r="G55" s="14">
        <f t="shared" si="3"/>
        <v>0.11240129144569642</v>
      </c>
      <c r="H55" s="227">
        <f>SUM(H3:H52)</f>
        <v>649927494.20713711</v>
      </c>
      <c r="I55" s="228">
        <f>SUM(I3:I52)</f>
        <v>1236025112.0028443</v>
      </c>
      <c r="J55" s="229">
        <f t="shared" si="5"/>
        <v>7.3666124159730215E-2</v>
      </c>
      <c r="K55" s="13">
        <f>SUM(K3:K52)</f>
        <v>325409260.85000002</v>
      </c>
    </row>
    <row r="56" spans="1:48" x14ac:dyDescent="0.45">
      <c r="A56" s="3"/>
      <c r="B56" s="3"/>
      <c r="C56" s="11"/>
      <c r="D56" s="12"/>
      <c r="E56" s="13"/>
      <c r="F56" s="13"/>
      <c r="G56" s="13"/>
      <c r="H56" s="228"/>
      <c r="I56" s="229"/>
      <c r="J56" s="227"/>
      <c r="K56" s="194"/>
    </row>
    <row r="57" spans="1:48" x14ac:dyDescent="0.45">
      <c r="C57" s="11">
        <f>AVERAGE(C3:C52)</f>
        <v>1904.0333333333335</v>
      </c>
      <c r="D57" s="11">
        <f>AVERAGE(D3:D52)</f>
        <v>2219.7614004851548</v>
      </c>
      <c r="E57" s="193">
        <f>AVERAGE(E3:E52)</f>
        <v>335574899.88825029</v>
      </c>
      <c r="F57" s="193">
        <f>AVERAGE(F3:F52)</f>
        <v>37719052.124199621</v>
      </c>
      <c r="G57" s="102">
        <f>AVERAGE(G3:G52)</f>
        <v>0.11013919944762861</v>
      </c>
      <c r="H57" s="228"/>
      <c r="I57" s="229">
        <f>AVERAGE(J3:J52)</f>
        <v>8.3666319190886573E-2</v>
      </c>
      <c r="J57" s="227"/>
      <c r="K57" s="193">
        <f>AVERAGE(K3:K52)</f>
        <v>6508185.2170000002</v>
      </c>
    </row>
    <row r="58" spans="1:48" ht="96.75" customHeight="1" x14ac:dyDescent="0.45">
      <c r="A58" s="21"/>
      <c r="B58" s="941" t="s">
        <v>554</v>
      </c>
      <c r="C58" s="942"/>
      <c r="D58" s="942"/>
      <c r="E58" s="942"/>
      <c r="F58" s="97"/>
      <c r="G58" s="100"/>
      <c r="H58" s="101"/>
      <c r="I58" s="250"/>
      <c r="J58" s="99"/>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row>
    <row r="59" spans="1:48" x14ac:dyDescent="0.45">
      <c r="A59" s="3"/>
      <c r="B59" s="3"/>
      <c r="C59" s="86"/>
      <c r="D59" s="252"/>
      <c r="E59" s="87"/>
      <c r="F59" s="87"/>
      <c r="G59" s="88"/>
      <c r="H59" s="263"/>
      <c r="I59" s="89"/>
      <c r="J59" s="87"/>
    </row>
    <row r="60" spans="1:48" x14ac:dyDescent="0.45">
      <c r="C60" s="940"/>
      <c r="D60" s="940"/>
      <c r="E60" s="940"/>
      <c r="F60" s="940"/>
      <c r="G60" s="940"/>
      <c r="H60" s="940"/>
      <c r="I60" s="940"/>
    </row>
    <row r="61" spans="1:48" x14ac:dyDescent="0.45">
      <c r="C61" s="16"/>
      <c r="D61" s="17"/>
      <c r="E61" s="18"/>
      <c r="F61" s="18"/>
      <c r="G61" s="8"/>
      <c r="H61" s="20"/>
      <c r="I61" s="19"/>
    </row>
    <row r="64" spans="1:48" x14ac:dyDescent="0.45">
      <c r="D64" s="22"/>
    </row>
  </sheetData>
  <sortState ref="A3:K54">
    <sortCondition ref="A3:A54"/>
  </sortState>
  <dataConsolidate/>
  <mergeCells count="3">
    <mergeCell ref="A1:C1"/>
    <mergeCell ref="C60:I60"/>
    <mergeCell ref="B58:E58"/>
  </mergeCells>
  <pageMargins left="0.51" right="0.11" top="0.48" bottom="0.28000000000000003" header="0.3" footer="0.3"/>
  <pageSetup paperSize="5" scale="61" orientation="landscape" r:id="rId1"/>
  <headerFooter>
    <oddHeader xml:space="preserve">&amp;L&amp;12ATTACHMENT II
&amp;C&amp;12FY2015 Analysis - Acute Hospitals&amp;10
&amp;R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249977111117893"/>
    <pageSetUpPr fitToPage="1"/>
  </sheetPr>
  <dimension ref="A1:O127"/>
  <sheetViews>
    <sheetView zoomScale="90" zoomScaleNormal="90" zoomScaleSheetLayoutView="85" workbookViewId="0">
      <selection sqref="A1:M1"/>
    </sheetView>
  </sheetViews>
  <sheetFormatPr defaultRowHeight="12.75" x14ac:dyDescent="0.35"/>
  <cols>
    <col min="1" max="1" width="6.265625" style="28" customWidth="1"/>
    <col min="2" max="2" width="4.3984375" style="28" customWidth="1"/>
    <col min="3" max="3" width="56" style="28" customWidth="1"/>
    <col min="4" max="4" width="0.73046875" style="28" hidden="1" customWidth="1"/>
    <col min="5" max="5" width="5.265625" style="28" hidden="1" customWidth="1"/>
    <col min="6" max="6" width="11.3984375" style="28" customWidth="1"/>
    <col min="7" max="7" width="28.265625" style="28" customWidth="1"/>
    <col min="8" max="8" width="19.265625" style="28" bestFit="1" customWidth="1"/>
    <col min="9" max="9" width="17.73046875" style="28" bestFit="1" customWidth="1"/>
    <col min="10" max="10" width="16.73046875" style="28" bestFit="1" customWidth="1"/>
    <col min="11" max="11" width="17" style="28" bestFit="1" customWidth="1"/>
    <col min="12" max="12" width="20.73046875" style="28" bestFit="1" customWidth="1"/>
    <col min="13" max="13" width="23.1328125" style="28" bestFit="1" customWidth="1"/>
    <col min="14" max="14" width="14.73046875" style="28" bestFit="1" customWidth="1"/>
    <col min="15" max="15" width="16" style="28" bestFit="1" customWidth="1"/>
    <col min="16" max="16" width="14.73046875" style="28" bestFit="1" customWidth="1"/>
    <col min="17" max="17" width="16" style="28" bestFit="1" customWidth="1"/>
    <col min="18" max="18" width="12.73046875" style="28" bestFit="1" customWidth="1"/>
    <col min="19" max="19" width="14.73046875" style="28" bestFit="1" customWidth="1"/>
    <col min="20" max="257" width="9.265625" style="28"/>
    <col min="258" max="258" width="6.265625" style="28" customWidth="1"/>
    <col min="259" max="259" width="4.3984375" style="28" customWidth="1"/>
    <col min="260" max="260" width="38.3984375" style="28" customWidth="1"/>
    <col min="261" max="262" width="0" style="28" hidden="1" customWidth="1"/>
    <col min="263" max="263" width="28.265625" style="28" customWidth="1"/>
    <col min="264" max="264" width="19.265625" style="28" bestFit="1" customWidth="1"/>
    <col min="265" max="265" width="18" style="28" bestFit="1" customWidth="1"/>
    <col min="266" max="266" width="16.265625" style="28" bestFit="1" customWidth="1"/>
    <col min="267" max="267" width="16.59765625" style="28" bestFit="1" customWidth="1"/>
    <col min="268" max="268" width="16.3984375" style="28" bestFit="1" customWidth="1"/>
    <col min="269" max="269" width="15.59765625" style="28" bestFit="1" customWidth="1"/>
    <col min="270" max="270" width="14.73046875" style="28" bestFit="1" customWidth="1"/>
    <col min="271" max="271" width="16" style="28" bestFit="1" customWidth="1"/>
    <col min="272" max="272" width="14.73046875" style="28" bestFit="1" customWidth="1"/>
    <col min="273" max="273" width="16" style="28" bestFit="1" customWidth="1"/>
    <col min="274" max="274" width="12.73046875" style="28" bestFit="1" customWidth="1"/>
    <col min="275" max="275" width="14.73046875" style="28" bestFit="1" customWidth="1"/>
    <col min="276" max="513" width="9.265625" style="28"/>
    <col min="514" max="514" width="6.265625" style="28" customWidth="1"/>
    <col min="515" max="515" width="4.3984375" style="28" customWidth="1"/>
    <col min="516" max="516" width="38.3984375" style="28" customWidth="1"/>
    <col min="517" max="518" width="0" style="28" hidden="1" customWidth="1"/>
    <col min="519" max="519" width="28.265625" style="28" customWidth="1"/>
    <col min="520" max="520" width="19.265625" style="28" bestFit="1" customWidth="1"/>
    <col min="521" max="521" width="18" style="28" bestFit="1" customWidth="1"/>
    <col min="522" max="522" width="16.265625" style="28" bestFit="1" customWidth="1"/>
    <col min="523" max="523" width="16.59765625" style="28" bestFit="1" customWidth="1"/>
    <col min="524" max="524" width="16.3984375" style="28" bestFit="1" customWidth="1"/>
    <col min="525" max="525" width="15.59765625" style="28" bestFit="1" customWidth="1"/>
    <col min="526" max="526" width="14.73046875" style="28" bestFit="1" customWidth="1"/>
    <col min="527" max="527" width="16" style="28" bestFit="1" customWidth="1"/>
    <col min="528" max="528" width="14.73046875" style="28" bestFit="1" customWidth="1"/>
    <col min="529" max="529" width="16" style="28" bestFit="1" customWidth="1"/>
    <col min="530" max="530" width="12.73046875" style="28" bestFit="1" customWidth="1"/>
    <col min="531" max="531" width="14.73046875" style="28" bestFit="1" customWidth="1"/>
    <col min="532" max="769" width="9.265625" style="28"/>
    <col min="770" max="770" width="6.265625" style="28" customWidth="1"/>
    <col min="771" max="771" width="4.3984375" style="28" customWidth="1"/>
    <col min="772" max="772" width="38.3984375" style="28" customWidth="1"/>
    <col min="773" max="774" width="0" style="28" hidden="1" customWidth="1"/>
    <col min="775" max="775" width="28.265625" style="28" customWidth="1"/>
    <col min="776" max="776" width="19.265625" style="28" bestFit="1" customWidth="1"/>
    <col min="777" max="777" width="18" style="28" bestFit="1" customWidth="1"/>
    <col min="778" max="778" width="16.265625" style="28" bestFit="1" customWidth="1"/>
    <col min="779" max="779" width="16.59765625" style="28" bestFit="1" customWidth="1"/>
    <col min="780" max="780" width="16.3984375" style="28" bestFit="1" customWidth="1"/>
    <col min="781" max="781" width="15.59765625" style="28" bestFit="1" customWidth="1"/>
    <col min="782" max="782" width="14.73046875" style="28" bestFit="1" customWidth="1"/>
    <col min="783" max="783" width="16" style="28" bestFit="1" customWidth="1"/>
    <col min="784" max="784" width="14.73046875" style="28" bestFit="1" customWidth="1"/>
    <col min="785" max="785" width="16" style="28" bestFit="1" customWidth="1"/>
    <col min="786" max="786" width="12.73046875" style="28" bestFit="1" customWidth="1"/>
    <col min="787" max="787" width="14.73046875" style="28" bestFit="1" customWidth="1"/>
    <col min="788" max="1025" width="9.265625" style="28"/>
    <col min="1026" max="1026" width="6.265625" style="28" customWidth="1"/>
    <col min="1027" max="1027" width="4.3984375" style="28" customWidth="1"/>
    <col min="1028" max="1028" width="38.3984375" style="28" customWidth="1"/>
    <col min="1029" max="1030" width="0" style="28" hidden="1" customWidth="1"/>
    <col min="1031" max="1031" width="28.265625" style="28" customWidth="1"/>
    <col min="1032" max="1032" width="19.265625" style="28" bestFit="1" customWidth="1"/>
    <col min="1033" max="1033" width="18" style="28" bestFit="1" customWidth="1"/>
    <col min="1034" max="1034" width="16.265625" style="28" bestFit="1" customWidth="1"/>
    <col min="1035" max="1035" width="16.59765625" style="28" bestFit="1" customWidth="1"/>
    <col min="1036" max="1036" width="16.3984375" style="28" bestFit="1" customWidth="1"/>
    <col min="1037" max="1037" width="15.59765625" style="28" bestFit="1" customWidth="1"/>
    <col min="1038" max="1038" width="14.73046875" style="28" bestFit="1" customWidth="1"/>
    <col min="1039" max="1039" width="16" style="28" bestFit="1" customWidth="1"/>
    <col min="1040" max="1040" width="14.73046875" style="28" bestFit="1" customWidth="1"/>
    <col min="1041" max="1041" width="16" style="28" bestFit="1" customWidth="1"/>
    <col min="1042" max="1042" width="12.73046875" style="28" bestFit="1" customWidth="1"/>
    <col min="1043" max="1043" width="14.73046875" style="28" bestFit="1" customWidth="1"/>
    <col min="1044" max="1281" width="9.265625" style="28"/>
    <col min="1282" max="1282" width="6.265625" style="28" customWidth="1"/>
    <col min="1283" max="1283" width="4.3984375" style="28" customWidth="1"/>
    <col min="1284" max="1284" width="38.3984375" style="28" customWidth="1"/>
    <col min="1285" max="1286" width="0" style="28" hidden="1" customWidth="1"/>
    <col min="1287" max="1287" width="28.265625" style="28" customWidth="1"/>
    <col min="1288" max="1288" width="19.265625" style="28" bestFit="1" customWidth="1"/>
    <col min="1289" max="1289" width="18" style="28" bestFit="1" customWidth="1"/>
    <col min="1290" max="1290" width="16.265625" style="28" bestFit="1" customWidth="1"/>
    <col min="1291" max="1291" width="16.59765625" style="28" bestFit="1" customWidth="1"/>
    <col min="1292" max="1292" width="16.3984375" style="28" bestFit="1" customWidth="1"/>
    <col min="1293" max="1293" width="15.59765625" style="28" bestFit="1" customWidth="1"/>
    <col min="1294" max="1294" width="14.73046875" style="28" bestFit="1" customWidth="1"/>
    <col min="1295" max="1295" width="16" style="28" bestFit="1" customWidth="1"/>
    <col min="1296" max="1296" width="14.73046875" style="28" bestFit="1" customWidth="1"/>
    <col min="1297" max="1297" width="16" style="28" bestFit="1" customWidth="1"/>
    <col min="1298" max="1298" width="12.73046875" style="28" bestFit="1" customWidth="1"/>
    <col min="1299" max="1299" width="14.73046875" style="28" bestFit="1" customWidth="1"/>
    <col min="1300" max="1537" width="9.265625" style="28"/>
    <col min="1538" max="1538" width="6.265625" style="28" customWidth="1"/>
    <col min="1539" max="1539" width="4.3984375" style="28" customWidth="1"/>
    <col min="1540" max="1540" width="38.3984375" style="28" customWidth="1"/>
    <col min="1541" max="1542" width="0" style="28" hidden="1" customWidth="1"/>
    <col min="1543" max="1543" width="28.265625" style="28" customWidth="1"/>
    <col min="1544" max="1544" width="19.265625" style="28" bestFit="1" customWidth="1"/>
    <col min="1545" max="1545" width="18" style="28" bestFit="1" customWidth="1"/>
    <col min="1546" max="1546" width="16.265625" style="28" bestFit="1" customWidth="1"/>
    <col min="1547" max="1547" width="16.59765625" style="28" bestFit="1" customWidth="1"/>
    <col min="1548" max="1548" width="16.3984375" style="28" bestFit="1" customWidth="1"/>
    <col min="1549" max="1549" width="15.59765625" style="28" bestFit="1" customWidth="1"/>
    <col min="1550" max="1550" width="14.73046875" style="28" bestFit="1" customWidth="1"/>
    <col min="1551" max="1551" width="16" style="28" bestFit="1" customWidth="1"/>
    <col min="1552" max="1552" width="14.73046875" style="28" bestFit="1" customWidth="1"/>
    <col min="1553" max="1553" width="16" style="28" bestFit="1" customWidth="1"/>
    <col min="1554" max="1554" width="12.73046875" style="28" bestFit="1" customWidth="1"/>
    <col min="1555" max="1555" width="14.73046875" style="28" bestFit="1" customWidth="1"/>
    <col min="1556" max="1793" width="9.265625" style="28"/>
    <col min="1794" max="1794" width="6.265625" style="28" customWidth="1"/>
    <col min="1795" max="1795" width="4.3984375" style="28" customWidth="1"/>
    <col min="1796" max="1796" width="38.3984375" style="28" customWidth="1"/>
    <col min="1797" max="1798" width="0" style="28" hidden="1" customWidth="1"/>
    <col min="1799" max="1799" width="28.265625" style="28" customWidth="1"/>
    <col min="1800" max="1800" width="19.265625" style="28" bestFit="1" customWidth="1"/>
    <col min="1801" max="1801" width="18" style="28" bestFit="1" customWidth="1"/>
    <col min="1802" max="1802" width="16.265625" style="28" bestFit="1" customWidth="1"/>
    <col min="1803" max="1803" width="16.59765625" style="28" bestFit="1" customWidth="1"/>
    <col min="1804" max="1804" width="16.3984375" style="28" bestFit="1" customWidth="1"/>
    <col min="1805" max="1805" width="15.59765625" style="28" bestFit="1" customWidth="1"/>
    <col min="1806" max="1806" width="14.73046875" style="28" bestFit="1" customWidth="1"/>
    <col min="1807" max="1807" width="16" style="28" bestFit="1" customWidth="1"/>
    <col min="1808" max="1808" width="14.73046875" style="28" bestFit="1" customWidth="1"/>
    <col min="1809" max="1809" width="16" style="28" bestFit="1" customWidth="1"/>
    <col min="1810" max="1810" width="12.73046875" style="28" bestFit="1" customWidth="1"/>
    <col min="1811" max="1811" width="14.73046875" style="28" bestFit="1" customWidth="1"/>
    <col min="1812" max="2049" width="9.265625" style="28"/>
    <col min="2050" max="2050" width="6.265625" style="28" customWidth="1"/>
    <col min="2051" max="2051" width="4.3984375" style="28" customWidth="1"/>
    <col min="2052" max="2052" width="38.3984375" style="28" customWidth="1"/>
    <col min="2053" max="2054" width="0" style="28" hidden="1" customWidth="1"/>
    <col min="2055" max="2055" width="28.265625" style="28" customWidth="1"/>
    <col min="2056" max="2056" width="19.265625" style="28" bestFit="1" customWidth="1"/>
    <col min="2057" max="2057" width="18" style="28" bestFit="1" customWidth="1"/>
    <col min="2058" max="2058" width="16.265625" style="28" bestFit="1" customWidth="1"/>
    <col min="2059" max="2059" width="16.59765625" style="28" bestFit="1" customWidth="1"/>
    <col min="2060" max="2060" width="16.3984375" style="28" bestFit="1" customWidth="1"/>
    <col min="2061" max="2061" width="15.59765625" style="28" bestFit="1" customWidth="1"/>
    <col min="2062" max="2062" width="14.73046875" style="28" bestFit="1" customWidth="1"/>
    <col min="2063" max="2063" width="16" style="28" bestFit="1" customWidth="1"/>
    <col min="2064" max="2064" width="14.73046875" style="28" bestFit="1" customWidth="1"/>
    <col min="2065" max="2065" width="16" style="28" bestFit="1" customWidth="1"/>
    <col min="2066" max="2066" width="12.73046875" style="28" bestFit="1" customWidth="1"/>
    <col min="2067" max="2067" width="14.73046875" style="28" bestFit="1" customWidth="1"/>
    <col min="2068" max="2305" width="9.265625" style="28"/>
    <col min="2306" max="2306" width="6.265625" style="28" customWidth="1"/>
    <col min="2307" max="2307" width="4.3984375" style="28" customWidth="1"/>
    <col min="2308" max="2308" width="38.3984375" style="28" customWidth="1"/>
    <col min="2309" max="2310" width="0" style="28" hidden="1" customWidth="1"/>
    <col min="2311" max="2311" width="28.265625" style="28" customWidth="1"/>
    <col min="2312" max="2312" width="19.265625" style="28" bestFit="1" customWidth="1"/>
    <col min="2313" max="2313" width="18" style="28" bestFit="1" customWidth="1"/>
    <col min="2314" max="2314" width="16.265625" style="28" bestFit="1" customWidth="1"/>
    <col min="2315" max="2315" width="16.59765625" style="28" bestFit="1" customWidth="1"/>
    <col min="2316" max="2316" width="16.3984375" style="28" bestFit="1" customWidth="1"/>
    <col min="2317" max="2317" width="15.59765625" style="28" bestFit="1" customWidth="1"/>
    <col min="2318" max="2318" width="14.73046875" style="28" bestFit="1" customWidth="1"/>
    <col min="2319" max="2319" width="16" style="28" bestFit="1" customWidth="1"/>
    <col min="2320" max="2320" width="14.73046875" style="28" bestFit="1" customWidth="1"/>
    <col min="2321" max="2321" width="16" style="28" bestFit="1" customWidth="1"/>
    <col min="2322" max="2322" width="12.73046875" style="28" bestFit="1" customWidth="1"/>
    <col min="2323" max="2323" width="14.73046875" style="28" bestFit="1" customWidth="1"/>
    <col min="2324" max="2561" width="9.265625" style="28"/>
    <col min="2562" max="2562" width="6.265625" style="28" customWidth="1"/>
    <col min="2563" max="2563" width="4.3984375" style="28" customWidth="1"/>
    <col min="2564" max="2564" width="38.3984375" style="28" customWidth="1"/>
    <col min="2565" max="2566" width="0" style="28" hidden="1" customWidth="1"/>
    <col min="2567" max="2567" width="28.265625" style="28" customWidth="1"/>
    <col min="2568" max="2568" width="19.265625" style="28" bestFit="1" customWidth="1"/>
    <col min="2569" max="2569" width="18" style="28" bestFit="1" customWidth="1"/>
    <col min="2570" max="2570" width="16.265625" style="28" bestFit="1" customWidth="1"/>
    <col min="2571" max="2571" width="16.59765625" style="28" bestFit="1" customWidth="1"/>
    <col min="2572" max="2572" width="16.3984375" style="28" bestFit="1" customWidth="1"/>
    <col min="2573" max="2573" width="15.59765625" style="28" bestFit="1" customWidth="1"/>
    <col min="2574" max="2574" width="14.73046875" style="28" bestFit="1" customWidth="1"/>
    <col min="2575" max="2575" width="16" style="28" bestFit="1" customWidth="1"/>
    <col min="2576" max="2576" width="14.73046875" style="28" bestFit="1" customWidth="1"/>
    <col min="2577" max="2577" width="16" style="28" bestFit="1" customWidth="1"/>
    <col min="2578" max="2578" width="12.73046875" style="28" bestFit="1" customWidth="1"/>
    <col min="2579" max="2579" width="14.73046875" style="28" bestFit="1" customWidth="1"/>
    <col min="2580" max="2817" width="9.265625" style="28"/>
    <col min="2818" max="2818" width="6.265625" style="28" customWidth="1"/>
    <col min="2819" max="2819" width="4.3984375" style="28" customWidth="1"/>
    <col min="2820" max="2820" width="38.3984375" style="28" customWidth="1"/>
    <col min="2821" max="2822" width="0" style="28" hidden="1" customWidth="1"/>
    <col min="2823" max="2823" width="28.265625" style="28" customWidth="1"/>
    <col min="2824" max="2824" width="19.265625" style="28" bestFit="1" customWidth="1"/>
    <col min="2825" max="2825" width="18" style="28" bestFit="1" customWidth="1"/>
    <col min="2826" max="2826" width="16.265625" style="28" bestFit="1" customWidth="1"/>
    <col min="2827" max="2827" width="16.59765625" style="28" bestFit="1" customWidth="1"/>
    <col min="2828" max="2828" width="16.3984375" style="28" bestFit="1" customWidth="1"/>
    <col min="2829" max="2829" width="15.59765625" style="28" bestFit="1" customWidth="1"/>
    <col min="2830" max="2830" width="14.73046875" style="28" bestFit="1" customWidth="1"/>
    <col min="2831" max="2831" width="16" style="28" bestFit="1" customWidth="1"/>
    <col min="2832" max="2832" width="14.73046875" style="28" bestFit="1" customWidth="1"/>
    <col min="2833" max="2833" width="16" style="28" bestFit="1" customWidth="1"/>
    <col min="2834" max="2834" width="12.73046875" style="28" bestFit="1" customWidth="1"/>
    <col min="2835" max="2835" width="14.73046875" style="28" bestFit="1" customWidth="1"/>
    <col min="2836" max="3073" width="9.265625" style="28"/>
    <col min="3074" max="3074" width="6.265625" style="28" customWidth="1"/>
    <col min="3075" max="3075" width="4.3984375" style="28" customWidth="1"/>
    <col min="3076" max="3076" width="38.3984375" style="28" customWidth="1"/>
    <col min="3077" max="3078" width="0" style="28" hidden="1" customWidth="1"/>
    <col min="3079" max="3079" width="28.265625" style="28" customWidth="1"/>
    <col min="3080" max="3080" width="19.265625" style="28" bestFit="1" customWidth="1"/>
    <col min="3081" max="3081" width="18" style="28" bestFit="1" customWidth="1"/>
    <col min="3082" max="3082" width="16.265625" style="28" bestFit="1" customWidth="1"/>
    <col min="3083" max="3083" width="16.59765625" style="28" bestFit="1" customWidth="1"/>
    <col min="3084" max="3084" width="16.3984375" style="28" bestFit="1" customWidth="1"/>
    <col min="3085" max="3085" width="15.59765625" style="28" bestFit="1" customWidth="1"/>
    <col min="3086" max="3086" width="14.73046875" style="28" bestFit="1" customWidth="1"/>
    <col min="3087" max="3087" width="16" style="28" bestFit="1" customWidth="1"/>
    <col min="3088" max="3088" width="14.73046875" style="28" bestFit="1" customWidth="1"/>
    <col min="3089" max="3089" width="16" style="28" bestFit="1" customWidth="1"/>
    <col min="3090" max="3090" width="12.73046875" style="28" bestFit="1" customWidth="1"/>
    <col min="3091" max="3091" width="14.73046875" style="28" bestFit="1" customWidth="1"/>
    <col min="3092" max="3329" width="9.265625" style="28"/>
    <col min="3330" max="3330" width="6.265625" style="28" customWidth="1"/>
    <col min="3331" max="3331" width="4.3984375" style="28" customWidth="1"/>
    <col min="3332" max="3332" width="38.3984375" style="28" customWidth="1"/>
    <col min="3333" max="3334" width="0" style="28" hidden="1" customWidth="1"/>
    <col min="3335" max="3335" width="28.265625" style="28" customWidth="1"/>
    <col min="3336" max="3336" width="19.265625" style="28" bestFit="1" customWidth="1"/>
    <col min="3337" max="3337" width="18" style="28" bestFit="1" customWidth="1"/>
    <col min="3338" max="3338" width="16.265625" style="28" bestFit="1" customWidth="1"/>
    <col min="3339" max="3339" width="16.59765625" style="28" bestFit="1" customWidth="1"/>
    <col min="3340" max="3340" width="16.3984375" style="28" bestFit="1" customWidth="1"/>
    <col min="3341" max="3341" width="15.59765625" style="28" bestFit="1" customWidth="1"/>
    <col min="3342" max="3342" width="14.73046875" style="28" bestFit="1" customWidth="1"/>
    <col min="3343" max="3343" width="16" style="28" bestFit="1" customWidth="1"/>
    <col min="3344" max="3344" width="14.73046875" style="28" bestFit="1" customWidth="1"/>
    <col min="3345" max="3345" width="16" style="28" bestFit="1" customWidth="1"/>
    <col min="3346" max="3346" width="12.73046875" style="28" bestFit="1" customWidth="1"/>
    <col min="3347" max="3347" width="14.73046875" style="28" bestFit="1" customWidth="1"/>
    <col min="3348" max="3585" width="9.265625" style="28"/>
    <col min="3586" max="3586" width="6.265625" style="28" customWidth="1"/>
    <col min="3587" max="3587" width="4.3984375" style="28" customWidth="1"/>
    <col min="3588" max="3588" width="38.3984375" style="28" customWidth="1"/>
    <col min="3589" max="3590" width="0" style="28" hidden="1" customWidth="1"/>
    <col min="3591" max="3591" width="28.265625" style="28" customWidth="1"/>
    <col min="3592" max="3592" width="19.265625" style="28" bestFit="1" customWidth="1"/>
    <col min="3593" max="3593" width="18" style="28" bestFit="1" customWidth="1"/>
    <col min="3594" max="3594" width="16.265625" style="28" bestFit="1" customWidth="1"/>
    <col min="3595" max="3595" width="16.59765625" style="28" bestFit="1" customWidth="1"/>
    <col min="3596" max="3596" width="16.3984375" style="28" bestFit="1" customWidth="1"/>
    <col min="3597" max="3597" width="15.59765625" style="28" bestFit="1" customWidth="1"/>
    <col min="3598" max="3598" width="14.73046875" style="28" bestFit="1" customWidth="1"/>
    <col min="3599" max="3599" width="16" style="28" bestFit="1" customWidth="1"/>
    <col min="3600" max="3600" width="14.73046875" style="28" bestFit="1" customWidth="1"/>
    <col min="3601" max="3601" width="16" style="28" bestFit="1" customWidth="1"/>
    <col min="3602" max="3602" width="12.73046875" style="28" bestFit="1" customWidth="1"/>
    <col min="3603" max="3603" width="14.73046875" style="28" bestFit="1" customWidth="1"/>
    <col min="3604" max="3841" width="9.265625" style="28"/>
    <col min="3842" max="3842" width="6.265625" style="28" customWidth="1"/>
    <col min="3843" max="3843" width="4.3984375" style="28" customWidth="1"/>
    <col min="3844" max="3844" width="38.3984375" style="28" customWidth="1"/>
    <col min="3845" max="3846" width="0" style="28" hidden="1" customWidth="1"/>
    <col min="3847" max="3847" width="28.265625" style="28" customWidth="1"/>
    <col min="3848" max="3848" width="19.265625" style="28" bestFit="1" customWidth="1"/>
    <col min="3849" max="3849" width="18" style="28" bestFit="1" customWidth="1"/>
    <col min="3850" max="3850" width="16.265625" style="28" bestFit="1" customWidth="1"/>
    <col min="3851" max="3851" width="16.59765625" style="28" bestFit="1" customWidth="1"/>
    <col min="3852" max="3852" width="16.3984375" style="28" bestFit="1" customWidth="1"/>
    <col min="3853" max="3853" width="15.59765625" style="28" bestFit="1" customWidth="1"/>
    <col min="3854" max="3854" width="14.73046875" style="28" bestFit="1" customWidth="1"/>
    <col min="3855" max="3855" width="16" style="28" bestFit="1" customWidth="1"/>
    <col min="3856" max="3856" width="14.73046875" style="28" bestFit="1" customWidth="1"/>
    <col min="3857" max="3857" width="16" style="28" bestFit="1" customWidth="1"/>
    <col min="3858" max="3858" width="12.73046875" style="28" bestFit="1" customWidth="1"/>
    <col min="3859" max="3859" width="14.73046875" style="28" bestFit="1" customWidth="1"/>
    <col min="3860" max="4097" width="9.265625" style="28"/>
    <col min="4098" max="4098" width="6.265625" style="28" customWidth="1"/>
    <col min="4099" max="4099" width="4.3984375" style="28" customWidth="1"/>
    <col min="4100" max="4100" width="38.3984375" style="28" customWidth="1"/>
    <col min="4101" max="4102" width="0" style="28" hidden="1" customWidth="1"/>
    <col min="4103" max="4103" width="28.265625" style="28" customWidth="1"/>
    <col min="4104" max="4104" width="19.265625" style="28" bestFit="1" customWidth="1"/>
    <col min="4105" max="4105" width="18" style="28" bestFit="1" customWidth="1"/>
    <col min="4106" max="4106" width="16.265625" style="28" bestFit="1" customWidth="1"/>
    <col min="4107" max="4107" width="16.59765625" style="28" bestFit="1" customWidth="1"/>
    <col min="4108" max="4108" width="16.3984375" style="28" bestFit="1" customWidth="1"/>
    <col min="4109" max="4109" width="15.59765625" style="28" bestFit="1" customWidth="1"/>
    <col min="4110" max="4110" width="14.73046875" style="28" bestFit="1" customWidth="1"/>
    <col min="4111" max="4111" width="16" style="28" bestFit="1" customWidth="1"/>
    <col min="4112" max="4112" width="14.73046875" style="28" bestFit="1" customWidth="1"/>
    <col min="4113" max="4113" width="16" style="28" bestFit="1" customWidth="1"/>
    <col min="4114" max="4114" width="12.73046875" style="28" bestFit="1" customWidth="1"/>
    <col min="4115" max="4115" width="14.73046875" style="28" bestFit="1" customWidth="1"/>
    <col min="4116" max="4353" width="9.265625" style="28"/>
    <col min="4354" max="4354" width="6.265625" style="28" customWidth="1"/>
    <col min="4355" max="4355" width="4.3984375" style="28" customWidth="1"/>
    <col min="4356" max="4356" width="38.3984375" style="28" customWidth="1"/>
    <col min="4357" max="4358" width="0" style="28" hidden="1" customWidth="1"/>
    <col min="4359" max="4359" width="28.265625" style="28" customWidth="1"/>
    <col min="4360" max="4360" width="19.265625" style="28" bestFit="1" customWidth="1"/>
    <col min="4361" max="4361" width="18" style="28" bestFit="1" customWidth="1"/>
    <col min="4362" max="4362" width="16.265625" style="28" bestFit="1" customWidth="1"/>
    <col min="4363" max="4363" width="16.59765625" style="28" bestFit="1" customWidth="1"/>
    <col min="4364" max="4364" width="16.3984375" style="28" bestFit="1" customWidth="1"/>
    <col min="4365" max="4365" width="15.59765625" style="28" bestFit="1" customWidth="1"/>
    <col min="4366" max="4366" width="14.73046875" style="28" bestFit="1" customWidth="1"/>
    <col min="4367" max="4367" width="16" style="28" bestFit="1" customWidth="1"/>
    <col min="4368" max="4368" width="14.73046875" style="28" bestFit="1" customWidth="1"/>
    <col min="4369" max="4369" width="16" style="28" bestFit="1" customWidth="1"/>
    <col min="4370" max="4370" width="12.73046875" style="28" bestFit="1" customWidth="1"/>
    <col min="4371" max="4371" width="14.73046875" style="28" bestFit="1" customWidth="1"/>
    <col min="4372" max="4609" width="9.265625" style="28"/>
    <col min="4610" max="4610" width="6.265625" style="28" customWidth="1"/>
    <col min="4611" max="4611" width="4.3984375" style="28" customWidth="1"/>
    <col min="4612" max="4612" width="38.3984375" style="28" customWidth="1"/>
    <col min="4613" max="4614" width="0" style="28" hidden="1" customWidth="1"/>
    <col min="4615" max="4615" width="28.265625" style="28" customWidth="1"/>
    <col min="4616" max="4616" width="19.265625" style="28" bestFit="1" customWidth="1"/>
    <col min="4617" max="4617" width="18" style="28" bestFit="1" customWidth="1"/>
    <col min="4618" max="4618" width="16.265625" style="28" bestFit="1" customWidth="1"/>
    <col min="4619" max="4619" width="16.59765625" style="28" bestFit="1" customWidth="1"/>
    <col min="4620" max="4620" width="16.3984375" style="28" bestFit="1" customWidth="1"/>
    <col min="4621" max="4621" width="15.59765625" style="28" bestFit="1" customWidth="1"/>
    <col min="4622" max="4622" width="14.73046875" style="28" bestFit="1" customWidth="1"/>
    <col min="4623" max="4623" width="16" style="28" bestFit="1" customWidth="1"/>
    <col min="4624" max="4624" width="14.73046875" style="28" bestFit="1" customWidth="1"/>
    <col min="4625" max="4625" width="16" style="28" bestFit="1" customWidth="1"/>
    <col min="4626" max="4626" width="12.73046875" style="28" bestFit="1" customWidth="1"/>
    <col min="4627" max="4627" width="14.73046875" style="28" bestFit="1" customWidth="1"/>
    <col min="4628" max="4865" width="9.265625" style="28"/>
    <col min="4866" max="4866" width="6.265625" style="28" customWidth="1"/>
    <col min="4867" max="4867" width="4.3984375" style="28" customWidth="1"/>
    <col min="4868" max="4868" width="38.3984375" style="28" customWidth="1"/>
    <col min="4869" max="4870" width="0" style="28" hidden="1" customWidth="1"/>
    <col min="4871" max="4871" width="28.265625" style="28" customWidth="1"/>
    <col min="4872" max="4872" width="19.265625" style="28" bestFit="1" customWidth="1"/>
    <col min="4873" max="4873" width="18" style="28" bestFit="1" customWidth="1"/>
    <col min="4874" max="4874" width="16.265625" style="28" bestFit="1" customWidth="1"/>
    <col min="4875" max="4875" width="16.59765625" style="28" bestFit="1" customWidth="1"/>
    <col min="4876" max="4876" width="16.3984375" style="28" bestFit="1" customWidth="1"/>
    <col min="4877" max="4877" width="15.59765625" style="28" bestFit="1" customWidth="1"/>
    <col min="4878" max="4878" width="14.73046875" style="28" bestFit="1" customWidth="1"/>
    <col min="4879" max="4879" width="16" style="28" bestFit="1" customWidth="1"/>
    <col min="4880" max="4880" width="14.73046875" style="28" bestFit="1" customWidth="1"/>
    <col min="4881" max="4881" width="16" style="28" bestFit="1" customWidth="1"/>
    <col min="4882" max="4882" width="12.73046875" style="28" bestFit="1" customWidth="1"/>
    <col min="4883" max="4883" width="14.73046875" style="28" bestFit="1" customWidth="1"/>
    <col min="4884" max="5121" width="9.265625" style="28"/>
    <col min="5122" max="5122" width="6.265625" style="28" customWidth="1"/>
    <col min="5123" max="5123" width="4.3984375" style="28" customWidth="1"/>
    <col min="5124" max="5124" width="38.3984375" style="28" customWidth="1"/>
    <col min="5125" max="5126" width="0" style="28" hidden="1" customWidth="1"/>
    <col min="5127" max="5127" width="28.265625" style="28" customWidth="1"/>
    <col min="5128" max="5128" width="19.265625" style="28" bestFit="1" customWidth="1"/>
    <col min="5129" max="5129" width="18" style="28" bestFit="1" customWidth="1"/>
    <col min="5130" max="5130" width="16.265625" style="28" bestFit="1" customWidth="1"/>
    <col min="5131" max="5131" width="16.59765625" style="28" bestFit="1" customWidth="1"/>
    <col min="5132" max="5132" width="16.3984375" style="28" bestFit="1" customWidth="1"/>
    <col min="5133" max="5133" width="15.59765625" style="28" bestFit="1" customWidth="1"/>
    <col min="5134" max="5134" width="14.73046875" style="28" bestFit="1" customWidth="1"/>
    <col min="5135" max="5135" width="16" style="28" bestFit="1" customWidth="1"/>
    <col min="5136" max="5136" width="14.73046875" style="28" bestFit="1" customWidth="1"/>
    <col min="5137" max="5137" width="16" style="28" bestFit="1" customWidth="1"/>
    <col min="5138" max="5138" width="12.73046875" style="28" bestFit="1" customWidth="1"/>
    <col min="5139" max="5139" width="14.73046875" style="28" bestFit="1" customWidth="1"/>
    <col min="5140" max="5377" width="9.265625" style="28"/>
    <col min="5378" max="5378" width="6.265625" style="28" customWidth="1"/>
    <col min="5379" max="5379" width="4.3984375" style="28" customWidth="1"/>
    <col min="5380" max="5380" width="38.3984375" style="28" customWidth="1"/>
    <col min="5381" max="5382" width="0" style="28" hidden="1" customWidth="1"/>
    <col min="5383" max="5383" width="28.265625" style="28" customWidth="1"/>
    <col min="5384" max="5384" width="19.265625" style="28" bestFit="1" customWidth="1"/>
    <col min="5385" max="5385" width="18" style="28" bestFit="1" customWidth="1"/>
    <col min="5386" max="5386" width="16.265625" style="28" bestFit="1" customWidth="1"/>
    <col min="5387" max="5387" width="16.59765625" style="28" bestFit="1" customWidth="1"/>
    <col min="5388" max="5388" width="16.3984375" style="28" bestFit="1" customWidth="1"/>
    <col min="5389" max="5389" width="15.59765625" style="28" bestFit="1" customWidth="1"/>
    <col min="5390" max="5390" width="14.73046875" style="28" bestFit="1" customWidth="1"/>
    <col min="5391" max="5391" width="16" style="28" bestFit="1" customWidth="1"/>
    <col min="5392" max="5392" width="14.73046875" style="28" bestFit="1" customWidth="1"/>
    <col min="5393" max="5393" width="16" style="28" bestFit="1" customWidth="1"/>
    <col min="5394" max="5394" width="12.73046875" style="28" bestFit="1" customWidth="1"/>
    <col min="5395" max="5395" width="14.73046875" style="28" bestFit="1" customWidth="1"/>
    <col min="5396" max="5633" width="9.265625" style="28"/>
    <col min="5634" max="5634" width="6.265625" style="28" customWidth="1"/>
    <col min="5635" max="5635" width="4.3984375" style="28" customWidth="1"/>
    <col min="5636" max="5636" width="38.3984375" style="28" customWidth="1"/>
    <col min="5637" max="5638" width="0" style="28" hidden="1" customWidth="1"/>
    <col min="5639" max="5639" width="28.265625" style="28" customWidth="1"/>
    <col min="5640" max="5640" width="19.265625" style="28" bestFit="1" customWidth="1"/>
    <col min="5641" max="5641" width="18" style="28" bestFit="1" customWidth="1"/>
    <col min="5642" max="5642" width="16.265625" style="28" bestFit="1" customWidth="1"/>
    <col min="5643" max="5643" width="16.59765625" style="28" bestFit="1" customWidth="1"/>
    <col min="5644" max="5644" width="16.3984375" style="28" bestFit="1" customWidth="1"/>
    <col min="5645" max="5645" width="15.59765625" style="28" bestFit="1" customWidth="1"/>
    <col min="5646" max="5646" width="14.73046875" style="28" bestFit="1" customWidth="1"/>
    <col min="5647" max="5647" width="16" style="28" bestFit="1" customWidth="1"/>
    <col min="5648" max="5648" width="14.73046875" style="28" bestFit="1" customWidth="1"/>
    <col min="5649" max="5649" width="16" style="28" bestFit="1" customWidth="1"/>
    <col min="5650" max="5650" width="12.73046875" style="28" bestFit="1" customWidth="1"/>
    <col min="5651" max="5651" width="14.73046875" style="28" bestFit="1" customWidth="1"/>
    <col min="5652" max="5889" width="9.265625" style="28"/>
    <col min="5890" max="5890" width="6.265625" style="28" customWidth="1"/>
    <col min="5891" max="5891" width="4.3984375" style="28" customWidth="1"/>
    <col min="5892" max="5892" width="38.3984375" style="28" customWidth="1"/>
    <col min="5893" max="5894" width="0" style="28" hidden="1" customWidth="1"/>
    <col min="5895" max="5895" width="28.265625" style="28" customWidth="1"/>
    <col min="5896" max="5896" width="19.265625" style="28" bestFit="1" customWidth="1"/>
    <col min="5897" max="5897" width="18" style="28" bestFit="1" customWidth="1"/>
    <col min="5898" max="5898" width="16.265625" style="28" bestFit="1" customWidth="1"/>
    <col min="5899" max="5899" width="16.59765625" style="28" bestFit="1" customWidth="1"/>
    <col min="5900" max="5900" width="16.3984375" style="28" bestFit="1" customWidth="1"/>
    <col min="5901" max="5901" width="15.59765625" style="28" bestFit="1" customWidth="1"/>
    <col min="5902" max="5902" width="14.73046875" style="28" bestFit="1" customWidth="1"/>
    <col min="5903" max="5903" width="16" style="28" bestFit="1" customWidth="1"/>
    <col min="5904" max="5904" width="14.73046875" style="28" bestFit="1" customWidth="1"/>
    <col min="5905" max="5905" width="16" style="28" bestFit="1" customWidth="1"/>
    <col min="5906" max="5906" width="12.73046875" style="28" bestFit="1" customWidth="1"/>
    <col min="5907" max="5907" width="14.73046875" style="28" bestFit="1" customWidth="1"/>
    <col min="5908" max="6145" width="9.265625" style="28"/>
    <col min="6146" max="6146" width="6.265625" style="28" customWidth="1"/>
    <col min="6147" max="6147" width="4.3984375" style="28" customWidth="1"/>
    <col min="6148" max="6148" width="38.3984375" style="28" customWidth="1"/>
    <col min="6149" max="6150" width="0" style="28" hidden="1" customWidth="1"/>
    <col min="6151" max="6151" width="28.265625" style="28" customWidth="1"/>
    <col min="6152" max="6152" width="19.265625" style="28" bestFit="1" customWidth="1"/>
    <col min="6153" max="6153" width="18" style="28" bestFit="1" customWidth="1"/>
    <col min="6154" max="6154" width="16.265625" style="28" bestFit="1" customWidth="1"/>
    <col min="6155" max="6155" width="16.59765625" style="28" bestFit="1" customWidth="1"/>
    <col min="6156" max="6156" width="16.3984375" style="28" bestFit="1" customWidth="1"/>
    <col min="6157" max="6157" width="15.59765625" style="28" bestFit="1" customWidth="1"/>
    <col min="6158" max="6158" width="14.73046875" style="28" bestFit="1" customWidth="1"/>
    <col min="6159" max="6159" width="16" style="28" bestFit="1" customWidth="1"/>
    <col min="6160" max="6160" width="14.73046875" style="28" bestFit="1" customWidth="1"/>
    <col min="6161" max="6161" width="16" style="28" bestFit="1" customWidth="1"/>
    <col min="6162" max="6162" width="12.73046875" style="28" bestFit="1" customWidth="1"/>
    <col min="6163" max="6163" width="14.73046875" style="28" bestFit="1" customWidth="1"/>
    <col min="6164" max="6401" width="9.265625" style="28"/>
    <col min="6402" max="6402" width="6.265625" style="28" customWidth="1"/>
    <col min="6403" max="6403" width="4.3984375" style="28" customWidth="1"/>
    <col min="6404" max="6404" width="38.3984375" style="28" customWidth="1"/>
    <col min="6405" max="6406" width="0" style="28" hidden="1" customWidth="1"/>
    <col min="6407" max="6407" width="28.265625" style="28" customWidth="1"/>
    <col min="6408" max="6408" width="19.265625" style="28" bestFit="1" customWidth="1"/>
    <col min="6409" max="6409" width="18" style="28" bestFit="1" customWidth="1"/>
    <col min="6410" max="6410" width="16.265625" style="28" bestFit="1" customWidth="1"/>
    <col min="6411" max="6411" width="16.59765625" style="28" bestFit="1" customWidth="1"/>
    <col min="6412" max="6412" width="16.3984375" style="28" bestFit="1" customWidth="1"/>
    <col min="6413" max="6413" width="15.59765625" style="28" bestFit="1" customWidth="1"/>
    <col min="6414" max="6414" width="14.73046875" style="28" bestFit="1" customWidth="1"/>
    <col min="6415" max="6415" width="16" style="28" bestFit="1" customWidth="1"/>
    <col min="6416" max="6416" width="14.73046875" style="28" bestFit="1" customWidth="1"/>
    <col min="6417" max="6417" width="16" style="28" bestFit="1" customWidth="1"/>
    <col min="6418" max="6418" width="12.73046875" style="28" bestFit="1" customWidth="1"/>
    <col min="6419" max="6419" width="14.73046875" style="28" bestFit="1" customWidth="1"/>
    <col min="6420" max="6657" width="9.265625" style="28"/>
    <col min="6658" max="6658" width="6.265625" style="28" customWidth="1"/>
    <col min="6659" max="6659" width="4.3984375" style="28" customWidth="1"/>
    <col min="6660" max="6660" width="38.3984375" style="28" customWidth="1"/>
    <col min="6661" max="6662" width="0" style="28" hidden="1" customWidth="1"/>
    <col min="6663" max="6663" width="28.265625" style="28" customWidth="1"/>
    <col min="6664" max="6664" width="19.265625" style="28" bestFit="1" customWidth="1"/>
    <col min="6665" max="6665" width="18" style="28" bestFit="1" customWidth="1"/>
    <col min="6666" max="6666" width="16.265625" style="28" bestFit="1" customWidth="1"/>
    <col min="6667" max="6667" width="16.59765625" style="28" bestFit="1" customWidth="1"/>
    <col min="6668" max="6668" width="16.3984375" style="28" bestFit="1" customWidth="1"/>
    <col min="6669" max="6669" width="15.59765625" style="28" bestFit="1" customWidth="1"/>
    <col min="6670" max="6670" width="14.73046875" style="28" bestFit="1" customWidth="1"/>
    <col min="6671" max="6671" width="16" style="28" bestFit="1" customWidth="1"/>
    <col min="6672" max="6672" width="14.73046875" style="28" bestFit="1" customWidth="1"/>
    <col min="6673" max="6673" width="16" style="28" bestFit="1" customWidth="1"/>
    <col min="6674" max="6674" width="12.73046875" style="28" bestFit="1" customWidth="1"/>
    <col min="6675" max="6675" width="14.73046875" style="28" bestFit="1" customWidth="1"/>
    <col min="6676" max="6913" width="9.265625" style="28"/>
    <col min="6914" max="6914" width="6.265625" style="28" customWidth="1"/>
    <col min="6915" max="6915" width="4.3984375" style="28" customWidth="1"/>
    <col min="6916" max="6916" width="38.3984375" style="28" customWidth="1"/>
    <col min="6917" max="6918" width="0" style="28" hidden="1" customWidth="1"/>
    <col min="6919" max="6919" width="28.265625" style="28" customWidth="1"/>
    <col min="6920" max="6920" width="19.265625" style="28" bestFit="1" customWidth="1"/>
    <col min="6921" max="6921" width="18" style="28" bestFit="1" customWidth="1"/>
    <col min="6922" max="6922" width="16.265625" style="28" bestFit="1" customWidth="1"/>
    <col min="6923" max="6923" width="16.59765625" style="28" bestFit="1" customWidth="1"/>
    <col min="6924" max="6924" width="16.3984375" style="28" bestFit="1" customWidth="1"/>
    <col min="6925" max="6925" width="15.59765625" style="28" bestFit="1" customWidth="1"/>
    <col min="6926" max="6926" width="14.73046875" style="28" bestFit="1" customWidth="1"/>
    <col min="6927" max="6927" width="16" style="28" bestFit="1" customWidth="1"/>
    <col min="6928" max="6928" width="14.73046875" style="28" bestFit="1" customWidth="1"/>
    <col min="6929" max="6929" width="16" style="28" bestFit="1" customWidth="1"/>
    <col min="6930" max="6930" width="12.73046875" style="28" bestFit="1" customWidth="1"/>
    <col min="6931" max="6931" width="14.73046875" style="28" bestFit="1" customWidth="1"/>
    <col min="6932" max="7169" width="9.265625" style="28"/>
    <col min="7170" max="7170" width="6.265625" style="28" customWidth="1"/>
    <col min="7171" max="7171" width="4.3984375" style="28" customWidth="1"/>
    <col min="7172" max="7172" width="38.3984375" style="28" customWidth="1"/>
    <col min="7173" max="7174" width="0" style="28" hidden="1" customWidth="1"/>
    <col min="7175" max="7175" width="28.265625" style="28" customWidth="1"/>
    <col min="7176" max="7176" width="19.265625" style="28" bestFit="1" customWidth="1"/>
    <col min="7177" max="7177" width="18" style="28" bestFit="1" customWidth="1"/>
    <col min="7178" max="7178" width="16.265625" style="28" bestFit="1" customWidth="1"/>
    <col min="7179" max="7179" width="16.59765625" style="28" bestFit="1" customWidth="1"/>
    <col min="7180" max="7180" width="16.3984375" style="28" bestFit="1" customWidth="1"/>
    <col min="7181" max="7181" width="15.59765625" style="28" bestFit="1" customWidth="1"/>
    <col min="7182" max="7182" width="14.73046875" style="28" bestFit="1" customWidth="1"/>
    <col min="7183" max="7183" width="16" style="28" bestFit="1" customWidth="1"/>
    <col min="7184" max="7184" width="14.73046875" style="28" bestFit="1" customWidth="1"/>
    <col min="7185" max="7185" width="16" style="28" bestFit="1" customWidth="1"/>
    <col min="7186" max="7186" width="12.73046875" style="28" bestFit="1" customWidth="1"/>
    <col min="7187" max="7187" width="14.73046875" style="28" bestFit="1" customWidth="1"/>
    <col min="7188" max="7425" width="9.265625" style="28"/>
    <col min="7426" max="7426" width="6.265625" style="28" customWidth="1"/>
    <col min="7427" max="7427" width="4.3984375" style="28" customWidth="1"/>
    <col min="7428" max="7428" width="38.3984375" style="28" customWidth="1"/>
    <col min="7429" max="7430" width="0" style="28" hidden="1" customWidth="1"/>
    <col min="7431" max="7431" width="28.265625" style="28" customWidth="1"/>
    <col min="7432" max="7432" width="19.265625" style="28" bestFit="1" customWidth="1"/>
    <col min="7433" max="7433" width="18" style="28" bestFit="1" customWidth="1"/>
    <col min="7434" max="7434" width="16.265625" style="28" bestFit="1" customWidth="1"/>
    <col min="7435" max="7435" width="16.59765625" style="28" bestFit="1" customWidth="1"/>
    <col min="7436" max="7436" width="16.3984375" style="28" bestFit="1" customWidth="1"/>
    <col min="7437" max="7437" width="15.59765625" style="28" bestFit="1" customWidth="1"/>
    <col min="7438" max="7438" width="14.73046875" style="28" bestFit="1" customWidth="1"/>
    <col min="7439" max="7439" width="16" style="28" bestFit="1" customWidth="1"/>
    <col min="7440" max="7440" width="14.73046875" style="28" bestFit="1" customWidth="1"/>
    <col min="7441" max="7441" width="16" style="28" bestFit="1" customWidth="1"/>
    <col min="7442" max="7442" width="12.73046875" style="28" bestFit="1" customWidth="1"/>
    <col min="7443" max="7443" width="14.73046875" style="28" bestFit="1" customWidth="1"/>
    <col min="7444" max="7681" width="9.265625" style="28"/>
    <col min="7682" max="7682" width="6.265625" style="28" customWidth="1"/>
    <col min="7683" max="7683" width="4.3984375" style="28" customWidth="1"/>
    <col min="7684" max="7684" width="38.3984375" style="28" customWidth="1"/>
    <col min="7685" max="7686" width="0" style="28" hidden="1" customWidth="1"/>
    <col min="7687" max="7687" width="28.265625" style="28" customWidth="1"/>
    <col min="7688" max="7688" width="19.265625" style="28" bestFit="1" customWidth="1"/>
    <col min="7689" max="7689" width="18" style="28" bestFit="1" customWidth="1"/>
    <col min="7690" max="7690" width="16.265625" style="28" bestFit="1" customWidth="1"/>
    <col min="7691" max="7691" width="16.59765625" style="28" bestFit="1" customWidth="1"/>
    <col min="7692" max="7692" width="16.3984375" style="28" bestFit="1" customWidth="1"/>
    <col min="7693" max="7693" width="15.59765625" style="28" bestFit="1" customWidth="1"/>
    <col min="7694" max="7694" width="14.73046875" style="28" bestFit="1" customWidth="1"/>
    <col min="7695" max="7695" width="16" style="28" bestFit="1" customWidth="1"/>
    <col min="7696" max="7696" width="14.73046875" style="28" bestFit="1" customWidth="1"/>
    <col min="7697" max="7697" width="16" style="28" bestFit="1" customWidth="1"/>
    <col min="7698" max="7698" width="12.73046875" style="28" bestFit="1" customWidth="1"/>
    <col min="7699" max="7699" width="14.73046875" style="28" bestFit="1" customWidth="1"/>
    <col min="7700" max="7937" width="9.265625" style="28"/>
    <col min="7938" max="7938" width="6.265625" style="28" customWidth="1"/>
    <col min="7939" max="7939" width="4.3984375" style="28" customWidth="1"/>
    <col min="7940" max="7940" width="38.3984375" style="28" customWidth="1"/>
    <col min="7941" max="7942" width="0" style="28" hidden="1" customWidth="1"/>
    <col min="7943" max="7943" width="28.265625" style="28" customWidth="1"/>
    <col min="7944" max="7944" width="19.265625" style="28" bestFit="1" customWidth="1"/>
    <col min="7945" max="7945" width="18" style="28" bestFit="1" customWidth="1"/>
    <col min="7946" max="7946" width="16.265625" style="28" bestFit="1" customWidth="1"/>
    <col min="7947" max="7947" width="16.59765625" style="28" bestFit="1" customWidth="1"/>
    <col min="7948" max="7948" width="16.3984375" style="28" bestFit="1" customWidth="1"/>
    <col min="7949" max="7949" width="15.59765625" style="28" bestFit="1" customWidth="1"/>
    <col min="7950" max="7950" width="14.73046875" style="28" bestFit="1" customWidth="1"/>
    <col min="7951" max="7951" width="16" style="28" bestFit="1" customWidth="1"/>
    <col min="7952" max="7952" width="14.73046875" style="28" bestFit="1" customWidth="1"/>
    <col min="7953" max="7953" width="16" style="28" bestFit="1" customWidth="1"/>
    <col min="7954" max="7954" width="12.73046875" style="28" bestFit="1" customWidth="1"/>
    <col min="7955" max="7955" width="14.73046875" style="28" bestFit="1" customWidth="1"/>
    <col min="7956" max="8193" width="9.265625" style="28"/>
    <col min="8194" max="8194" width="6.265625" style="28" customWidth="1"/>
    <col min="8195" max="8195" width="4.3984375" style="28" customWidth="1"/>
    <col min="8196" max="8196" width="38.3984375" style="28" customWidth="1"/>
    <col min="8197" max="8198" width="0" style="28" hidden="1" customWidth="1"/>
    <col min="8199" max="8199" width="28.265625" style="28" customWidth="1"/>
    <col min="8200" max="8200" width="19.265625" style="28" bestFit="1" customWidth="1"/>
    <col min="8201" max="8201" width="18" style="28" bestFit="1" customWidth="1"/>
    <col min="8202" max="8202" width="16.265625" style="28" bestFit="1" customWidth="1"/>
    <col min="8203" max="8203" width="16.59765625" style="28" bestFit="1" customWidth="1"/>
    <col min="8204" max="8204" width="16.3984375" style="28" bestFit="1" customWidth="1"/>
    <col min="8205" max="8205" width="15.59765625" style="28" bestFit="1" customWidth="1"/>
    <col min="8206" max="8206" width="14.73046875" style="28" bestFit="1" customWidth="1"/>
    <col min="8207" max="8207" width="16" style="28" bestFit="1" customWidth="1"/>
    <col min="8208" max="8208" width="14.73046875" style="28" bestFit="1" customWidth="1"/>
    <col min="8209" max="8209" width="16" style="28" bestFit="1" customWidth="1"/>
    <col min="8210" max="8210" width="12.73046875" style="28" bestFit="1" customWidth="1"/>
    <col min="8211" max="8211" width="14.73046875" style="28" bestFit="1" customWidth="1"/>
    <col min="8212" max="8449" width="9.265625" style="28"/>
    <col min="8450" max="8450" width="6.265625" style="28" customWidth="1"/>
    <col min="8451" max="8451" width="4.3984375" style="28" customWidth="1"/>
    <col min="8452" max="8452" width="38.3984375" style="28" customWidth="1"/>
    <col min="8453" max="8454" width="0" style="28" hidden="1" customWidth="1"/>
    <col min="8455" max="8455" width="28.265625" style="28" customWidth="1"/>
    <col min="8456" max="8456" width="19.265625" style="28" bestFit="1" customWidth="1"/>
    <col min="8457" max="8457" width="18" style="28" bestFit="1" customWidth="1"/>
    <col min="8458" max="8458" width="16.265625" style="28" bestFit="1" customWidth="1"/>
    <col min="8459" max="8459" width="16.59765625" style="28" bestFit="1" customWidth="1"/>
    <col min="8460" max="8460" width="16.3984375" style="28" bestFit="1" customWidth="1"/>
    <col min="8461" max="8461" width="15.59765625" style="28" bestFit="1" customWidth="1"/>
    <col min="8462" max="8462" width="14.73046875" style="28" bestFit="1" customWidth="1"/>
    <col min="8463" max="8463" width="16" style="28" bestFit="1" customWidth="1"/>
    <col min="8464" max="8464" width="14.73046875" style="28" bestFit="1" customWidth="1"/>
    <col min="8465" max="8465" width="16" style="28" bestFit="1" customWidth="1"/>
    <col min="8466" max="8466" width="12.73046875" style="28" bestFit="1" customWidth="1"/>
    <col min="8467" max="8467" width="14.73046875" style="28" bestFit="1" customWidth="1"/>
    <col min="8468" max="8705" width="9.265625" style="28"/>
    <col min="8706" max="8706" width="6.265625" style="28" customWidth="1"/>
    <col min="8707" max="8707" width="4.3984375" style="28" customWidth="1"/>
    <col min="8708" max="8708" width="38.3984375" style="28" customWidth="1"/>
    <col min="8709" max="8710" width="0" style="28" hidden="1" customWidth="1"/>
    <col min="8711" max="8711" width="28.265625" style="28" customWidth="1"/>
    <col min="8712" max="8712" width="19.265625" style="28" bestFit="1" customWidth="1"/>
    <col min="8713" max="8713" width="18" style="28" bestFit="1" customWidth="1"/>
    <col min="8714" max="8714" width="16.265625" style="28" bestFit="1" customWidth="1"/>
    <col min="8715" max="8715" width="16.59765625" style="28" bestFit="1" customWidth="1"/>
    <col min="8716" max="8716" width="16.3984375" style="28" bestFit="1" customWidth="1"/>
    <col min="8717" max="8717" width="15.59765625" style="28" bestFit="1" customWidth="1"/>
    <col min="8718" max="8718" width="14.73046875" style="28" bestFit="1" customWidth="1"/>
    <col min="8719" max="8719" width="16" style="28" bestFit="1" customWidth="1"/>
    <col min="8720" max="8720" width="14.73046875" style="28" bestFit="1" customWidth="1"/>
    <col min="8721" max="8721" width="16" style="28" bestFit="1" customWidth="1"/>
    <col min="8722" max="8722" width="12.73046875" style="28" bestFit="1" customWidth="1"/>
    <col min="8723" max="8723" width="14.73046875" style="28" bestFit="1" customWidth="1"/>
    <col min="8724" max="8961" width="9.265625" style="28"/>
    <col min="8962" max="8962" width="6.265625" style="28" customWidth="1"/>
    <col min="8963" max="8963" width="4.3984375" style="28" customWidth="1"/>
    <col min="8964" max="8964" width="38.3984375" style="28" customWidth="1"/>
    <col min="8965" max="8966" width="0" style="28" hidden="1" customWidth="1"/>
    <col min="8967" max="8967" width="28.265625" style="28" customWidth="1"/>
    <col min="8968" max="8968" width="19.265625" style="28" bestFit="1" customWidth="1"/>
    <col min="8969" max="8969" width="18" style="28" bestFit="1" customWidth="1"/>
    <col min="8970" max="8970" width="16.265625" style="28" bestFit="1" customWidth="1"/>
    <col min="8971" max="8971" width="16.59765625" style="28" bestFit="1" customWidth="1"/>
    <col min="8972" max="8972" width="16.3984375" style="28" bestFit="1" customWidth="1"/>
    <col min="8973" max="8973" width="15.59765625" style="28" bestFit="1" customWidth="1"/>
    <col min="8974" max="8974" width="14.73046875" style="28" bestFit="1" customWidth="1"/>
    <col min="8975" max="8975" width="16" style="28" bestFit="1" customWidth="1"/>
    <col min="8976" max="8976" width="14.73046875" style="28" bestFit="1" customWidth="1"/>
    <col min="8977" max="8977" width="16" style="28" bestFit="1" customWidth="1"/>
    <col min="8978" max="8978" width="12.73046875" style="28" bestFit="1" customWidth="1"/>
    <col min="8979" max="8979" width="14.73046875" style="28" bestFit="1" customWidth="1"/>
    <col min="8980" max="9217" width="9.265625" style="28"/>
    <col min="9218" max="9218" width="6.265625" style="28" customWidth="1"/>
    <col min="9219" max="9219" width="4.3984375" style="28" customWidth="1"/>
    <col min="9220" max="9220" width="38.3984375" style="28" customWidth="1"/>
    <col min="9221" max="9222" width="0" style="28" hidden="1" customWidth="1"/>
    <col min="9223" max="9223" width="28.265625" style="28" customWidth="1"/>
    <col min="9224" max="9224" width="19.265625" style="28" bestFit="1" customWidth="1"/>
    <col min="9225" max="9225" width="18" style="28" bestFit="1" customWidth="1"/>
    <col min="9226" max="9226" width="16.265625" style="28" bestFit="1" customWidth="1"/>
    <col min="9227" max="9227" width="16.59765625" style="28" bestFit="1" customWidth="1"/>
    <col min="9228" max="9228" width="16.3984375" style="28" bestFit="1" customWidth="1"/>
    <col min="9229" max="9229" width="15.59765625" style="28" bestFit="1" customWidth="1"/>
    <col min="9230" max="9230" width="14.73046875" style="28" bestFit="1" customWidth="1"/>
    <col min="9231" max="9231" width="16" style="28" bestFit="1" customWidth="1"/>
    <col min="9232" max="9232" width="14.73046875" style="28" bestFit="1" customWidth="1"/>
    <col min="9233" max="9233" width="16" style="28" bestFit="1" customWidth="1"/>
    <col min="9234" max="9234" width="12.73046875" style="28" bestFit="1" customWidth="1"/>
    <col min="9235" max="9235" width="14.73046875" style="28" bestFit="1" customWidth="1"/>
    <col min="9236" max="9473" width="9.265625" style="28"/>
    <col min="9474" max="9474" width="6.265625" style="28" customWidth="1"/>
    <col min="9475" max="9475" width="4.3984375" style="28" customWidth="1"/>
    <col min="9476" max="9476" width="38.3984375" style="28" customWidth="1"/>
    <col min="9477" max="9478" width="0" style="28" hidden="1" customWidth="1"/>
    <col min="9479" max="9479" width="28.265625" style="28" customWidth="1"/>
    <col min="9480" max="9480" width="19.265625" style="28" bestFit="1" customWidth="1"/>
    <col min="9481" max="9481" width="18" style="28" bestFit="1" customWidth="1"/>
    <col min="9482" max="9482" width="16.265625" style="28" bestFit="1" customWidth="1"/>
    <col min="9483" max="9483" width="16.59765625" style="28" bestFit="1" customWidth="1"/>
    <col min="9484" max="9484" width="16.3984375" style="28" bestFit="1" customWidth="1"/>
    <col min="9485" max="9485" width="15.59765625" style="28" bestFit="1" customWidth="1"/>
    <col min="9486" max="9486" width="14.73046875" style="28" bestFit="1" customWidth="1"/>
    <col min="9487" max="9487" width="16" style="28" bestFit="1" customWidth="1"/>
    <col min="9488" max="9488" width="14.73046875" style="28" bestFit="1" customWidth="1"/>
    <col min="9489" max="9489" width="16" style="28" bestFit="1" customWidth="1"/>
    <col min="9490" max="9490" width="12.73046875" style="28" bestFit="1" customWidth="1"/>
    <col min="9491" max="9491" width="14.73046875" style="28" bestFit="1" customWidth="1"/>
    <col min="9492" max="9729" width="9.265625" style="28"/>
    <col min="9730" max="9730" width="6.265625" style="28" customWidth="1"/>
    <col min="9731" max="9731" width="4.3984375" style="28" customWidth="1"/>
    <col min="9732" max="9732" width="38.3984375" style="28" customWidth="1"/>
    <col min="9733" max="9734" width="0" style="28" hidden="1" customWidth="1"/>
    <col min="9735" max="9735" width="28.265625" style="28" customWidth="1"/>
    <col min="9736" max="9736" width="19.265625" style="28" bestFit="1" customWidth="1"/>
    <col min="9737" max="9737" width="18" style="28" bestFit="1" customWidth="1"/>
    <col min="9738" max="9738" width="16.265625" style="28" bestFit="1" customWidth="1"/>
    <col min="9739" max="9739" width="16.59765625" style="28" bestFit="1" customWidth="1"/>
    <col min="9740" max="9740" width="16.3984375" style="28" bestFit="1" customWidth="1"/>
    <col min="9741" max="9741" width="15.59765625" style="28" bestFit="1" customWidth="1"/>
    <col min="9742" max="9742" width="14.73046875" style="28" bestFit="1" customWidth="1"/>
    <col min="9743" max="9743" width="16" style="28" bestFit="1" customWidth="1"/>
    <col min="9744" max="9744" width="14.73046875" style="28" bestFit="1" customWidth="1"/>
    <col min="9745" max="9745" width="16" style="28" bestFit="1" customWidth="1"/>
    <col min="9746" max="9746" width="12.73046875" style="28" bestFit="1" customWidth="1"/>
    <col min="9747" max="9747" width="14.73046875" style="28" bestFit="1" customWidth="1"/>
    <col min="9748" max="9985" width="9.265625" style="28"/>
    <col min="9986" max="9986" width="6.265625" style="28" customWidth="1"/>
    <col min="9987" max="9987" width="4.3984375" style="28" customWidth="1"/>
    <col min="9988" max="9988" width="38.3984375" style="28" customWidth="1"/>
    <col min="9989" max="9990" width="0" style="28" hidden="1" customWidth="1"/>
    <col min="9991" max="9991" width="28.265625" style="28" customWidth="1"/>
    <col min="9992" max="9992" width="19.265625" style="28" bestFit="1" customWidth="1"/>
    <col min="9993" max="9993" width="18" style="28" bestFit="1" customWidth="1"/>
    <col min="9994" max="9994" width="16.265625" style="28" bestFit="1" customWidth="1"/>
    <col min="9995" max="9995" width="16.59765625" style="28" bestFit="1" customWidth="1"/>
    <col min="9996" max="9996" width="16.3984375" style="28" bestFit="1" customWidth="1"/>
    <col min="9997" max="9997" width="15.59765625" style="28" bestFit="1" customWidth="1"/>
    <col min="9998" max="9998" width="14.73046875" style="28" bestFit="1" customWidth="1"/>
    <col min="9999" max="9999" width="16" style="28" bestFit="1" customWidth="1"/>
    <col min="10000" max="10000" width="14.73046875" style="28" bestFit="1" customWidth="1"/>
    <col min="10001" max="10001" width="16" style="28" bestFit="1" customWidth="1"/>
    <col min="10002" max="10002" width="12.73046875" style="28" bestFit="1" customWidth="1"/>
    <col min="10003" max="10003" width="14.73046875" style="28" bestFit="1" customWidth="1"/>
    <col min="10004" max="10241" width="9.265625" style="28"/>
    <col min="10242" max="10242" width="6.265625" style="28" customWidth="1"/>
    <col min="10243" max="10243" width="4.3984375" style="28" customWidth="1"/>
    <col min="10244" max="10244" width="38.3984375" style="28" customWidth="1"/>
    <col min="10245" max="10246" width="0" style="28" hidden="1" customWidth="1"/>
    <col min="10247" max="10247" width="28.265625" style="28" customWidth="1"/>
    <col min="10248" max="10248" width="19.265625" style="28" bestFit="1" customWidth="1"/>
    <col min="10249" max="10249" width="18" style="28" bestFit="1" customWidth="1"/>
    <col min="10250" max="10250" width="16.265625" style="28" bestFit="1" customWidth="1"/>
    <col min="10251" max="10251" width="16.59765625" style="28" bestFit="1" customWidth="1"/>
    <col min="10252" max="10252" width="16.3984375" style="28" bestFit="1" customWidth="1"/>
    <col min="10253" max="10253" width="15.59765625" style="28" bestFit="1" customWidth="1"/>
    <col min="10254" max="10254" width="14.73046875" style="28" bestFit="1" customWidth="1"/>
    <col min="10255" max="10255" width="16" style="28" bestFit="1" customWidth="1"/>
    <col min="10256" max="10256" width="14.73046875" style="28" bestFit="1" customWidth="1"/>
    <col min="10257" max="10257" width="16" style="28" bestFit="1" customWidth="1"/>
    <col min="10258" max="10258" width="12.73046875" style="28" bestFit="1" customWidth="1"/>
    <col min="10259" max="10259" width="14.73046875" style="28" bestFit="1" customWidth="1"/>
    <col min="10260" max="10497" width="9.265625" style="28"/>
    <col min="10498" max="10498" width="6.265625" style="28" customWidth="1"/>
    <col min="10499" max="10499" width="4.3984375" style="28" customWidth="1"/>
    <col min="10500" max="10500" width="38.3984375" style="28" customWidth="1"/>
    <col min="10501" max="10502" width="0" style="28" hidden="1" customWidth="1"/>
    <col min="10503" max="10503" width="28.265625" style="28" customWidth="1"/>
    <col min="10504" max="10504" width="19.265625" style="28" bestFit="1" customWidth="1"/>
    <col min="10505" max="10505" width="18" style="28" bestFit="1" customWidth="1"/>
    <col min="10506" max="10506" width="16.265625" style="28" bestFit="1" customWidth="1"/>
    <col min="10507" max="10507" width="16.59765625" style="28" bestFit="1" customWidth="1"/>
    <col min="10508" max="10508" width="16.3984375" style="28" bestFit="1" customWidth="1"/>
    <col min="10509" max="10509" width="15.59765625" style="28" bestFit="1" customWidth="1"/>
    <col min="10510" max="10510" width="14.73046875" style="28" bestFit="1" customWidth="1"/>
    <col min="10511" max="10511" width="16" style="28" bestFit="1" customWidth="1"/>
    <col min="10512" max="10512" width="14.73046875" style="28" bestFit="1" customWidth="1"/>
    <col min="10513" max="10513" width="16" style="28" bestFit="1" customWidth="1"/>
    <col min="10514" max="10514" width="12.73046875" style="28" bestFit="1" customWidth="1"/>
    <col min="10515" max="10515" width="14.73046875" style="28" bestFit="1" customWidth="1"/>
    <col min="10516" max="10753" width="9.265625" style="28"/>
    <col min="10754" max="10754" width="6.265625" style="28" customWidth="1"/>
    <col min="10755" max="10755" width="4.3984375" style="28" customWidth="1"/>
    <col min="10756" max="10756" width="38.3984375" style="28" customWidth="1"/>
    <col min="10757" max="10758" width="0" style="28" hidden="1" customWidth="1"/>
    <col min="10759" max="10759" width="28.265625" style="28" customWidth="1"/>
    <col min="10760" max="10760" width="19.265625" style="28" bestFit="1" customWidth="1"/>
    <col min="10761" max="10761" width="18" style="28" bestFit="1" customWidth="1"/>
    <col min="10762" max="10762" width="16.265625" style="28" bestFit="1" customWidth="1"/>
    <col min="10763" max="10763" width="16.59765625" style="28" bestFit="1" customWidth="1"/>
    <col min="10764" max="10764" width="16.3984375" style="28" bestFit="1" customWidth="1"/>
    <col min="10765" max="10765" width="15.59765625" style="28" bestFit="1" customWidth="1"/>
    <col min="10766" max="10766" width="14.73046875" style="28" bestFit="1" customWidth="1"/>
    <col min="10767" max="10767" width="16" style="28" bestFit="1" customWidth="1"/>
    <col min="10768" max="10768" width="14.73046875" style="28" bestFit="1" customWidth="1"/>
    <col min="10769" max="10769" width="16" style="28" bestFit="1" customWidth="1"/>
    <col min="10770" max="10770" width="12.73046875" style="28" bestFit="1" customWidth="1"/>
    <col min="10771" max="10771" width="14.73046875" style="28" bestFit="1" customWidth="1"/>
    <col min="10772" max="11009" width="9.265625" style="28"/>
    <col min="11010" max="11010" width="6.265625" style="28" customWidth="1"/>
    <col min="11011" max="11011" width="4.3984375" style="28" customWidth="1"/>
    <col min="11012" max="11012" width="38.3984375" style="28" customWidth="1"/>
    <col min="11013" max="11014" width="0" style="28" hidden="1" customWidth="1"/>
    <col min="11015" max="11015" width="28.265625" style="28" customWidth="1"/>
    <col min="11016" max="11016" width="19.265625" style="28" bestFit="1" customWidth="1"/>
    <col min="11017" max="11017" width="18" style="28" bestFit="1" customWidth="1"/>
    <col min="11018" max="11018" width="16.265625" style="28" bestFit="1" customWidth="1"/>
    <col min="11019" max="11019" width="16.59765625" style="28" bestFit="1" customWidth="1"/>
    <col min="11020" max="11020" width="16.3984375" style="28" bestFit="1" customWidth="1"/>
    <col min="11021" max="11021" width="15.59765625" style="28" bestFit="1" customWidth="1"/>
    <col min="11022" max="11022" width="14.73046875" style="28" bestFit="1" customWidth="1"/>
    <col min="11023" max="11023" width="16" style="28" bestFit="1" customWidth="1"/>
    <col min="11024" max="11024" width="14.73046875" style="28" bestFit="1" customWidth="1"/>
    <col min="11025" max="11025" width="16" style="28" bestFit="1" customWidth="1"/>
    <col min="11026" max="11026" width="12.73046875" style="28" bestFit="1" customWidth="1"/>
    <col min="11027" max="11027" width="14.73046875" style="28" bestFit="1" customWidth="1"/>
    <col min="11028" max="11265" width="9.265625" style="28"/>
    <col min="11266" max="11266" width="6.265625" style="28" customWidth="1"/>
    <col min="11267" max="11267" width="4.3984375" style="28" customWidth="1"/>
    <col min="11268" max="11268" width="38.3984375" style="28" customWidth="1"/>
    <col min="11269" max="11270" width="0" style="28" hidden="1" customWidth="1"/>
    <col min="11271" max="11271" width="28.265625" style="28" customWidth="1"/>
    <col min="11272" max="11272" width="19.265625" style="28" bestFit="1" customWidth="1"/>
    <col min="11273" max="11273" width="18" style="28" bestFit="1" customWidth="1"/>
    <col min="11274" max="11274" width="16.265625" style="28" bestFit="1" customWidth="1"/>
    <col min="11275" max="11275" width="16.59765625" style="28" bestFit="1" customWidth="1"/>
    <col min="11276" max="11276" width="16.3984375" style="28" bestFit="1" customWidth="1"/>
    <col min="11277" max="11277" width="15.59765625" style="28" bestFit="1" customWidth="1"/>
    <col min="11278" max="11278" width="14.73046875" style="28" bestFit="1" customWidth="1"/>
    <col min="11279" max="11279" width="16" style="28" bestFit="1" customWidth="1"/>
    <col min="11280" max="11280" width="14.73046875" style="28" bestFit="1" customWidth="1"/>
    <col min="11281" max="11281" width="16" style="28" bestFit="1" customWidth="1"/>
    <col min="11282" max="11282" width="12.73046875" style="28" bestFit="1" customWidth="1"/>
    <col min="11283" max="11283" width="14.73046875" style="28" bestFit="1" customWidth="1"/>
    <col min="11284" max="11521" width="9.265625" style="28"/>
    <col min="11522" max="11522" width="6.265625" style="28" customWidth="1"/>
    <col min="11523" max="11523" width="4.3984375" style="28" customWidth="1"/>
    <col min="11524" max="11524" width="38.3984375" style="28" customWidth="1"/>
    <col min="11525" max="11526" width="0" style="28" hidden="1" customWidth="1"/>
    <col min="11527" max="11527" width="28.265625" style="28" customWidth="1"/>
    <col min="11528" max="11528" width="19.265625" style="28" bestFit="1" customWidth="1"/>
    <col min="11529" max="11529" width="18" style="28" bestFit="1" customWidth="1"/>
    <col min="11530" max="11530" width="16.265625" style="28" bestFit="1" customWidth="1"/>
    <col min="11531" max="11531" width="16.59765625" style="28" bestFit="1" customWidth="1"/>
    <col min="11532" max="11532" width="16.3984375" style="28" bestFit="1" customWidth="1"/>
    <col min="11533" max="11533" width="15.59765625" style="28" bestFit="1" customWidth="1"/>
    <col min="11534" max="11534" width="14.73046875" style="28" bestFit="1" customWidth="1"/>
    <col min="11535" max="11535" width="16" style="28" bestFit="1" customWidth="1"/>
    <col min="11536" max="11536" width="14.73046875" style="28" bestFit="1" customWidth="1"/>
    <col min="11537" max="11537" width="16" style="28" bestFit="1" customWidth="1"/>
    <col min="11538" max="11538" width="12.73046875" style="28" bestFit="1" customWidth="1"/>
    <col min="11539" max="11539" width="14.73046875" style="28" bestFit="1" customWidth="1"/>
    <col min="11540" max="11777" width="9.265625" style="28"/>
    <col min="11778" max="11778" width="6.265625" style="28" customWidth="1"/>
    <col min="11779" max="11779" width="4.3984375" style="28" customWidth="1"/>
    <col min="11780" max="11780" width="38.3984375" style="28" customWidth="1"/>
    <col min="11781" max="11782" width="0" style="28" hidden="1" customWidth="1"/>
    <col min="11783" max="11783" width="28.265625" style="28" customWidth="1"/>
    <col min="11784" max="11784" width="19.265625" style="28" bestFit="1" customWidth="1"/>
    <col min="11785" max="11785" width="18" style="28" bestFit="1" customWidth="1"/>
    <col min="11786" max="11786" width="16.265625" style="28" bestFit="1" customWidth="1"/>
    <col min="11787" max="11787" width="16.59765625" style="28" bestFit="1" customWidth="1"/>
    <col min="11788" max="11788" width="16.3984375" style="28" bestFit="1" customWidth="1"/>
    <col min="11789" max="11789" width="15.59765625" style="28" bestFit="1" customWidth="1"/>
    <col min="11790" max="11790" width="14.73046875" style="28" bestFit="1" customWidth="1"/>
    <col min="11791" max="11791" width="16" style="28" bestFit="1" customWidth="1"/>
    <col min="11792" max="11792" width="14.73046875" style="28" bestFit="1" customWidth="1"/>
    <col min="11793" max="11793" width="16" style="28" bestFit="1" customWidth="1"/>
    <col min="11794" max="11794" width="12.73046875" style="28" bestFit="1" customWidth="1"/>
    <col min="11795" max="11795" width="14.73046875" style="28" bestFit="1" customWidth="1"/>
    <col min="11796" max="12033" width="9.265625" style="28"/>
    <col min="12034" max="12034" width="6.265625" style="28" customWidth="1"/>
    <col min="12035" max="12035" width="4.3984375" style="28" customWidth="1"/>
    <col min="12036" max="12036" width="38.3984375" style="28" customWidth="1"/>
    <col min="12037" max="12038" width="0" style="28" hidden="1" customWidth="1"/>
    <col min="12039" max="12039" width="28.265625" style="28" customWidth="1"/>
    <col min="12040" max="12040" width="19.265625" style="28" bestFit="1" customWidth="1"/>
    <col min="12041" max="12041" width="18" style="28" bestFit="1" customWidth="1"/>
    <col min="12042" max="12042" width="16.265625" style="28" bestFit="1" customWidth="1"/>
    <col min="12043" max="12043" width="16.59765625" style="28" bestFit="1" customWidth="1"/>
    <col min="12044" max="12044" width="16.3984375" style="28" bestFit="1" customWidth="1"/>
    <col min="12045" max="12045" width="15.59765625" style="28" bestFit="1" customWidth="1"/>
    <col min="12046" max="12046" width="14.73046875" style="28" bestFit="1" customWidth="1"/>
    <col min="12047" max="12047" width="16" style="28" bestFit="1" customWidth="1"/>
    <col min="12048" max="12048" width="14.73046875" style="28" bestFit="1" customWidth="1"/>
    <col min="12049" max="12049" width="16" style="28" bestFit="1" customWidth="1"/>
    <col min="12050" max="12050" width="12.73046875" style="28" bestFit="1" customWidth="1"/>
    <col min="12051" max="12051" width="14.73046875" style="28" bestFit="1" customWidth="1"/>
    <col min="12052" max="12289" width="9.265625" style="28"/>
    <col min="12290" max="12290" width="6.265625" style="28" customWidth="1"/>
    <col min="12291" max="12291" width="4.3984375" style="28" customWidth="1"/>
    <col min="12292" max="12292" width="38.3984375" style="28" customWidth="1"/>
    <col min="12293" max="12294" width="0" style="28" hidden="1" customWidth="1"/>
    <col min="12295" max="12295" width="28.265625" style="28" customWidth="1"/>
    <col min="12296" max="12296" width="19.265625" style="28" bestFit="1" customWidth="1"/>
    <col min="12297" max="12297" width="18" style="28" bestFit="1" customWidth="1"/>
    <col min="12298" max="12298" width="16.265625" style="28" bestFit="1" customWidth="1"/>
    <col min="12299" max="12299" width="16.59765625" style="28" bestFit="1" customWidth="1"/>
    <col min="12300" max="12300" width="16.3984375" style="28" bestFit="1" customWidth="1"/>
    <col min="12301" max="12301" width="15.59765625" style="28" bestFit="1" customWidth="1"/>
    <col min="12302" max="12302" width="14.73046875" style="28" bestFit="1" customWidth="1"/>
    <col min="12303" max="12303" width="16" style="28" bestFit="1" customWidth="1"/>
    <col min="12304" max="12304" width="14.73046875" style="28" bestFit="1" customWidth="1"/>
    <col min="12305" max="12305" width="16" style="28" bestFit="1" customWidth="1"/>
    <col min="12306" max="12306" width="12.73046875" style="28" bestFit="1" customWidth="1"/>
    <col min="12307" max="12307" width="14.73046875" style="28" bestFit="1" customWidth="1"/>
    <col min="12308" max="12545" width="9.265625" style="28"/>
    <col min="12546" max="12546" width="6.265625" style="28" customWidth="1"/>
    <col min="12547" max="12547" width="4.3984375" style="28" customWidth="1"/>
    <col min="12548" max="12548" width="38.3984375" style="28" customWidth="1"/>
    <col min="12549" max="12550" width="0" style="28" hidden="1" customWidth="1"/>
    <col min="12551" max="12551" width="28.265625" style="28" customWidth="1"/>
    <col min="12552" max="12552" width="19.265625" style="28" bestFit="1" customWidth="1"/>
    <col min="12553" max="12553" width="18" style="28" bestFit="1" customWidth="1"/>
    <col min="12554" max="12554" width="16.265625" style="28" bestFit="1" customWidth="1"/>
    <col min="12555" max="12555" width="16.59765625" style="28" bestFit="1" customWidth="1"/>
    <col min="12556" max="12556" width="16.3984375" style="28" bestFit="1" customWidth="1"/>
    <col min="12557" max="12557" width="15.59765625" style="28" bestFit="1" customWidth="1"/>
    <col min="12558" max="12558" width="14.73046875" style="28" bestFit="1" customWidth="1"/>
    <col min="12559" max="12559" width="16" style="28" bestFit="1" customWidth="1"/>
    <col min="12560" max="12560" width="14.73046875" style="28" bestFit="1" customWidth="1"/>
    <col min="12561" max="12561" width="16" style="28" bestFit="1" customWidth="1"/>
    <col min="12562" max="12562" width="12.73046875" style="28" bestFit="1" customWidth="1"/>
    <col min="12563" max="12563" width="14.73046875" style="28" bestFit="1" customWidth="1"/>
    <col min="12564" max="12801" width="9.265625" style="28"/>
    <col min="12802" max="12802" width="6.265625" style="28" customWidth="1"/>
    <col min="12803" max="12803" width="4.3984375" style="28" customWidth="1"/>
    <col min="12804" max="12804" width="38.3984375" style="28" customWidth="1"/>
    <col min="12805" max="12806" width="0" style="28" hidden="1" customWidth="1"/>
    <col min="12807" max="12807" width="28.265625" style="28" customWidth="1"/>
    <col min="12808" max="12808" width="19.265625" style="28" bestFit="1" customWidth="1"/>
    <col min="12809" max="12809" width="18" style="28" bestFit="1" customWidth="1"/>
    <col min="12810" max="12810" width="16.265625" style="28" bestFit="1" customWidth="1"/>
    <col min="12811" max="12811" width="16.59765625" style="28" bestFit="1" customWidth="1"/>
    <col min="12812" max="12812" width="16.3984375" style="28" bestFit="1" customWidth="1"/>
    <col min="12813" max="12813" width="15.59765625" style="28" bestFit="1" customWidth="1"/>
    <col min="12814" max="12814" width="14.73046875" style="28" bestFit="1" customWidth="1"/>
    <col min="12815" max="12815" width="16" style="28" bestFit="1" customWidth="1"/>
    <col min="12816" max="12816" width="14.73046875" style="28" bestFit="1" customWidth="1"/>
    <col min="12817" max="12817" width="16" style="28" bestFit="1" customWidth="1"/>
    <col min="12818" max="12818" width="12.73046875" style="28" bestFit="1" customWidth="1"/>
    <col min="12819" max="12819" width="14.73046875" style="28" bestFit="1" customWidth="1"/>
    <col min="12820" max="13057" width="9.265625" style="28"/>
    <col min="13058" max="13058" width="6.265625" style="28" customWidth="1"/>
    <col min="13059" max="13059" width="4.3984375" style="28" customWidth="1"/>
    <col min="13060" max="13060" width="38.3984375" style="28" customWidth="1"/>
    <col min="13061" max="13062" width="0" style="28" hidden="1" customWidth="1"/>
    <col min="13063" max="13063" width="28.265625" style="28" customWidth="1"/>
    <col min="13064" max="13064" width="19.265625" style="28" bestFit="1" customWidth="1"/>
    <col min="13065" max="13065" width="18" style="28" bestFit="1" customWidth="1"/>
    <col min="13066" max="13066" width="16.265625" style="28" bestFit="1" customWidth="1"/>
    <col min="13067" max="13067" width="16.59765625" style="28" bestFit="1" customWidth="1"/>
    <col min="13068" max="13068" width="16.3984375" style="28" bestFit="1" customWidth="1"/>
    <col min="13069" max="13069" width="15.59765625" style="28" bestFit="1" customWidth="1"/>
    <col min="13070" max="13070" width="14.73046875" style="28" bestFit="1" customWidth="1"/>
    <col min="13071" max="13071" width="16" style="28" bestFit="1" customWidth="1"/>
    <col min="13072" max="13072" width="14.73046875" style="28" bestFit="1" customWidth="1"/>
    <col min="13073" max="13073" width="16" style="28" bestFit="1" customWidth="1"/>
    <col min="13074" max="13074" width="12.73046875" style="28" bestFit="1" customWidth="1"/>
    <col min="13075" max="13075" width="14.73046875" style="28" bestFit="1" customWidth="1"/>
    <col min="13076" max="13313" width="9.265625" style="28"/>
    <col min="13314" max="13314" width="6.265625" style="28" customWidth="1"/>
    <col min="13315" max="13315" width="4.3984375" style="28" customWidth="1"/>
    <col min="13316" max="13316" width="38.3984375" style="28" customWidth="1"/>
    <col min="13317" max="13318" width="0" style="28" hidden="1" customWidth="1"/>
    <col min="13319" max="13319" width="28.265625" style="28" customWidth="1"/>
    <col min="13320" max="13320" width="19.265625" style="28" bestFit="1" customWidth="1"/>
    <col min="13321" max="13321" width="18" style="28" bestFit="1" customWidth="1"/>
    <col min="13322" max="13322" width="16.265625" style="28" bestFit="1" customWidth="1"/>
    <col min="13323" max="13323" width="16.59765625" style="28" bestFit="1" customWidth="1"/>
    <col min="13324" max="13324" width="16.3984375" style="28" bestFit="1" customWidth="1"/>
    <col min="13325" max="13325" width="15.59765625" style="28" bestFit="1" customWidth="1"/>
    <col min="13326" max="13326" width="14.73046875" style="28" bestFit="1" customWidth="1"/>
    <col min="13327" max="13327" width="16" style="28" bestFit="1" customWidth="1"/>
    <col min="13328" max="13328" width="14.73046875" style="28" bestFit="1" customWidth="1"/>
    <col min="13329" max="13329" width="16" style="28" bestFit="1" customWidth="1"/>
    <col min="13330" max="13330" width="12.73046875" style="28" bestFit="1" customWidth="1"/>
    <col min="13331" max="13331" width="14.73046875" style="28" bestFit="1" customWidth="1"/>
    <col min="13332" max="13569" width="9.265625" style="28"/>
    <col min="13570" max="13570" width="6.265625" style="28" customWidth="1"/>
    <col min="13571" max="13571" width="4.3984375" style="28" customWidth="1"/>
    <col min="13572" max="13572" width="38.3984375" style="28" customWidth="1"/>
    <col min="13573" max="13574" width="0" style="28" hidden="1" customWidth="1"/>
    <col min="13575" max="13575" width="28.265625" style="28" customWidth="1"/>
    <col min="13576" max="13576" width="19.265625" style="28" bestFit="1" customWidth="1"/>
    <col min="13577" max="13577" width="18" style="28" bestFit="1" customWidth="1"/>
    <col min="13578" max="13578" width="16.265625" style="28" bestFit="1" customWidth="1"/>
    <col min="13579" max="13579" width="16.59765625" style="28" bestFit="1" customWidth="1"/>
    <col min="13580" max="13580" width="16.3984375" style="28" bestFit="1" customWidth="1"/>
    <col min="13581" max="13581" width="15.59765625" style="28" bestFit="1" customWidth="1"/>
    <col min="13582" max="13582" width="14.73046875" style="28" bestFit="1" customWidth="1"/>
    <col min="13583" max="13583" width="16" style="28" bestFit="1" customWidth="1"/>
    <col min="13584" max="13584" width="14.73046875" style="28" bestFit="1" customWidth="1"/>
    <col min="13585" max="13585" width="16" style="28" bestFit="1" customWidth="1"/>
    <col min="13586" max="13586" width="12.73046875" style="28" bestFit="1" customWidth="1"/>
    <col min="13587" max="13587" width="14.73046875" style="28" bestFit="1" customWidth="1"/>
    <col min="13588" max="13825" width="9.265625" style="28"/>
    <col min="13826" max="13826" width="6.265625" style="28" customWidth="1"/>
    <col min="13827" max="13827" width="4.3984375" style="28" customWidth="1"/>
    <col min="13828" max="13828" width="38.3984375" style="28" customWidth="1"/>
    <col min="13829" max="13830" width="0" style="28" hidden="1" customWidth="1"/>
    <col min="13831" max="13831" width="28.265625" style="28" customWidth="1"/>
    <col min="13832" max="13832" width="19.265625" style="28" bestFit="1" customWidth="1"/>
    <col min="13833" max="13833" width="18" style="28" bestFit="1" customWidth="1"/>
    <col min="13834" max="13834" width="16.265625" style="28" bestFit="1" customWidth="1"/>
    <col min="13835" max="13835" width="16.59765625" style="28" bestFit="1" customWidth="1"/>
    <col min="13836" max="13836" width="16.3984375" style="28" bestFit="1" customWidth="1"/>
    <col min="13837" max="13837" width="15.59765625" style="28" bestFit="1" customWidth="1"/>
    <col min="13838" max="13838" width="14.73046875" style="28" bestFit="1" customWidth="1"/>
    <col min="13839" max="13839" width="16" style="28" bestFit="1" customWidth="1"/>
    <col min="13840" max="13840" width="14.73046875" style="28" bestFit="1" customWidth="1"/>
    <col min="13841" max="13841" width="16" style="28" bestFit="1" customWidth="1"/>
    <col min="13842" max="13842" width="12.73046875" style="28" bestFit="1" customWidth="1"/>
    <col min="13843" max="13843" width="14.73046875" style="28" bestFit="1" customWidth="1"/>
    <col min="13844" max="14081" width="9.265625" style="28"/>
    <col min="14082" max="14082" width="6.265625" style="28" customWidth="1"/>
    <col min="14083" max="14083" width="4.3984375" style="28" customWidth="1"/>
    <col min="14084" max="14084" width="38.3984375" style="28" customWidth="1"/>
    <col min="14085" max="14086" width="0" style="28" hidden="1" customWidth="1"/>
    <col min="14087" max="14087" width="28.265625" style="28" customWidth="1"/>
    <col min="14088" max="14088" width="19.265625" style="28" bestFit="1" customWidth="1"/>
    <col min="14089" max="14089" width="18" style="28" bestFit="1" customWidth="1"/>
    <col min="14090" max="14090" width="16.265625" style="28" bestFit="1" customWidth="1"/>
    <col min="14091" max="14091" width="16.59765625" style="28" bestFit="1" customWidth="1"/>
    <col min="14092" max="14092" width="16.3984375" style="28" bestFit="1" customWidth="1"/>
    <col min="14093" max="14093" width="15.59765625" style="28" bestFit="1" customWidth="1"/>
    <col min="14094" max="14094" width="14.73046875" style="28" bestFit="1" customWidth="1"/>
    <col min="14095" max="14095" width="16" style="28" bestFit="1" customWidth="1"/>
    <col min="14096" max="14096" width="14.73046875" style="28" bestFit="1" customWidth="1"/>
    <col min="14097" max="14097" width="16" style="28" bestFit="1" customWidth="1"/>
    <col min="14098" max="14098" width="12.73046875" style="28" bestFit="1" customWidth="1"/>
    <col min="14099" max="14099" width="14.73046875" style="28" bestFit="1" customWidth="1"/>
    <col min="14100" max="14337" width="9.265625" style="28"/>
    <col min="14338" max="14338" width="6.265625" style="28" customWidth="1"/>
    <col min="14339" max="14339" width="4.3984375" style="28" customWidth="1"/>
    <col min="14340" max="14340" width="38.3984375" style="28" customWidth="1"/>
    <col min="14341" max="14342" width="0" style="28" hidden="1" customWidth="1"/>
    <col min="14343" max="14343" width="28.265625" style="28" customWidth="1"/>
    <col min="14344" max="14344" width="19.265625" style="28" bestFit="1" customWidth="1"/>
    <col min="14345" max="14345" width="18" style="28" bestFit="1" customWidth="1"/>
    <col min="14346" max="14346" width="16.265625" style="28" bestFit="1" customWidth="1"/>
    <col min="14347" max="14347" width="16.59765625" style="28" bestFit="1" customWidth="1"/>
    <col min="14348" max="14348" width="16.3984375" style="28" bestFit="1" customWidth="1"/>
    <col min="14349" max="14349" width="15.59765625" style="28" bestFit="1" customWidth="1"/>
    <col min="14350" max="14350" width="14.73046875" style="28" bestFit="1" customWidth="1"/>
    <col min="14351" max="14351" width="16" style="28" bestFit="1" customWidth="1"/>
    <col min="14352" max="14352" width="14.73046875" style="28" bestFit="1" customWidth="1"/>
    <col min="14353" max="14353" width="16" style="28" bestFit="1" customWidth="1"/>
    <col min="14354" max="14354" width="12.73046875" style="28" bestFit="1" customWidth="1"/>
    <col min="14355" max="14355" width="14.73046875" style="28" bestFit="1" customWidth="1"/>
    <col min="14356" max="14593" width="9.265625" style="28"/>
    <col min="14594" max="14594" width="6.265625" style="28" customWidth="1"/>
    <col min="14595" max="14595" width="4.3984375" style="28" customWidth="1"/>
    <col min="14596" max="14596" width="38.3984375" style="28" customWidth="1"/>
    <col min="14597" max="14598" width="0" style="28" hidden="1" customWidth="1"/>
    <col min="14599" max="14599" width="28.265625" style="28" customWidth="1"/>
    <col min="14600" max="14600" width="19.265625" style="28" bestFit="1" customWidth="1"/>
    <col min="14601" max="14601" width="18" style="28" bestFit="1" customWidth="1"/>
    <col min="14602" max="14602" width="16.265625" style="28" bestFit="1" customWidth="1"/>
    <col min="14603" max="14603" width="16.59765625" style="28" bestFit="1" customWidth="1"/>
    <col min="14604" max="14604" width="16.3984375" style="28" bestFit="1" customWidth="1"/>
    <col min="14605" max="14605" width="15.59765625" style="28" bestFit="1" customWidth="1"/>
    <col min="14606" max="14606" width="14.73046875" style="28" bestFit="1" customWidth="1"/>
    <col min="14607" max="14607" width="16" style="28" bestFit="1" customWidth="1"/>
    <col min="14608" max="14608" width="14.73046875" style="28" bestFit="1" customWidth="1"/>
    <col min="14609" max="14609" width="16" style="28" bestFit="1" customWidth="1"/>
    <col min="14610" max="14610" width="12.73046875" style="28" bestFit="1" customWidth="1"/>
    <col min="14611" max="14611" width="14.73046875" style="28" bestFit="1" customWidth="1"/>
    <col min="14612" max="14849" width="9.265625" style="28"/>
    <col min="14850" max="14850" width="6.265625" style="28" customWidth="1"/>
    <col min="14851" max="14851" width="4.3984375" style="28" customWidth="1"/>
    <col min="14852" max="14852" width="38.3984375" style="28" customWidth="1"/>
    <col min="14853" max="14854" width="0" style="28" hidden="1" customWidth="1"/>
    <col min="14855" max="14855" width="28.265625" style="28" customWidth="1"/>
    <col min="14856" max="14856" width="19.265625" style="28" bestFit="1" customWidth="1"/>
    <col min="14857" max="14857" width="18" style="28" bestFit="1" customWidth="1"/>
    <col min="14858" max="14858" width="16.265625" style="28" bestFit="1" customWidth="1"/>
    <col min="14859" max="14859" width="16.59765625" style="28" bestFit="1" customWidth="1"/>
    <col min="14860" max="14860" width="16.3984375" style="28" bestFit="1" customWidth="1"/>
    <col min="14861" max="14861" width="15.59765625" style="28" bestFit="1" customWidth="1"/>
    <col min="14862" max="14862" width="14.73046875" style="28" bestFit="1" customWidth="1"/>
    <col min="14863" max="14863" width="16" style="28" bestFit="1" customWidth="1"/>
    <col min="14864" max="14864" width="14.73046875" style="28" bestFit="1" customWidth="1"/>
    <col min="14865" max="14865" width="16" style="28" bestFit="1" customWidth="1"/>
    <col min="14866" max="14866" width="12.73046875" style="28" bestFit="1" customWidth="1"/>
    <col min="14867" max="14867" width="14.73046875" style="28" bestFit="1" customWidth="1"/>
    <col min="14868" max="15105" width="9.265625" style="28"/>
    <col min="15106" max="15106" width="6.265625" style="28" customWidth="1"/>
    <col min="15107" max="15107" width="4.3984375" style="28" customWidth="1"/>
    <col min="15108" max="15108" width="38.3984375" style="28" customWidth="1"/>
    <col min="15109" max="15110" width="0" style="28" hidden="1" customWidth="1"/>
    <col min="15111" max="15111" width="28.265625" style="28" customWidth="1"/>
    <col min="15112" max="15112" width="19.265625" style="28" bestFit="1" customWidth="1"/>
    <col min="15113" max="15113" width="18" style="28" bestFit="1" customWidth="1"/>
    <col min="15114" max="15114" width="16.265625" style="28" bestFit="1" customWidth="1"/>
    <col min="15115" max="15115" width="16.59765625" style="28" bestFit="1" customWidth="1"/>
    <col min="15116" max="15116" width="16.3984375" style="28" bestFit="1" customWidth="1"/>
    <col min="15117" max="15117" width="15.59765625" style="28" bestFit="1" customWidth="1"/>
    <col min="15118" max="15118" width="14.73046875" style="28" bestFit="1" customWidth="1"/>
    <col min="15119" max="15119" width="16" style="28" bestFit="1" customWidth="1"/>
    <col min="15120" max="15120" width="14.73046875" style="28" bestFit="1" customWidth="1"/>
    <col min="15121" max="15121" width="16" style="28" bestFit="1" customWidth="1"/>
    <col min="15122" max="15122" width="12.73046875" style="28" bestFit="1" customWidth="1"/>
    <col min="15123" max="15123" width="14.73046875" style="28" bestFit="1" customWidth="1"/>
    <col min="15124" max="15361" width="9.265625" style="28"/>
    <col min="15362" max="15362" width="6.265625" style="28" customWidth="1"/>
    <col min="15363" max="15363" width="4.3984375" style="28" customWidth="1"/>
    <col min="15364" max="15364" width="38.3984375" style="28" customWidth="1"/>
    <col min="15365" max="15366" width="0" style="28" hidden="1" customWidth="1"/>
    <col min="15367" max="15367" width="28.265625" style="28" customWidth="1"/>
    <col min="15368" max="15368" width="19.265625" style="28" bestFit="1" customWidth="1"/>
    <col min="15369" max="15369" width="18" style="28" bestFit="1" customWidth="1"/>
    <col min="15370" max="15370" width="16.265625" style="28" bestFit="1" customWidth="1"/>
    <col min="15371" max="15371" width="16.59765625" style="28" bestFit="1" customWidth="1"/>
    <col min="15372" max="15372" width="16.3984375" style="28" bestFit="1" customWidth="1"/>
    <col min="15373" max="15373" width="15.59765625" style="28" bestFit="1" customWidth="1"/>
    <col min="15374" max="15374" width="14.73046875" style="28" bestFit="1" customWidth="1"/>
    <col min="15375" max="15375" width="16" style="28" bestFit="1" customWidth="1"/>
    <col min="15376" max="15376" width="14.73046875" style="28" bestFit="1" customWidth="1"/>
    <col min="15377" max="15377" width="16" style="28" bestFit="1" customWidth="1"/>
    <col min="15378" max="15378" width="12.73046875" style="28" bestFit="1" customWidth="1"/>
    <col min="15379" max="15379" width="14.73046875" style="28" bestFit="1" customWidth="1"/>
    <col min="15380" max="15617" width="9.265625" style="28"/>
    <col min="15618" max="15618" width="6.265625" style="28" customWidth="1"/>
    <col min="15619" max="15619" width="4.3984375" style="28" customWidth="1"/>
    <col min="15620" max="15620" width="38.3984375" style="28" customWidth="1"/>
    <col min="15621" max="15622" width="0" style="28" hidden="1" customWidth="1"/>
    <col min="15623" max="15623" width="28.265625" style="28" customWidth="1"/>
    <col min="15624" max="15624" width="19.265625" style="28" bestFit="1" customWidth="1"/>
    <col min="15625" max="15625" width="18" style="28" bestFit="1" customWidth="1"/>
    <col min="15626" max="15626" width="16.265625" style="28" bestFit="1" customWidth="1"/>
    <col min="15627" max="15627" width="16.59765625" style="28" bestFit="1" customWidth="1"/>
    <col min="15628" max="15628" width="16.3984375" style="28" bestFit="1" customWidth="1"/>
    <col min="15629" max="15629" width="15.59765625" style="28" bestFit="1" customWidth="1"/>
    <col min="15630" max="15630" width="14.73046875" style="28" bestFit="1" customWidth="1"/>
    <col min="15631" max="15631" width="16" style="28" bestFit="1" customWidth="1"/>
    <col min="15632" max="15632" width="14.73046875" style="28" bestFit="1" customWidth="1"/>
    <col min="15633" max="15633" width="16" style="28" bestFit="1" customWidth="1"/>
    <col min="15634" max="15634" width="12.73046875" style="28" bestFit="1" customWidth="1"/>
    <col min="15635" max="15635" width="14.73046875" style="28" bestFit="1" customWidth="1"/>
    <col min="15636" max="15873" width="9.265625" style="28"/>
    <col min="15874" max="15874" width="6.265625" style="28" customWidth="1"/>
    <col min="15875" max="15875" width="4.3984375" style="28" customWidth="1"/>
    <col min="15876" max="15876" width="38.3984375" style="28" customWidth="1"/>
    <col min="15877" max="15878" width="0" style="28" hidden="1" customWidth="1"/>
    <col min="15879" max="15879" width="28.265625" style="28" customWidth="1"/>
    <col min="15880" max="15880" width="19.265625" style="28" bestFit="1" customWidth="1"/>
    <col min="15881" max="15881" width="18" style="28" bestFit="1" customWidth="1"/>
    <col min="15882" max="15882" width="16.265625" style="28" bestFit="1" customWidth="1"/>
    <col min="15883" max="15883" width="16.59765625" style="28" bestFit="1" customWidth="1"/>
    <col min="15884" max="15884" width="16.3984375" style="28" bestFit="1" customWidth="1"/>
    <col min="15885" max="15885" width="15.59765625" style="28" bestFit="1" customWidth="1"/>
    <col min="15886" max="15886" width="14.73046875" style="28" bestFit="1" customWidth="1"/>
    <col min="15887" max="15887" width="16" style="28" bestFit="1" customWidth="1"/>
    <col min="15888" max="15888" width="14.73046875" style="28" bestFit="1" customWidth="1"/>
    <col min="15889" max="15889" width="16" style="28" bestFit="1" customWidth="1"/>
    <col min="15890" max="15890" width="12.73046875" style="28" bestFit="1" customWidth="1"/>
    <col min="15891" max="15891" width="14.73046875" style="28" bestFit="1" customWidth="1"/>
    <col min="15892" max="16129" width="9.265625" style="28"/>
    <col min="16130" max="16130" width="6.265625" style="28" customWidth="1"/>
    <col min="16131" max="16131" width="4.3984375" style="28" customWidth="1"/>
    <col min="16132" max="16132" width="38.3984375" style="28" customWidth="1"/>
    <col min="16133" max="16134" width="0" style="28" hidden="1" customWidth="1"/>
    <col min="16135" max="16135" width="28.265625" style="28" customWidth="1"/>
    <col min="16136" max="16136" width="19.265625" style="28" bestFit="1" customWidth="1"/>
    <col min="16137" max="16137" width="18" style="28" bestFit="1" customWidth="1"/>
    <col min="16138" max="16138" width="16.265625" style="28" bestFit="1" customWidth="1"/>
    <col min="16139" max="16139" width="16.59765625" style="28" bestFit="1" customWidth="1"/>
    <col min="16140" max="16140" width="16.3984375" style="28" bestFit="1" customWidth="1"/>
    <col min="16141" max="16141" width="15.59765625" style="28" bestFit="1" customWidth="1"/>
    <col min="16142" max="16142" width="14.73046875" style="28" bestFit="1" customWidth="1"/>
    <col min="16143" max="16143" width="16" style="28" bestFit="1" customWidth="1"/>
    <col min="16144" max="16144" width="14.73046875" style="28" bestFit="1" customWidth="1"/>
    <col min="16145" max="16145" width="16" style="28" bestFit="1" customWidth="1"/>
    <col min="16146" max="16146" width="12.73046875" style="28" bestFit="1" customWidth="1"/>
    <col min="16147" max="16147" width="14.73046875" style="28" bestFit="1" customWidth="1"/>
    <col min="16148" max="16384" width="9.265625" style="28"/>
  </cols>
  <sheetData>
    <row r="1" spans="1:15" ht="20.65" x14ac:dyDescent="0.6">
      <c r="A1" s="943" t="s">
        <v>822</v>
      </c>
      <c r="B1" s="943"/>
      <c r="C1" s="943"/>
      <c r="D1" s="943"/>
      <c r="E1" s="943"/>
      <c r="F1" s="943"/>
      <c r="G1" s="943"/>
      <c r="H1" s="943"/>
      <c r="I1" s="943"/>
      <c r="J1" s="943"/>
      <c r="K1" s="943"/>
      <c r="L1" s="943"/>
      <c r="M1" s="943"/>
    </row>
    <row r="3" spans="1:15" x14ac:dyDescent="0.35">
      <c r="J3" s="254"/>
    </row>
    <row r="4" spans="1:15" ht="39.4" x14ac:dyDescent="0.4">
      <c r="A4" s="29"/>
      <c r="B4" s="30" t="s">
        <v>181</v>
      </c>
      <c r="C4" s="31"/>
      <c r="D4" s="32"/>
      <c r="E4" s="29"/>
      <c r="F4" s="29"/>
      <c r="G4" s="33" t="s">
        <v>9</v>
      </c>
      <c r="H4" s="33" t="s">
        <v>37</v>
      </c>
      <c r="I4" s="33" t="s">
        <v>29</v>
      </c>
      <c r="J4" s="33" t="s">
        <v>30</v>
      </c>
      <c r="K4" s="33" t="s">
        <v>215</v>
      </c>
      <c r="L4" s="34" t="s">
        <v>377</v>
      </c>
      <c r="M4" s="33" t="s">
        <v>378</v>
      </c>
    </row>
    <row r="5" spans="1:15" ht="13.15" x14ac:dyDescent="0.4">
      <c r="A5" s="35" t="s">
        <v>184</v>
      </c>
      <c r="C5" s="36" t="s">
        <v>182</v>
      </c>
      <c r="L5" s="37"/>
    </row>
    <row r="6" spans="1:15" ht="13.15" x14ac:dyDescent="0.4">
      <c r="A6" s="35" t="s">
        <v>185</v>
      </c>
      <c r="C6" s="28" t="s">
        <v>183</v>
      </c>
      <c r="G6" s="262">
        <f>SUM('#1-Meritus:#5034-Mt Washington Pediatric'!F18:F18)</f>
        <v>0</v>
      </c>
      <c r="H6" s="262">
        <f>SUM('#1-Meritus:#5034-Mt Washington Pediatric'!G18:G18)</f>
        <v>0</v>
      </c>
      <c r="I6" s="262">
        <f>SUM('#1-Meritus:#5034-Mt Washington Pediatric'!H18:H18)</f>
        <v>332893373.87836069</v>
      </c>
      <c r="J6" s="262">
        <f>SUM('#1-Meritus:#5034-Mt Washington Pediatric'!I18:I18)</f>
        <v>0</v>
      </c>
      <c r="K6" s="262">
        <f>SUM('#1-Meritus:#5034-Mt Washington Pediatric'!J18:J18)</f>
        <v>276743303.35243744</v>
      </c>
      <c r="L6" s="262">
        <f>SUM('#1-Meritus:#5034-Mt Washington Pediatric'!K18:K18)</f>
        <v>56150070.525923163</v>
      </c>
      <c r="M6" s="76">
        <f>L6-J6</f>
        <v>56150070.525923163</v>
      </c>
      <c r="N6" s="37"/>
      <c r="O6" s="37"/>
    </row>
    <row r="7" spans="1:15" ht="39.4" x14ac:dyDescent="0.4">
      <c r="A7" s="29" t="s">
        <v>8</v>
      </c>
      <c r="B7" s="29"/>
      <c r="C7" s="32"/>
      <c r="D7" s="32"/>
      <c r="E7" s="32"/>
      <c r="F7" s="32"/>
      <c r="G7" s="33" t="s">
        <v>9</v>
      </c>
      <c r="H7" s="33" t="s">
        <v>37</v>
      </c>
      <c r="I7" s="33" t="s">
        <v>379</v>
      </c>
      <c r="J7" s="33" t="s">
        <v>380</v>
      </c>
      <c r="K7" s="34" t="s">
        <v>215</v>
      </c>
      <c r="L7" s="39" t="s">
        <v>377</v>
      </c>
      <c r="M7" s="33" t="s">
        <v>378</v>
      </c>
      <c r="N7" s="37"/>
      <c r="O7" s="37"/>
    </row>
    <row r="8" spans="1:15" ht="13.15" x14ac:dyDescent="0.4">
      <c r="A8" s="30" t="s">
        <v>74</v>
      </c>
      <c r="B8" s="36" t="s">
        <v>41</v>
      </c>
      <c r="K8" s="40"/>
      <c r="L8" s="41"/>
      <c r="N8" s="37"/>
      <c r="O8" s="37"/>
    </row>
    <row r="9" spans="1:15" ht="13.15" x14ac:dyDescent="0.4">
      <c r="A9" s="42" t="s">
        <v>75</v>
      </c>
      <c r="B9" s="28" t="s">
        <v>42</v>
      </c>
      <c r="G9" s="261">
        <f>SUM('#1-Meritus:#5034-Mt Washington Pediatric'!F21:F21)</f>
        <v>248441.11553942852</v>
      </c>
      <c r="H9" s="261">
        <f>SUM('#1-Meritus:#5034-Mt Washington Pediatric'!G21:G21)</f>
        <v>3708944.7029765672</v>
      </c>
      <c r="I9" s="261">
        <f>SUM('#1-Meritus:#5034-Mt Washington Pediatric'!H21:H21)</f>
        <v>16356775.45678664</v>
      </c>
      <c r="J9" s="261">
        <f>SUM('#1-Meritus:#5034-Mt Washington Pediatric'!I21:I21)</f>
        <v>9543010.0971584879</v>
      </c>
      <c r="K9" s="261">
        <f>SUM('#1-Meritus:#5034-Mt Washington Pediatric'!J21:J21)</f>
        <v>1447912.0612000001</v>
      </c>
      <c r="L9" s="261">
        <f>SUM('#1-Meritus:#5034-Mt Washington Pediatric'!K21:K21)</f>
        <v>24451873.492745131</v>
      </c>
      <c r="M9" s="76">
        <f>L9-J9</f>
        <v>14908863.395586643</v>
      </c>
      <c r="N9" s="37"/>
      <c r="O9" s="37"/>
    </row>
    <row r="10" spans="1:15" ht="13.15" x14ac:dyDescent="0.4">
      <c r="A10" s="42" t="s">
        <v>76</v>
      </c>
      <c r="B10" s="28" t="s">
        <v>6</v>
      </c>
      <c r="G10" s="261">
        <f>SUM('#1-Meritus:#5034-Mt Washington Pediatric'!F22:F22)</f>
        <v>17932.208439999999</v>
      </c>
      <c r="H10" s="261">
        <f>SUM('#1-Meritus:#5034-Mt Washington Pediatric'!G22:G22)</f>
        <v>38509</v>
      </c>
      <c r="I10" s="261">
        <f>SUM('#1-Meritus:#5034-Mt Washington Pediatric'!H22:H22)</f>
        <v>2236523.7080460782</v>
      </c>
      <c r="J10" s="261">
        <f>SUM('#1-Meritus:#5034-Mt Washington Pediatric'!I22:I22)</f>
        <v>1480611.2597300676</v>
      </c>
      <c r="K10" s="261">
        <f>SUM('#1-Meritus:#5034-Mt Washington Pediatric'!J22:J22)</f>
        <v>63465.025299999994</v>
      </c>
      <c r="L10" s="261">
        <f>SUM('#1-Meritus:#5034-Mt Washington Pediatric'!K22:K22)</f>
        <v>3653669.9424761464</v>
      </c>
      <c r="M10" s="76">
        <f t="shared" ref="M10:M22" si="0">L10-J10</f>
        <v>2173058.6827460788</v>
      </c>
      <c r="N10" s="37"/>
      <c r="O10" s="37"/>
    </row>
    <row r="11" spans="1:15" ht="13.15" x14ac:dyDescent="0.4">
      <c r="A11" s="42" t="s">
        <v>77</v>
      </c>
      <c r="B11" s="28" t="s">
        <v>43</v>
      </c>
      <c r="G11" s="261">
        <f>SUM('#1-Meritus:#5034-Mt Washington Pediatric'!F23:F23)</f>
        <v>16683.870007142854</v>
      </c>
      <c r="H11" s="261">
        <f>SUM('#1-Meritus:#5034-Mt Washington Pediatric'!G23:G23)</f>
        <v>111704</v>
      </c>
      <c r="I11" s="261">
        <f>SUM('#1-Meritus:#5034-Mt Washington Pediatric'!H23:H23)</f>
        <v>836508.86853173992</v>
      </c>
      <c r="J11" s="261">
        <f>SUM('#1-Meritus:#5034-Mt Washington Pediatric'!I23:I23)</f>
        <v>500526.60124041833</v>
      </c>
      <c r="K11" s="261">
        <f>SUM('#1-Meritus:#5034-Mt Washington Pediatric'!J23:J23)</f>
        <v>337409.717</v>
      </c>
      <c r="L11" s="261">
        <f>SUM('#1-Meritus:#5034-Mt Washington Pediatric'!K23:K23)</f>
        <v>999625.75277215836</v>
      </c>
      <c r="M11" s="76">
        <f t="shared" si="0"/>
        <v>499099.15153174003</v>
      </c>
      <c r="N11" s="37"/>
      <c r="O11" s="37"/>
    </row>
    <row r="12" spans="1:15" ht="13.15" x14ac:dyDescent="0.4">
      <c r="A12" s="42" t="s">
        <v>78</v>
      </c>
      <c r="B12" s="28" t="s">
        <v>44</v>
      </c>
      <c r="G12" s="261">
        <f>SUM('#1-Meritus:#5034-Mt Washington Pediatric'!F24:F24)</f>
        <v>290399.82</v>
      </c>
      <c r="H12" s="261">
        <f>SUM('#1-Meritus:#5034-Mt Washington Pediatric'!G24:G24)</f>
        <v>551554</v>
      </c>
      <c r="I12" s="261">
        <f>SUM('#1-Meritus:#5034-Mt Washington Pediatric'!H24:H24)</f>
        <v>13480073.848749999</v>
      </c>
      <c r="J12" s="261">
        <f>SUM('#1-Meritus:#5034-Mt Washington Pediatric'!I24:I24)</f>
        <v>12005591.444565965</v>
      </c>
      <c r="K12" s="261">
        <f>SUM('#1-Meritus:#5034-Mt Washington Pediatric'!J24:J24)</f>
        <v>9380157.0999999996</v>
      </c>
      <c r="L12" s="261">
        <f>SUM('#1-Meritus:#5034-Mt Washington Pediatric'!K24:K24)</f>
        <v>16105508.193315964</v>
      </c>
      <c r="M12" s="76">
        <f t="shared" si="0"/>
        <v>4099916.7487499993</v>
      </c>
      <c r="N12" s="37"/>
      <c r="O12" s="37"/>
    </row>
    <row r="13" spans="1:15" ht="13.15" x14ac:dyDescent="0.4">
      <c r="A13" s="42" t="s">
        <v>79</v>
      </c>
      <c r="B13" s="28" t="s">
        <v>5</v>
      </c>
      <c r="G13" s="261">
        <f>SUM('#1-Meritus:#5034-Mt Washington Pediatric'!F25:F25)</f>
        <v>52937.244714285713</v>
      </c>
      <c r="H13" s="261">
        <f>SUM('#1-Meritus:#5034-Mt Washington Pediatric'!G25:G25)</f>
        <v>236739</v>
      </c>
      <c r="I13" s="261">
        <f>SUM('#1-Meritus:#5034-Mt Washington Pediatric'!H25:H25)</f>
        <v>3739938.8592468356</v>
      </c>
      <c r="J13" s="261">
        <f>SUM('#1-Meritus:#5034-Mt Washington Pediatric'!I25:I25)</f>
        <v>2026600.137515638</v>
      </c>
      <c r="K13" s="261">
        <f>SUM('#1-Meritus:#5034-Mt Washington Pediatric'!J25:J25)</f>
        <v>632513.46200000006</v>
      </c>
      <c r="L13" s="261">
        <f>SUM('#1-Meritus:#5034-Mt Washington Pediatric'!K25:K25)</f>
        <v>5134025.5347624738</v>
      </c>
      <c r="M13" s="76">
        <f t="shared" si="0"/>
        <v>3107425.3972468358</v>
      </c>
      <c r="N13" s="37"/>
      <c r="O13" s="37"/>
    </row>
    <row r="14" spans="1:15" ht="13.15" x14ac:dyDescent="0.4">
      <c r="A14" s="42" t="s">
        <v>80</v>
      </c>
      <c r="B14" s="28" t="s">
        <v>45</v>
      </c>
      <c r="G14" s="261">
        <f>SUM('#1-Meritus:#5034-Mt Washington Pediatric'!F26:F26)</f>
        <v>1254.5</v>
      </c>
      <c r="H14" s="261">
        <f>SUM('#1-Meritus:#5034-Mt Washington Pediatric'!G26:G26)</f>
        <v>7199</v>
      </c>
      <c r="I14" s="261">
        <f>SUM('#1-Meritus:#5034-Mt Washington Pediatric'!H26:H26)</f>
        <v>211750</v>
      </c>
      <c r="J14" s="261">
        <f>SUM('#1-Meritus:#5034-Mt Washington Pediatric'!I26:I26)</f>
        <v>75153.447004119778</v>
      </c>
      <c r="K14" s="261">
        <f>SUM('#1-Meritus:#5034-Mt Washington Pediatric'!J26:J26)</f>
        <v>551</v>
      </c>
      <c r="L14" s="261">
        <f>SUM('#1-Meritus:#5034-Mt Washington Pediatric'!K26:K26)</f>
        <v>286352.44700411975</v>
      </c>
      <c r="M14" s="76">
        <f t="shared" si="0"/>
        <v>211198.99999999997</v>
      </c>
      <c r="N14" s="37"/>
      <c r="O14" s="37"/>
    </row>
    <row r="15" spans="1:15" ht="13.15" x14ac:dyDescent="0.4">
      <c r="A15" s="42" t="s">
        <v>81</v>
      </c>
      <c r="B15" s="28" t="s">
        <v>46</v>
      </c>
      <c r="G15" s="261">
        <f>SUM('#1-Meritus:#5034-Mt Washington Pediatric'!F27:F27)</f>
        <v>4670</v>
      </c>
      <c r="H15" s="261">
        <f>SUM('#1-Meritus:#5034-Mt Washington Pediatric'!G27:G27)</f>
        <v>44919</v>
      </c>
      <c r="I15" s="261">
        <f>SUM('#1-Meritus:#5034-Mt Washington Pediatric'!H27:H27)</f>
        <v>5597868.2000000002</v>
      </c>
      <c r="J15" s="261">
        <f>SUM('#1-Meritus:#5034-Mt Washington Pediatric'!I27:I27)</f>
        <v>1032509.1692929019</v>
      </c>
      <c r="K15" s="261">
        <f>SUM('#1-Meritus:#5034-Mt Washington Pediatric'!J27:J27)</f>
        <v>295371.52999999997</v>
      </c>
      <c r="L15" s="261">
        <f>SUM('#1-Meritus:#5034-Mt Washington Pediatric'!K27:K27)</f>
        <v>6335005.8392929025</v>
      </c>
      <c r="M15" s="76">
        <f t="shared" si="0"/>
        <v>5302496.6700000009</v>
      </c>
      <c r="N15" s="37"/>
      <c r="O15" s="37"/>
    </row>
    <row r="16" spans="1:15" ht="13.15" x14ac:dyDescent="0.4">
      <c r="A16" s="42" t="s">
        <v>82</v>
      </c>
      <c r="B16" s="28" t="s">
        <v>47</v>
      </c>
      <c r="G16" s="261">
        <f>SUM('#1-Meritus:#5034-Mt Washington Pediatric'!F28:F28)</f>
        <v>34662</v>
      </c>
      <c r="H16" s="261">
        <f>SUM('#1-Meritus:#5034-Mt Washington Pediatric'!G28:G28)</f>
        <v>12883</v>
      </c>
      <c r="I16" s="261">
        <f>SUM('#1-Meritus:#5034-Mt Washington Pediatric'!H28:H28)</f>
        <v>1702254.36</v>
      </c>
      <c r="J16" s="261">
        <f>SUM('#1-Meritus:#5034-Mt Washington Pediatric'!I28:I28)</f>
        <v>811287.43076083914</v>
      </c>
      <c r="K16" s="261">
        <f>SUM('#1-Meritus:#5034-Mt Washington Pediatric'!J28:J28)</f>
        <v>1504044.1</v>
      </c>
      <c r="L16" s="261">
        <f>SUM('#1-Meritus:#5034-Mt Washington Pediatric'!K28:K28)</f>
        <v>1009497.6907608391</v>
      </c>
      <c r="M16" s="76">
        <f t="shared" si="0"/>
        <v>198210.26</v>
      </c>
      <c r="N16" s="37"/>
      <c r="O16" s="37"/>
    </row>
    <row r="17" spans="1:15" ht="13.15" x14ac:dyDescent="0.4">
      <c r="A17" s="42" t="s">
        <v>83</v>
      </c>
      <c r="B17" s="28" t="s">
        <v>48</v>
      </c>
      <c r="G17" s="261">
        <f>SUM('#1-Meritus:#5034-Mt Washington Pediatric'!F29:F29)</f>
        <v>439858.25858142861</v>
      </c>
      <c r="H17" s="261">
        <f>SUM('#1-Meritus:#5034-Mt Washington Pediatric'!G29:G29)</f>
        <v>399263.81008711067</v>
      </c>
      <c r="I17" s="261">
        <f>SUM('#1-Meritus:#5034-Mt Washington Pediatric'!H29:H29)</f>
        <v>42109852.930275105</v>
      </c>
      <c r="J17" s="261">
        <f>SUM('#1-Meritus:#5034-Mt Washington Pediatric'!I29:I29)</f>
        <v>21228158.58822947</v>
      </c>
      <c r="K17" s="261">
        <f>SUM('#1-Meritus:#5034-Mt Washington Pediatric'!J29:J29)</f>
        <v>4248426.5890000006</v>
      </c>
      <c r="L17" s="261">
        <f>SUM('#1-Meritus:#5034-Mt Washington Pediatric'!K29:K29)</f>
        <v>59089584.929504581</v>
      </c>
      <c r="M17" s="76">
        <f t="shared" si="0"/>
        <v>37861426.341275111</v>
      </c>
      <c r="N17" s="37"/>
      <c r="O17" s="37"/>
    </row>
    <row r="18" spans="1:15" ht="13.15" x14ac:dyDescent="0.4">
      <c r="A18" s="1" t="s">
        <v>84</v>
      </c>
      <c r="B18" s="944" t="s">
        <v>233</v>
      </c>
      <c r="C18" s="945"/>
      <c r="D18" s="946"/>
      <c r="E18"/>
      <c r="F18" s="78"/>
      <c r="G18" s="261">
        <f>SUM('#1-Meritus:#5034-Mt Washington Pediatric'!F30:F30)</f>
        <v>48414.181204285713</v>
      </c>
      <c r="H18" s="261">
        <f>SUM('#1-Meritus:#5034-Mt Washington Pediatric'!G30:G30)</f>
        <v>120793</v>
      </c>
      <c r="I18" s="261">
        <f>SUM('#1-Meritus:#5034-Mt Washington Pediatric'!H30:H30)</f>
        <v>8213157.1142500006</v>
      </c>
      <c r="J18" s="261">
        <f>SUM('#1-Meritus:#5034-Mt Washington Pediatric'!I30:I30)</f>
        <v>3578008.2988242614</v>
      </c>
      <c r="K18" s="261">
        <f>SUM('#1-Meritus:#5034-Mt Washington Pediatric'!J30:J30)</f>
        <v>359469.08250000002</v>
      </c>
      <c r="L18" s="261">
        <f>SUM('#1-Meritus:#5034-Mt Washington Pediatric'!K30:K30)</f>
        <v>11431696.330574261</v>
      </c>
      <c r="M18" s="76">
        <f t="shared" si="0"/>
        <v>7853688.0317499992</v>
      </c>
      <c r="N18" s="37"/>
      <c r="O18" s="37"/>
    </row>
    <row r="19" spans="1:15" ht="13.15" x14ac:dyDescent="0.4">
      <c r="A19" s="1" t="s">
        <v>133</v>
      </c>
      <c r="B19" s="944" t="s">
        <v>233</v>
      </c>
      <c r="C19" s="945"/>
      <c r="D19" s="946"/>
      <c r="E19"/>
      <c r="F19" s="78"/>
      <c r="G19" s="261">
        <f>SUM('#1-Meritus:#5034-Mt Washington Pediatric'!F31:F31)</f>
        <v>4028</v>
      </c>
      <c r="H19" s="261">
        <f>SUM('#1-Meritus:#5034-Mt Washington Pediatric'!G31:G31)</f>
        <v>1779</v>
      </c>
      <c r="I19" s="261">
        <f>SUM('#1-Meritus:#5034-Mt Washington Pediatric'!H31:H31)</f>
        <v>397691.3</v>
      </c>
      <c r="J19" s="261">
        <f>SUM('#1-Meritus:#5034-Mt Washington Pediatric'!I31:I31)</f>
        <v>170581.46</v>
      </c>
      <c r="K19" s="261">
        <f>SUM('#1-Meritus:#5034-Mt Washington Pediatric'!J31:J31)</f>
        <v>0</v>
      </c>
      <c r="L19" s="261">
        <f>SUM('#1-Meritus:#5034-Mt Washington Pediatric'!K31:K31)</f>
        <v>568272.76</v>
      </c>
      <c r="M19" s="76">
        <f t="shared" si="0"/>
        <v>397691.30000000005</v>
      </c>
      <c r="N19" s="37"/>
      <c r="O19" s="37"/>
    </row>
    <row r="20" spans="1:15" ht="13.15" x14ac:dyDescent="0.4">
      <c r="A20" s="1" t="s">
        <v>134</v>
      </c>
      <c r="B20" s="24" t="s">
        <v>233</v>
      </c>
      <c r="C20" s="25"/>
      <c r="D20" s="26"/>
      <c r="E20"/>
      <c r="F20" s="78"/>
      <c r="G20" s="261">
        <f>SUM('#1-Meritus:#5034-Mt Washington Pediatric'!F32:F32)</f>
        <v>20177.8</v>
      </c>
      <c r="H20" s="261">
        <f>SUM('#1-Meritus:#5034-Mt Washington Pediatric'!G32:G32)</f>
        <v>6864</v>
      </c>
      <c r="I20" s="261">
        <f>SUM('#1-Meritus:#5034-Mt Washington Pediatric'!H32:H32)</f>
        <v>1006917.65</v>
      </c>
      <c r="J20" s="261">
        <f>SUM('#1-Meritus:#5034-Mt Washington Pediatric'!I32:I32)</f>
        <v>771947.52000000002</v>
      </c>
      <c r="K20" s="261">
        <f>SUM('#1-Meritus:#5034-Mt Washington Pediatric'!J32:J32)</f>
        <v>0</v>
      </c>
      <c r="L20" s="261">
        <f>SUM('#1-Meritus:#5034-Mt Washington Pediatric'!K32:K32)</f>
        <v>1778865.17</v>
      </c>
      <c r="M20" s="76">
        <f t="shared" si="0"/>
        <v>1006917.6499999999</v>
      </c>
      <c r="N20" s="37"/>
      <c r="O20" s="37"/>
    </row>
    <row r="21" spans="1:15" ht="13.15" x14ac:dyDescent="0.4">
      <c r="A21" s="1" t="s">
        <v>135</v>
      </c>
      <c r="B21" s="24" t="s">
        <v>233</v>
      </c>
      <c r="C21" s="25"/>
      <c r="D21" s="26"/>
      <c r="E21"/>
      <c r="F21" s="78"/>
      <c r="G21" s="261">
        <f>SUM('#1-Meritus:#5034-Mt Washington Pediatric'!F33:F33)</f>
        <v>3643</v>
      </c>
      <c r="H21" s="261">
        <f>SUM('#1-Meritus:#5034-Mt Washington Pediatric'!G33:G33)</f>
        <v>2086</v>
      </c>
      <c r="I21" s="261">
        <f>SUM('#1-Meritus:#5034-Mt Washington Pediatric'!H33:H33)</f>
        <v>118554.87</v>
      </c>
      <c r="J21" s="261">
        <f>SUM('#1-Meritus:#5034-Mt Washington Pediatric'!I33:I33)</f>
        <v>68026.460000000006</v>
      </c>
      <c r="K21" s="261">
        <f>SUM('#1-Meritus:#5034-Mt Washington Pediatric'!J33:J33)</f>
        <v>75000</v>
      </c>
      <c r="L21" s="261">
        <f>SUM('#1-Meritus:#5034-Mt Washington Pediatric'!K33:K33)</f>
        <v>111581.33</v>
      </c>
      <c r="M21" s="76">
        <f t="shared" si="0"/>
        <v>43554.869999999995</v>
      </c>
      <c r="N21" s="37"/>
      <c r="O21" s="37"/>
    </row>
    <row r="22" spans="1:15" ht="13.15" x14ac:dyDescent="0.4">
      <c r="A22" s="1" t="s">
        <v>136</v>
      </c>
      <c r="B22" s="944" t="s">
        <v>233</v>
      </c>
      <c r="C22" s="945"/>
      <c r="D22" s="946"/>
      <c r="E22"/>
      <c r="F22" s="78"/>
      <c r="G22" s="261">
        <f>SUM('#1-Meritus:#5034-Mt Washington Pediatric'!F34:F34)</f>
        <v>0</v>
      </c>
      <c r="H22" s="261">
        <f>SUM('#1-Meritus:#5034-Mt Washington Pediatric'!G34:G34)</f>
        <v>0</v>
      </c>
      <c r="I22" s="261">
        <f>SUM('#1-Meritus:#5034-Mt Washington Pediatric'!H34:H34)</f>
        <v>0</v>
      </c>
      <c r="J22" s="261">
        <f>SUM('#1-Meritus:#5034-Mt Washington Pediatric'!I34:I34)</f>
        <v>0</v>
      </c>
      <c r="K22" s="261">
        <f>SUM('#1-Meritus:#5034-Mt Washington Pediatric'!J34:J34)</f>
        <v>0</v>
      </c>
      <c r="L22" s="261">
        <f>SUM('#1-Meritus:#5034-Mt Washington Pediatric'!K34:K34)</f>
        <v>0</v>
      </c>
      <c r="M22" s="76">
        <f t="shared" si="0"/>
        <v>0</v>
      </c>
      <c r="N22" s="37"/>
      <c r="O22" s="37"/>
    </row>
    <row r="23" spans="1:15" ht="13.15" x14ac:dyDescent="0.4">
      <c r="D23" s="36"/>
      <c r="E23" s="36"/>
      <c r="F23" s="36"/>
      <c r="G23" s="43"/>
      <c r="H23" s="43"/>
      <c r="I23" s="43"/>
      <c r="J23" s="43"/>
      <c r="K23" s="43"/>
      <c r="L23" s="43"/>
      <c r="M23" s="44"/>
      <c r="N23" s="37"/>
      <c r="O23" s="37"/>
    </row>
    <row r="24" spans="1:15" ht="13.15" x14ac:dyDescent="0.4">
      <c r="A24" s="30" t="s">
        <v>137</v>
      </c>
      <c r="B24" s="36" t="s">
        <v>138</v>
      </c>
      <c r="G24" s="38">
        <f t="shared" ref="G24:L24" si="1">SUM(G9:G22)</f>
        <v>1183101.9984865715</v>
      </c>
      <c r="H24" s="38">
        <f t="shared" si="1"/>
        <v>5243237.5130636785</v>
      </c>
      <c r="I24" s="76">
        <f t="shared" si="1"/>
        <v>96007867.165886417</v>
      </c>
      <c r="J24" s="76">
        <f t="shared" si="1"/>
        <v>53292011.914322168</v>
      </c>
      <c r="K24" s="76">
        <f t="shared" si="1"/>
        <v>18344319.666999999</v>
      </c>
      <c r="L24" s="76">
        <f t="shared" si="1"/>
        <v>130955559.41320857</v>
      </c>
      <c r="M24" s="76">
        <f>L24-J24</f>
        <v>77663547.498886406</v>
      </c>
      <c r="N24" s="37"/>
      <c r="O24" s="37"/>
    </row>
    <row r="25" spans="1:15" ht="13.15" x14ac:dyDescent="0.4">
      <c r="A25" s="30"/>
      <c r="B25" s="36"/>
      <c r="G25" s="46"/>
      <c r="H25" s="46"/>
      <c r="I25" s="46"/>
      <c r="J25" s="46"/>
      <c r="K25" s="46"/>
      <c r="L25" s="46"/>
      <c r="M25" s="46"/>
      <c r="N25" s="37"/>
      <c r="O25" s="37"/>
    </row>
    <row r="26" spans="1:15" ht="13.15" x14ac:dyDescent="0.4">
      <c r="A26" s="30"/>
      <c r="B26" s="36"/>
      <c r="G26" s="37"/>
      <c r="H26" s="37"/>
      <c r="I26" s="37"/>
      <c r="J26" s="37"/>
      <c r="K26" s="48"/>
      <c r="L26" s="48"/>
      <c r="M26" s="49"/>
      <c r="N26" s="37"/>
      <c r="O26" s="37"/>
    </row>
    <row r="27" spans="1:15" ht="42.75" customHeight="1" x14ac:dyDescent="0.4">
      <c r="A27" s="31"/>
      <c r="B27" s="31"/>
      <c r="G27" s="33" t="s">
        <v>9</v>
      </c>
      <c r="H27" s="33" t="s">
        <v>37</v>
      </c>
      <c r="I27" s="33" t="s">
        <v>379</v>
      </c>
      <c r="J27" s="33" t="s">
        <v>380</v>
      </c>
      <c r="K27" s="34" t="s">
        <v>215</v>
      </c>
      <c r="L27" s="39" t="s">
        <v>377</v>
      </c>
      <c r="M27" s="33" t="s">
        <v>378</v>
      </c>
      <c r="N27" s="37"/>
      <c r="O27" s="37"/>
    </row>
    <row r="28" spans="1:15" ht="13.15" x14ac:dyDescent="0.4">
      <c r="A28" s="30" t="s">
        <v>381</v>
      </c>
      <c r="B28" s="30"/>
      <c r="C28" s="36" t="s">
        <v>49</v>
      </c>
      <c r="K28" s="40"/>
      <c r="L28" s="41"/>
      <c r="N28" s="37"/>
      <c r="O28" s="37"/>
    </row>
    <row r="29" spans="1:15" ht="13.15" x14ac:dyDescent="0.4">
      <c r="A29" s="42" t="s">
        <v>245</v>
      </c>
      <c r="B29" s="42"/>
      <c r="C29" s="36" t="s">
        <v>31</v>
      </c>
      <c r="D29" s="36"/>
      <c r="E29" s="36"/>
      <c r="F29" s="36"/>
      <c r="G29" s="261">
        <f>SUM('#1-Meritus:#5034-Mt Washington Pediatric'!F40:F40)</f>
        <v>3958999.7484571869</v>
      </c>
      <c r="H29" s="261">
        <f>SUM('#1-Meritus:#5034-Mt Washington Pediatric'!G40:G40)</f>
        <v>111901.625</v>
      </c>
      <c r="I29" s="261">
        <f>SUM('#1-Meritus:#5034-Mt Washington Pediatric'!H40:H40)</f>
        <v>353723300.1635552</v>
      </c>
      <c r="J29" s="261">
        <f>SUM('#1-Meritus:#5034-Mt Washington Pediatric'!I40:I40)</f>
        <v>166950878.04412463</v>
      </c>
      <c r="K29" s="261">
        <f>SUM('#1-Meritus:#5034-Mt Washington Pediatric'!J40:J40)</f>
        <v>2976232.18</v>
      </c>
      <c r="L29" s="261">
        <f>SUM('#1-Meritus:#5034-Mt Washington Pediatric'!K40:K40)</f>
        <v>517697946.02767986</v>
      </c>
      <c r="M29" s="76">
        <f>L29-J29</f>
        <v>350747067.9835552</v>
      </c>
      <c r="N29" s="37"/>
      <c r="O29" s="37"/>
    </row>
    <row r="30" spans="1:15" ht="13.15" x14ac:dyDescent="0.4">
      <c r="A30" s="42" t="s">
        <v>246</v>
      </c>
      <c r="B30" s="42"/>
      <c r="C30" s="50" t="s">
        <v>50</v>
      </c>
      <c r="G30" s="261">
        <f>SUM('#1-Meritus:#5034-Mt Washington Pediatric'!F41:F41)</f>
        <v>580453.52331041987</v>
      </c>
      <c r="H30" s="261">
        <f>SUM('#1-Meritus:#5034-Mt Washington Pediatric'!G41:G41)</f>
        <v>58327.249999928543</v>
      </c>
      <c r="I30" s="261">
        <f>SUM('#1-Meritus:#5034-Mt Washington Pediatric'!H41:H41)</f>
        <v>26337735.203566905</v>
      </c>
      <c r="J30" s="261">
        <f>SUM('#1-Meritus:#5034-Mt Washington Pediatric'!I41:I41)</f>
        <v>10521247.377304066</v>
      </c>
      <c r="K30" s="261">
        <f>SUM('#1-Meritus:#5034-Mt Washington Pediatric'!J41:J41)</f>
        <v>1409</v>
      </c>
      <c r="L30" s="261">
        <f>SUM('#1-Meritus:#5034-Mt Washington Pediatric'!K41:K41)</f>
        <v>36857573.580870986</v>
      </c>
      <c r="M30" s="76">
        <f t="shared" ref="M30:M38" si="2">L30-J30</f>
        <v>26336326.20356692</v>
      </c>
      <c r="N30" s="37"/>
      <c r="O30" s="37"/>
    </row>
    <row r="31" spans="1:15" ht="13.15" x14ac:dyDescent="0.4">
      <c r="A31" s="42" t="s">
        <v>247</v>
      </c>
      <c r="B31" s="42"/>
      <c r="C31" s="28" t="s">
        <v>11</v>
      </c>
      <c r="D31" s="51"/>
      <c r="E31" s="51"/>
      <c r="F31" s="51"/>
      <c r="G31" s="261">
        <f>SUM('#1-Meritus:#5034-Mt Washington Pediatric'!F42:F42)</f>
        <v>441501.41728857142</v>
      </c>
      <c r="H31" s="261">
        <f>SUM('#1-Meritus:#5034-Mt Washington Pediatric'!G42:G42)</f>
        <v>40148.165000000001</v>
      </c>
      <c r="I31" s="261">
        <f>SUM('#1-Meritus:#5034-Mt Washington Pediatric'!H42:H42)</f>
        <v>19178695.098395403</v>
      </c>
      <c r="J31" s="261">
        <f>SUM('#1-Meritus:#5034-Mt Washington Pediatric'!I42:I42)</f>
        <v>8913121.686940413</v>
      </c>
      <c r="K31" s="261">
        <f>SUM('#1-Meritus:#5034-Mt Washington Pediatric'!J42:J42)</f>
        <v>278338.35604012565</v>
      </c>
      <c r="L31" s="261">
        <f>SUM('#1-Meritus:#5034-Mt Washington Pediatric'!K42:K42)</f>
        <v>27813478.429295685</v>
      </c>
      <c r="M31" s="76">
        <f t="shared" si="2"/>
        <v>18900356.742355272</v>
      </c>
      <c r="N31" s="37"/>
      <c r="O31" s="37"/>
    </row>
    <row r="32" spans="1:15" ht="13.15" x14ac:dyDescent="0.4">
      <c r="A32" s="42" t="s">
        <v>248</v>
      </c>
      <c r="B32" s="42"/>
      <c r="C32" s="28" t="s">
        <v>10</v>
      </c>
      <c r="G32" s="261">
        <f>SUM('#1-Meritus:#5034-Mt Washington Pediatric'!F43:F43)</f>
        <v>5399.5</v>
      </c>
      <c r="H32" s="261">
        <f>SUM('#1-Meritus:#5034-Mt Washington Pediatric'!G43:G43)</f>
        <v>345</v>
      </c>
      <c r="I32" s="261">
        <f>SUM('#1-Meritus:#5034-Mt Washington Pediatric'!H43:H43)</f>
        <v>3505285.0477055116</v>
      </c>
      <c r="J32" s="261">
        <f>SUM('#1-Meritus:#5034-Mt Washington Pediatric'!I43:I43)</f>
        <v>1797672.9714627629</v>
      </c>
      <c r="K32" s="261">
        <f>SUM('#1-Meritus:#5034-Mt Washington Pediatric'!J43:J43)</f>
        <v>22809</v>
      </c>
      <c r="L32" s="261">
        <f>SUM('#1-Meritus:#5034-Mt Washington Pediatric'!K43:K43)</f>
        <v>5280149.0191682745</v>
      </c>
      <c r="M32" s="76">
        <f t="shared" si="2"/>
        <v>3482476.0477055116</v>
      </c>
      <c r="N32" s="37"/>
      <c r="O32" s="37"/>
    </row>
    <row r="33" spans="1:15" ht="13.15" x14ac:dyDescent="0.4">
      <c r="A33" s="1" t="s">
        <v>91</v>
      </c>
      <c r="B33" s="42"/>
      <c r="C33" s="944" t="s">
        <v>233</v>
      </c>
      <c r="D33" s="945"/>
      <c r="E33" s="946"/>
      <c r="F33"/>
      <c r="G33" s="261">
        <f>SUM('#1-Meritus:#5034-Mt Washington Pediatric'!F44:F44)</f>
        <v>42004.3</v>
      </c>
      <c r="H33" s="261">
        <f>SUM('#1-Meritus:#5034-Mt Washington Pediatric'!G44:G44)</f>
        <v>4374</v>
      </c>
      <c r="I33" s="261">
        <f>SUM('#1-Meritus:#5034-Mt Washington Pediatric'!H44:H44)</f>
        <v>2072770.6855402938</v>
      </c>
      <c r="J33" s="261">
        <f>SUM('#1-Meritus:#5034-Mt Washington Pediatric'!I44:I44)</f>
        <v>916352.66832347121</v>
      </c>
      <c r="K33" s="261">
        <f>SUM('#1-Meritus:#5034-Mt Washington Pediatric'!J44:J44)</f>
        <v>72350</v>
      </c>
      <c r="L33" s="261">
        <f>SUM('#1-Meritus:#5034-Mt Washington Pediatric'!K44:K44)</f>
        <v>2916773.353863765</v>
      </c>
      <c r="M33" s="76">
        <f t="shared" si="2"/>
        <v>2000420.6855402938</v>
      </c>
      <c r="N33" s="37"/>
      <c r="O33" s="37"/>
    </row>
    <row r="34" spans="1:15" ht="13.15" x14ac:dyDescent="0.4">
      <c r="A34" s="1" t="s">
        <v>139</v>
      </c>
      <c r="C34" s="944" t="s">
        <v>233</v>
      </c>
      <c r="D34" s="945"/>
      <c r="E34" s="946"/>
      <c r="F34"/>
      <c r="G34" s="261">
        <f>SUM('#1-Meritus:#5034-Mt Washington Pediatric'!F45:F45)</f>
        <v>41383</v>
      </c>
      <c r="H34" s="261">
        <f>SUM('#1-Meritus:#5034-Mt Washington Pediatric'!G45:G45)</f>
        <v>2425</v>
      </c>
      <c r="I34" s="261">
        <f>SUM('#1-Meritus:#5034-Mt Washington Pediatric'!H45:H45)</f>
        <v>2288360.1399999997</v>
      </c>
      <c r="J34" s="261">
        <f>SUM('#1-Meritus:#5034-Mt Washington Pediatric'!I45:I45)</f>
        <v>1684832.97</v>
      </c>
      <c r="K34" s="261">
        <f>SUM('#1-Meritus:#5034-Mt Washington Pediatric'!J45:J45)</f>
        <v>1506838.72</v>
      </c>
      <c r="L34" s="261">
        <f>SUM('#1-Meritus:#5034-Mt Washington Pediatric'!K45:K45)</f>
        <v>2466354.3899999997</v>
      </c>
      <c r="M34" s="76">
        <f t="shared" si="2"/>
        <v>781521.41999999969</v>
      </c>
      <c r="N34" s="37"/>
      <c r="O34" s="37"/>
    </row>
    <row r="35" spans="1:15" ht="13.15" x14ac:dyDescent="0.4">
      <c r="A35" s="1" t="s">
        <v>140</v>
      </c>
      <c r="C35" s="944" t="s">
        <v>233</v>
      </c>
      <c r="D35" s="945"/>
      <c r="E35" s="946"/>
      <c r="F35"/>
      <c r="G35" s="261">
        <f>SUM('#1-Meritus:#5034-Mt Washington Pediatric'!F46:F46)</f>
        <v>464</v>
      </c>
      <c r="H35" s="261">
        <f>SUM('#1-Meritus:#5034-Mt Washington Pediatric'!G46:G46)</f>
        <v>1422</v>
      </c>
      <c r="I35" s="261">
        <f>SUM('#1-Meritus:#5034-Mt Washington Pediatric'!H46:H46)</f>
        <v>70264.789999999994</v>
      </c>
      <c r="J35" s="261">
        <f>SUM('#1-Meritus:#5034-Mt Washington Pediatric'!I46:I46)</f>
        <v>59177.01</v>
      </c>
      <c r="K35" s="261">
        <f>SUM('#1-Meritus:#5034-Mt Washington Pediatric'!J46:J46)</f>
        <v>118528.66</v>
      </c>
      <c r="L35" s="261">
        <f>SUM('#1-Meritus:#5034-Mt Washington Pediatric'!K46:K46)</f>
        <v>10913.139999999985</v>
      </c>
      <c r="M35" s="76">
        <f t="shared" si="2"/>
        <v>-48263.870000000017</v>
      </c>
      <c r="N35" s="37"/>
      <c r="O35" s="37"/>
    </row>
    <row r="36" spans="1:15" ht="13.15" x14ac:dyDescent="0.4">
      <c r="A36" s="1" t="s">
        <v>141</v>
      </c>
      <c r="C36" s="944" t="s">
        <v>233</v>
      </c>
      <c r="D36" s="945"/>
      <c r="E36" s="946"/>
      <c r="F36"/>
      <c r="G36" s="261">
        <f>SUM('#1-Meritus:#5034-Mt Washington Pediatric'!F47:F47)</f>
        <v>0</v>
      </c>
      <c r="H36" s="261">
        <f>SUM('#1-Meritus:#5034-Mt Washington Pediatric'!G47:G47)</f>
        <v>0</v>
      </c>
      <c r="I36" s="261">
        <f>SUM('#1-Meritus:#5034-Mt Washington Pediatric'!H47:H47)</f>
        <v>0</v>
      </c>
      <c r="J36" s="261">
        <f>SUM('#1-Meritus:#5034-Mt Washington Pediatric'!I47:I47)</f>
        <v>0</v>
      </c>
      <c r="K36" s="261">
        <f>SUM('#1-Meritus:#5034-Mt Washington Pediatric'!J47:J47)</f>
        <v>0</v>
      </c>
      <c r="L36" s="261">
        <f>SUM('#1-Meritus:#5034-Mt Washington Pediatric'!K47:K47)</f>
        <v>0</v>
      </c>
      <c r="M36" s="76">
        <f t="shared" si="2"/>
        <v>0</v>
      </c>
      <c r="N36" s="37"/>
      <c r="O36" s="37"/>
    </row>
    <row r="37" spans="1:15" ht="13.15" x14ac:dyDescent="0.4">
      <c r="A37" s="82"/>
      <c r="C37" s="83"/>
      <c r="D37" s="83"/>
      <c r="E37" s="83"/>
      <c r="F37" s="251"/>
      <c r="G37" s="81">
        <f>SUM(G33:G36)</f>
        <v>83851.3</v>
      </c>
      <c r="H37" s="81">
        <f>SUM(H33:H36)</f>
        <v>8221</v>
      </c>
      <c r="I37" s="81">
        <f t="shared" ref="I37:L37" si="3">SUM(I33:I36)</f>
        <v>4431395.615540293</v>
      </c>
      <c r="J37" s="81">
        <f t="shared" si="3"/>
        <v>2660362.6483234707</v>
      </c>
      <c r="K37" s="81">
        <f t="shared" si="3"/>
        <v>1697717.38</v>
      </c>
      <c r="L37" s="81">
        <f t="shared" si="3"/>
        <v>5394040.8838637648</v>
      </c>
      <c r="M37" s="84"/>
      <c r="N37" s="37"/>
      <c r="O37" s="37"/>
    </row>
    <row r="38" spans="1:15" ht="13.15" x14ac:dyDescent="0.4">
      <c r="A38" s="31" t="s">
        <v>142</v>
      </c>
      <c r="B38" s="31"/>
      <c r="C38" s="36" t="s">
        <v>225</v>
      </c>
      <c r="G38" s="38">
        <f>SUM(G29:G36)</f>
        <v>5070205.4890561784</v>
      </c>
      <c r="H38" s="38">
        <f t="shared" ref="H38:L38" si="4">SUM(H29:H36)</f>
        <v>218943.03999992856</v>
      </c>
      <c r="I38" s="76">
        <f t="shared" si="4"/>
        <v>407176411.12876338</v>
      </c>
      <c r="J38" s="76">
        <f t="shared" si="4"/>
        <v>190843282.72815531</v>
      </c>
      <c r="K38" s="76">
        <f t="shared" si="4"/>
        <v>4976505.9160401262</v>
      </c>
      <c r="L38" s="76">
        <f t="shared" si="4"/>
        <v>593043187.94087839</v>
      </c>
      <c r="M38" s="76">
        <f t="shared" si="2"/>
        <v>402199905.21272308</v>
      </c>
      <c r="N38" s="37"/>
      <c r="O38" s="37"/>
    </row>
    <row r="39" spans="1:15" x14ac:dyDescent="0.35">
      <c r="A39" s="31"/>
      <c r="B39" s="31"/>
      <c r="G39" s="37"/>
      <c r="H39" s="37"/>
      <c r="I39" s="37"/>
      <c r="J39" s="37"/>
      <c r="K39" s="37"/>
      <c r="L39" s="37"/>
      <c r="M39" s="37"/>
      <c r="N39" s="37"/>
      <c r="O39" s="37"/>
    </row>
    <row r="40" spans="1:15" x14ac:dyDescent="0.35">
      <c r="A40" s="31"/>
      <c r="B40" s="31"/>
      <c r="G40" s="37"/>
      <c r="H40" s="37"/>
      <c r="I40" s="37"/>
      <c r="J40" s="37"/>
      <c r="K40" s="37"/>
      <c r="L40" s="37"/>
      <c r="M40" s="37"/>
      <c r="N40" s="37"/>
      <c r="O40" s="37"/>
    </row>
    <row r="41" spans="1:15" ht="39.4" x14ac:dyDescent="0.4">
      <c r="A41" s="31"/>
      <c r="B41" s="31"/>
      <c r="G41" s="33" t="s">
        <v>9</v>
      </c>
      <c r="H41" s="33" t="s">
        <v>37</v>
      </c>
      <c r="I41" s="33" t="s">
        <v>379</v>
      </c>
      <c r="J41" s="33" t="s">
        <v>380</v>
      </c>
      <c r="K41" s="34" t="s">
        <v>215</v>
      </c>
      <c r="L41" s="39" t="s">
        <v>377</v>
      </c>
      <c r="M41" s="33" t="s">
        <v>378</v>
      </c>
      <c r="N41" s="37"/>
      <c r="O41" s="37"/>
    </row>
    <row r="42" spans="1:15" ht="13.15" x14ac:dyDescent="0.4">
      <c r="A42" s="30" t="s">
        <v>382</v>
      </c>
      <c r="B42" s="31"/>
      <c r="C42" s="52" t="s">
        <v>383</v>
      </c>
      <c r="K42" s="40"/>
      <c r="L42" s="41"/>
      <c r="N42" s="37"/>
      <c r="O42" s="37"/>
    </row>
    <row r="43" spans="1:15" ht="13.15" x14ac:dyDescent="0.4">
      <c r="B43" s="30"/>
      <c r="C43" s="36" t="s">
        <v>225</v>
      </c>
      <c r="D43" s="52"/>
      <c r="E43" s="52"/>
      <c r="F43" s="52"/>
      <c r="G43" s="261">
        <f>SUM('#1-Meritus:#5034-Mt Washington Pediatric'!F64:F64)</f>
        <v>4504891.7108021649</v>
      </c>
      <c r="H43" s="261">
        <f>SUM('#1-Meritus:#5034-Mt Washington Pediatric'!G64:G64)</f>
        <v>1725501.6899999997</v>
      </c>
      <c r="I43" s="261">
        <f>SUM('#1-Meritus:#5034-Mt Washington Pediatric'!H64:H64)</f>
        <v>860187563.58442199</v>
      </c>
      <c r="J43" s="261">
        <f>SUM('#1-Meritus:#5034-Mt Washington Pediatric'!I64:I64)</f>
        <v>129400499.67883889</v>
      </c>
      <c r="K43" s="261">
        <f>SUM('#1-Meritus:#5034-Mt Washington Pediatric'!J64:J64)</f>
        <v>295204140.07223743</v>
      </c>
      <c r="L43" s="261">
        <f>SUM('#1-Meritus:#5034-Mt Washington Pediatric'!K64:K64)</f>
        <v>694383923.19102335</v>
      </c>
      <c r="M43" s="76">
        <f>L43-J43</f>
        <v>564983423.5121845</v>
      </c>
      <c r="N43" s="37"/>
      <c r="O43" s="37"/>
    </row>
    <row r="44" spans="1:15" ht="13.15" x14ac:dyDescent="0.4">
      <c r="A44" s="42"/>
      <c r="B44" s="42"/>
      <c r="G44" s="53"/>
      <c r="H44" s="53"/>
      <c r="I44" s="53"/>
      <c r="J44" s="53"/>
      <c r="K44" s="53"/>
      <c r="L44" s="53"/>
      <c r="M44" s="54"/>
      <c r="N44" s="37"/>
      <c r="O44" s="37"/>
    </row>
    <row r="45" spans="1:15" ht="13.15" x14ac:dyDescent="0.4">
      <c r="A45" s="42"/>
      <c r="B45" s="42"/>
      <c r="K45" s="40"/>
      <c r="L45" s="41"/>
      <c r="M45" s="37"/>
      <c r="N45" s="37"/>
      <c r="O45" s="37"/>
    </row>
    <row r="46" spans="1:15" ht="45.75" customHeight="1" x14ac:dyDescent="0.4">
      <c r="A46" s="30" t="s">
        <v>384</v>
      </c>
      <c r="B46" s="31"/>
      <c r="C46" s="36" t="s">
        <v>12</v>
      </c>
      <c r="G46" s="33" t="s">
        <v>9</v>
      </c>
      <c r="H46" s="33" t="s">
        <v>37</v>
      </c>
      <c r="I46" s="33" t="s">
        <v>379</v>
      </c>
      <c r="J46" s="33" t="s">
        <v>380</v>
      </c>
      <c r="K46" s="34" t="s">
        <v>215</v>
      </c>
      <c r="L46" s="39" t="s">
        <v>377</v>
      </c>
      <c r="M46" s="33" t="s">
        <v>378</v>
      </c>
      <c r="N46" s="37"/>
      <c r="O46" s="37"/>
    </row>
    <row r="47" spans="1:15" ht="13.15" x14ac:dyDescent="0.4">
      <c r="A47" s="42" t="s">
        <v>250</v>
      </c>
      <c r="B47" s="31"/>
      <c r="C47" s="36" t="s">
        <v>52</v>
      </c>
      <c r="G47" s="261">
        <f>SUM('#1-Meritus:#5034-Mt Washington Pediatric'!F68:F68)</f>
        <v>95598.285000000003</v>
      </c>
      <c r="H47" s="261">
        <f>SUM('#1-Meritus:#5034-Mt Washington Pediatric'!G68:G68)</f>
        <v>2001</v>
      </c>
      <c r="I47" s="261">
        <f>SUM('#1-Meritus:#5034-Mt Washington Pediatric'!H68:H68)</f>
        <v>10874406.75</v>
      </c>
      <c r="J47" s="261">
        <f>SUM('#1-Meritus:#5034-Mt Washington Pediatric'!I68:I68)</f>
        <v>2686095.5920256847</v>
      </c>
      <c r="K47" s="261">
        <f>SUM('#1-Meritus:#5034-Mt Washington Pediatric'!J68:J68)</f>
        <v>4343038.37</v>
      </c>
      <c r="L47" s="261">
        <f>SUM('#1-Meritus:#5034-Mt Washington Pediatric'!K68:K68)</f>
        <v>9217463.972025685</v>
      </c>
      <c r="M47" s="76">
        <f>L47-J47</f>
        <v>6531368.3800000008</v>
      </c>
      <c r="N47" s="37"/>
      <c r="O47" s="37"/>
    </row>
    <row r="48" spans="1:15" ht="13.15" x14ac:dyDescent="0.4">
      <c r="A48" s="42" t="s">
        <v>251</v>
      </c>
      <c r="B48" s="30"/>
      <c r="C48" s="36" t="s">
        <v>53</v>
      </c>
      <c r="G48" s="261">
        <f>SUM('#1-Meritus:#5034-Mt Washington Pediatric'!F69:F69)</f>
        <v>36964.800000000003</v>
      </c>
      <c r="H48" s="261">
        <f>SUM('#1-Meritus:#5034-Mt Washington Pediatric'!G69:G69)</f>
        <v>4796</v>
      </c>
      <c r="I48" s="261">
        <f>SUM('#1-Meritus:#5034-Mt Washington Pediatric'!H69:H69)</f>
        <v>2353247.98</v>
      </c>
      <c r="J48" s="261">
        <f>SUM('#1-Meritus:#5034-Mt Washington Pediatric'!I69:I69)</f>
        <v>836129.16449999996</v>
      </c>
      <c r="K48" s="261">
        <f>SUM('#1-Meritus:#5034-Mt Washington Pediatric'!J69:J69)</f>
        <v>204339</v>
      </c>
      <c r="L48" s="261">
        <f>SUM('#1-Meritus:#5034-Mt Washington Pediatric'!K69:K69)</f>
        <v>2985038.1445000004</v>
      </c>
      <c r="M48" s="76">
        <f>L48-J48</f>
        <v>2148908.9800000004</v>
      </c>
      <c r="N48" s="37"/>
      <c r="O48" s="37"/>
    </row>
    <row r="49" spans="1:15" ht="13.15" x14ac:dyDescent="0.4">
      <c r="A49" s="42" t="s">
        <v>320</v>
      </c>
      <c r="B49" s="42"/>
      <c r="C49" s="36" t="s">
        <v>233</v>
      </c>
      <c r="D49" s="36"/>
      <c r="E49" s="36"/>
      <c r="F49" s="36"/>
      <c r="G49" s="261">
        <f>SUM('#1-Meritus:#5034-Mt Washington Pediatric'!F70:F70)</f>
        <v>21819</v>
      </c>
      <c r="H49" s="261">
        <f>SUM('#1-Meritus:#5034-Mt Washington Pediatric'!G70:G70)</f>
        <v>0</v>
      </c>
      <c r="I49" s="261">
        <f>SUM('#1-Meritus:#5034-Mt Washington Pediatric'!H70:H70)</f>
        <v>1376381.44</v>
      </c>
      <c r="J49" s="261">
        <f>SUM('#1-Meritus:#5034-Mt Washington Pediatric'!I70:I70)</f>
        <v>284001.39809999999</v>
      </c>
      <c r="K49" s="261">
        <f>SUM('#1-Meritus:#5034-Mt Washington Pediatric'!J70:J70)</f>
        <v>0</v>
      </c>
      <c r="L49" s="261">
        <f>SUM('#1-Meritus:#5034-Mt Washington Pediatric'!K70:K70)</f>
        <v>1660382.8380999998</v>
      </c>
      <c r="M49" s="76">
        <f>L49-J49</f>
        <v>1376381.44</v>
      </c>
      <c r="N49" s="37"/>
      <c r="O49" s="37"/>
    </row>
    <row r="50" spans="1:15" ht="13.15" x14ac:dyDescent="0.4">
      <c r="D50" s="36"/>
      <c r="E50" s="36"/>
      <c r="F50" s="36"/>
      <c r="G50" s="43"/>
      <c r="H50" s="43"/>
      <c r="I50" s="43"/>
      <c r="J50" s="43"/>
      <c r="K50" s="43"/>
      <c r="L50" s="43"/>
      <c r="M50" s="44"/>
      <c r="N50" s="37"/>
      <c r="O50" s="37"/>
    </row>
    <row r="51" spans="1:15" ht="13.15" x14ac:dyDescent="0.4">
      <c r="A51" s="42" t="s">
        <v>146</v>
      </c>
      <c r="B51" s="42"/>
      <c r="C51" s="36" t="s">
        <v>225</v>
      </c>
      <c r="G51" s="55">
        <f>SUM(G47:G49)</f>
        <v>154382.08500000002</v>
      </c>
      <c r="H51" s="55">
        <f t="shared" ref="H51:M51" si="5">SUM(H47:H49)</f>
        <v>6797</v>
      </c>
      <c r="I51" s="80">
        <f t="shared" si="5"/>
        <v>14604036.17</v>
      </c>
      <c r="J51" s="80">
        <f t="shared" si="5"/>
        <v>3806226.1546256845</v>
      </c>
      <c r="K51" s="80">
        <f t="shared" si="5"/>
        <v>4547377.37</v>
      </c>
      <c r="L51" s="80">
        <f t="shared" si="5"/>
        <v>13862884.954625685</v>
      </c>
      <c r="M51" s="80">
        <f t="shared" si="5"/>
        <v>10056658.800000001</v>
      </c>
      <c r="N51" s="37"/>
      <c r="O51" s="37"/>
    </row>
    <row r="52" spans="1:15" ht="13.15" x14ac:dyDescent="0.4">
      <c r="A52" s="42"/>
      <c r="B52" s="42"/>
      <c r="G52" s="56"/>
      <c r="H52" s="56"/>
      <c r="I52" s="56"/>
      <c r="J52" s="56"/>
      <c r="K52" s="56"/>
      <c r="L52" s="56"/>
      <c r="M52" s="49"/>
      <c r="N52" s="37"/>
      <c r="O52" s="37"/>
    </row>
    <row r="53" spans="1:15" ht="46.5" customHeight="1" x14ac:dyDescent="0.4">
      <c r="A53" s="31" t="s">
        <v>385</v>
      </c>
      <c r="B53" s="31"/>
      <c r="C53" s="57" t="s">
        <v>68</v>
      </c>
      <c r="G53" s="33" t="s">
        <v>9</v>
      </c>
      <c r="H53" s="33" t="s">
        <v>37</v>
      </c>
      <c r="I53" s="58" t="s">
        <v>379</v>
      </c>
      <c r="J53" s="58" t="s">
        <v>380</v>
      </c>
      <c r="K53" s="34" t="s">
        <v>215</v>
      </c>
      <c r="L53" s="39" t="s">
        <v>377</v>
      </c>
      <c r="M53" s="33" t="s">
        <v>378</v>
      </c>
      <c r="N53" s="37"/>
      <c r="O53" s="37"/>
    </row>
    <row r="54" spans="1:15" ht="15" x14ac:dyDescent="0.4">
      <c r="A54" s="31"/>
      <c r="B54" s="31"/>
      <c r="C54" s="57"/>
      <c r="K54" s="40"/>
      <c r="L54" s="41"/>
      <c r="N54" s="37"/>
      <c r="O54" s="37"/>
    </row>
    <row r="55" spans="1:15" ht="13.15" x14ac:dyDescent="0.4">
      <c r="A55" s="42" t="s">
        <v>252</v>
      </c>
      <c r="B55" s="31"/>
      <c r="C55" s="30" t="s">
        <v>54</v>
      </c>
      <c r="G55" s="261">
        <f>SUM('#1-Meritus:#5034-Mt Washington Pediatric'!F77:F77)</f>
        <v>953.53791823372148</v>
      </c>
      <c r="H55" s="261">
        <f>SUM('#1-Meritus:#5034-Mt Washington Pediatric'!G77:G77)</f>
        <v>4059</v>
      </c>
      <c r="I55" s="261">
        <f>SUM('#1-Meritus:#5034-Mt Washington Pediatric'!H77:H77)</f>
        <v>11207502.254999999</v>
      </c>
      <c r="J55" s="261">
        <f>SUM('#1-Meritus:#5034-Mt Washington Pediatric'!I77:I77)</f>
        <v>290040.09518508636</v>
      </c>
      <c r="K55" s="261">
        <f>SUM('#1-Meritus:#5034-Mt Washington Pediatric'!J77:J77)</f>
        <v>86105</v>
      </c>
      <c r="L55" s="261">
        <f>SUM('#1-Meritus:#5034-Mt Washington Pediatric'!K77:K77)</f>
        <v>11411437.350185087</v>
      </c>
      <c r="M55" s="76">
        <f>L55-J55</f>
        <v>11121397.255000001</v>
      </c>
      <c r="N55" s="37"/>
      <c r="O55" s="37"/>
    </row>
    <row r="56" spans="1:15" ht="13.15" x14ac:dyDescent="0.4">
      <c r="A56" s="42" t="s">
        <v>253</v>
      </c>
      <c r="B56" s="30"/>
      <c r="C56" s="30" t="s">
        <v>55</v>
      </c>
      <c r="G56" s="261">
        <f>SUM('#1-Meritus:#5034-Mt Washington Pediatric'!F78:F78)</f>
        <v>4065.4</v>
      </c>
      <c r="H56" s="261">
        <f>SUM('#1-Meritus:#5034-Mt Washington Pediatric'!G78:G78)</f>
        <v>3816</v>
      </c>
      <c r="I56" s="261">
        <f>SUM('#1-Meritus:#5034-Mt Washington Pediatric'!H78:H78)</f>
        <v>332614.57066828845</v>
      </c>
      <c r="J56" s="261">
        <f>SUM('#1-Meritus:#5034-Mt Washington Pediatric'!I78:I78)</f>
        <v>26253.342588475793</v>
      </c>
      <c r="K56" s="261">
        <f>SUM('#1-Meritus:#5034-Mt Washington Pediatric'!J78:J78)</f>
        <v>33746</v>
      </c>
      <c r="L56" s="261">
        <f>SUM('#1-Meritus:#5034-Mt Washington Pediatric'!K78:K78)</f>
        <v>325121.91325676424</v>
      </c>
      <c r="M56" s="76">
        <f>L56-J56</f>
        <v>298868.57066828845</v>
      </c>
      <c r="N56" s="37"/>
      <c r="O56" s="37"/>
    </row>
    <row r="57" spans="1:15" ht="13.15" x14ac:dyDescent="0.4">
      <c r="A57" s="42" t="s">
        <v>254</v>
      </c>
      <c r="B57" s="42"/>
      <c r="C57" s="30" t="s">
        <v>13</v>
      </c>
      <c r="G57" s="261">
        <f>SUM('#1-Meritus:#5034-Mt Washington Pediatric'!F79:F79)</f>
        <v>33976.210956246243</v>
      </c>
      <c r="H57" s="261">
        <f>SUM('#1-Meritus:#5034-Mt Washington Pediatric'!G79:G79)</f>
        <v>137707.99574341709</v>
      </c>
      <c r="I57" s="261">
        <f>SUM('#1-Meritus:#5034-Mt Washington Pediatric'!H79:H79)</f>
        <v>3917299.4087493126</v>
      </c>
      <c r="J57" s="261">
        <f>SUM('#1-Meritus:#5034-Mt Washington Pediatric'!I79:I79)</f>
        <v>537756.45682883123</v>
      </c>
      <c r="K57" s="261">
        <f>SUM('#1-Meritus:#5034-Mt Washington Pediatric'!J79:J79)</f>
        <v>231970</v>
      </c>
      <c r="L57" s="261">
        <f>SUM('#1-Meritus:#5034-Mt Washington Pediatric'!K79:K79)</f>
        <v>4223085.8655781439</v>
      </c>
      <c r="M57" s="76">
        <f>L57-J57</f>
        <v>3685329.4087493126</v>
      </c>
      <c r="N57" s="37"/>
      <c r="O57" s="37"/>
    </row>
    <row r="58" spans="1:15" ht="13.15" x14ac:dyDescent="0.4">
      <c r="A58" s="42" t="s">
        <v>255</v>
      </c>
      <c r="B58" s="42"/>
      <c r="C58" s="30" t="s">
        <v>56</v>
      </c>
      <c r="G58" s="261">
        <f>SUM('#1-Meritus:#5034-Mt Washington Pediatric'!F80:F80)</f>
        <v>677</v>
      </c>
      <c r="H58" s="261">
        <f>SUM('#1-Meritus:#5034-Mt Washington Pediatric'!G80:G80)</f>
        <v>10</v>
      </c>
      <c r="I58" s="261">
        <f>SUM('#1-Meritus:#5034-Mt Washington Pediatric'!H80:H80)</f>
        <v>1256940.2894232569</v>
      </c>
      <c r="J58" s="261">
        <f>SUM('#1-Meritus:#5034-Mt Washington Pediatric'!I80:I80)</f>
        <v>165503.50926840075</v>
      </c>
      <c r="K58" s="261">
        <f>SUM('#1-Meritus:#5034-Mt Washington Pediatric'!J80:J80)</f>
        <v>0</v>
      </c>
      <c r="L58" s="261">
        <f>SUM('#1-Meritus:#5034-Mt Washington Pediatric'!K80:K80)</f>
        <v>1422443.7986916576</v>
      </c>
      <c r="M58" s="76">
        <f>L58-J58</f>
        <v>1256940.2894232569</v>
      </c>
      <c r="N58" s="37"/>
      <c r="O58" s="37"/>
    </row>
    <row r="59" spans="1:15" ht="13.15" x14ac:dyDescent="0.4">
      <c r="A59" s="42"/>
      <c r="B59" s="42"/>
      <c r="C59" s="59"/>
      <c r="G59" s="60"/>
      <c r="H59" s="60"/>
      <c r="I59" s="60"/>
      <c r="J59" s="60"/>
      <c r="K59" s="60"/>
      <c r="L59" s="60"/>
      <c r="M59" s="44"/>
      <c r="N59" s="37"/>
      <c r="O59" s="37"/>
    </row>
    <row r="60" spans="1:15" ht="13.15" x14ac:dyDescent="0.4">
      <c r="A60" s="42" t="s">
        <v>148</v>
      </c>
      <c r="B60" s="42"/>
      <c r="C60" s="30" t="s">
        <v>225</v>
      </c>
      <c r="D60" s="59"/>
      <c r="E60" s="59"/>
      <c r="F60" s="59"/>
      <c r="G60" s="55">
        <f>SUM(G55:G59)</f>
        <v>39672.148874479964</v>
      </c>
      <c r="H60" s="55">
        <f t="shared" ref="H60:M60" si="6">SUM(H55:H59)</f>
        <v>145592.99574341709</v>
      </c>
      <c r="I60" s="80">
        <f t="shared" si="6"/>
        <v>16714356.523840856</v>
      </c>
      <c r="J60" s="80">
        <f t="shared" si="6"/>
        <v>1019553.4038707941</v>
      </c>
      <c r="K60" s="80">
        <f t="shared" si="6"/>
        <v>351821</v>
      </c>
      <c r="L60" s="80">
        <f t="shared" si="6"/>
        <v>17382088.927711651</v>
      </c>
      <c r="M60" s="80">
        <f t="shared" si="6"/>
        <v>16362535.523840858</v>
      </c>
      <c r="N60" s="37"/>
      <c r="O60" s="37"/>
    </row>
    <row r="61" spans="1:15" ht="13.15" x14ac:dyDescent="0.4">
      <c r="A61" s="42"/>
      <c r="B61" s="42"/>
      <c r="C61" s="30"/>
      <c r="D61" s="59"/>
      <c r="E61" s="59"/>
      <c r="F61" s="59"/>
      <c r="G61" s="61"/>
      <c r="H61" s="61"/>
      <c r="I61" s="61"/>
      <c r="J61" s="61"/>
      <c r="K61" s="61"/>
      <c r="L61" s="61"/>
      <c r="M61" s="61"/>
      <c r="N61" s="37"/>
      <c r="O61" s="37"/>
    </row>
    <row r="62" spans="1:15" ht="13.15" x14ac:dyDescent="0.4">
      <c r="A62" s="42"/>
      <c r="G62" s="46"/>
      <c r="H62" s="46"/>
      <c r="I62" s="47"/>
      <c r="J62" s="47"/>
      <c r="K62" s="47"/>
      <c r="L62" s="47"/>
      <c r="M62" s="47"/>
      <c r="N62" s="37"/>
      <c r="O62" s="37"/>
    </row>
    <row r="63" spans="1:15" ht="13.15" x14ac:dyDescent="0.4">
      <c r="A63" s="42"/>
      <c r="B63" s="42"/>
      <c r="C63" s="30"/>
      <c r="K63" s="40"/>
      <c r="L63" s="41"/>
      <c r="N63" s="37"/>
      <c r="O63" s="37"/>
    </row>
    <row r="64" spans="1:15" ht="41.25" customHeight="1" x14ac:dyDescent="0.4">
      <c r="A64" s="30" t="s">
        <v>386</v>
      </c>
      <c r="B64" s="42"/>
      <c r="C64" s="36" t="s">
        <v>57</v>
      </c>
      <c r="G64" s="33" t="s">
        <v>9</v>
      </c>
      <c r="H64" s="33" t="s">
        <v>37</v>
      </c>
      <c r="I64" s="33" t="s">
        <v>379</v>
      </c>
      <c r="J64" s="33" t="s">
        <v>380</v>
      </c>
      <c r="K64" s="34" t="s">
        <v>215</v>
      </c>
      <c r="L64" s="39" t="s">
        <v>377</v>
      </c>
      <c r="M64" s="33" t="s">
        <v>378</v>
      </c>
      <c r="N64" s="37"/>
      <c r="O64" s="37"/>
    </row>
    <row r="65" spans="1:15" x14ac:dyDescent="0.35">
      <c r="K65" s="40"/>
      <c r="L65" s="41"/>
      <c r="N65" s="37"/>
      <c r="O65" s="37"/>
    </row>
    <row r="66" spans="1:15" ht="13.15" x14ac:dyDescent="0.4">
      <c r="A66" s="42" t="s">
        <v>256</v>
      </c>
      <c r="B66" s="31"/>
      <c r="C66" s="36" t="s">
        <v>387</v>
      </c>
      <c r="G66" s="261">
        <f>SUM('#1-Meritus:#5034-Mt Washington Pediatric'!F86:F86)</f>
        <v>19890</v>
      </c>
      <c r="H66" s="261">
        <f>SUM('#1-Meritus:#5034-Mt Washington Pediatric'!G86:G86)</f>
        <v>11339</v>
      </c>
      <c r="I66" s="261">
        <f>SUM('#1-Meritus:#5034-Mt Washington Pediatric'!H86:H86)</f>
        <v>6268893.260602762</v>
      </c>
      <c r="J66" s="261">
        <f>SUM('#1-Meritus:#5034-Mt Washington Pediatric'!I86:I86)</f>
        <v>5260455.1175447879</v>
      </c>
      <c r="K66" s="261">
        <f>SUM('#1-Meritus:#5034-Mt Washington Pediatric'!J86:J86)</f>
        <v>2871258</v>
      </c>
      <c r="L66" s="261">
        <f>SUM('#1-Meritus:#5034-Mt Washington Pediatric'!K86:K86)</f>
        <v>8658090.3781475499</v>
      </c>
      <c r="M66" s="76">
        <f>L66-J66</f>
        <v>3397635.260602762</v>
      </c>
      <c r="N66" s="37"/>
      <c r="O66" s="37"/>
    </row>
    <row r="67" spans="1:15" ht="13.15" x14ac:dyDescent="0.4">
      <c r="A67" s="42" t="s">
        <v>257</v>
      </c>
      <c r="B67" s="30"/>
      <c r="C67" s="36" t="s">
        <v>14</v>
      </c>
      <c r="D67" s="36"/>
      <c r="E67" s="36"/>
      <c r="F67" s="36"/>
      <c r="G67" s="261">
        <f>SUM('#1-Meritus:#5034-Mt Washington Pediatric'!F87:F87)</f>
        <v>12988</v>
      </c>
      <c r="H67" s="261">
        <f>SUM('#1-Meritus:#5034-Mt Washington Pediatric'!G87:G87)</f>
        <v>5382</v>
      </c>
      <c r="I67" s="261">
        <f>SUM('#1-Meritus:#5034-Mt Washington Pediatric'!H87:H87)</f>
        <v>1461206.3713533736</v>
      </c>
      <c r="J67" s="261">
        <f>SUM('#1-Meritus:#5034-Mt Washington Pediatric'!I87:I87)</f>
        <v>571106.75171672343</v>
      </c>
      <c r="K67" s="261">
        <f>SUM('#1-Meritus:#5034-Mt Washington Pediatric'!J87:J87)</f>
        <v>255891.7</v>
      </c>
      <c r="L67" s="261">
        <f>SUM('#1-Meritus:#5034-Mt Washington Pediatric'!K87:K87)</f>
        <v>1776421.4230700976</v>
      </c>
      <c r="M67" s="76">
        <f t="shared" ref="M67:M76" si="7">L67-J67</f>
        <v>1205314.6713533741</v>
      </c>
      <c r="N67" s="37"/>
      <c r="O67" s="37"/>
    </row>
    <row r="68" spans="1:15" ht="13.15" x14ac:dyDescent="0.4">
      <c r="A68" s="42" t="s">
        <v>258</v>
      </c>
      <c r="B68" s="42"/>
      <c r="C68" s="36" t="s">
        <v>388</v>
      </c>
      <c r="D68" s="36"/>
      <c r="E68" s="36"/>
      <c r="F68" s="36"/>
      <c r="G68" s="261">
        <f>SUM('#1-Meritus:#5034-Mt Washington Pediatric'!F88:F88)</f>
        <v>137591.44534399125</v>
      </c>
      <c r="H68" s="261">
        <f>SUM('#1-Meritus:#5034-Mt Washington Pediatric'!G88:G88)</f>
        <v>13041</v>
      </c>
      <c r="I68" s="261">
        <f>SUM('#1-Meritus:#5034-Mt Washington Pediatric'!H88:H88)</f>
        <v>5844636.3131140713</v>
      </c>
      <c r="J68" s="261">
        <f>SUM('#1-Meritus:#5034-Mt Washington Pediatric'!I88:I88)</f>
        <v>3441249.0726844352</v>
      </c>
      <c r="K68" s="261">
        <f>SUM('#1-Meritus:#5034-Mt Washington Pediatric'!J88:J88)</f>
        <v>808407</v>
      </c>
      <c r="L68" s="261">
        <f>SUM('#1-Meritus:#5034-Mt Washington Pediatric'!K88:K88)</f>
        <v>8477478.3857985064</v>
      </c>
      <c r="M68" s="76">
        <f t="shared" si="7"/>
        <v>5036229.3131140713</v>
      </c>
      <c r="N68" s="37"/>
      <c r="O68" s="37"/>
    </row>
    <row r="69" spans="1:15" ht="13.15" x14ac:dyDescent="0.4">
      <c r="A69" s="42" t="s">
        <v>259</v>
      </c>
      <c r="B69" s="42"/>
      <c r="C69" s="36" t="s">
        <v>58</v>
      </c>
      <c r="D69" s="36"/>
      <c r="E69" s="36"/>
      <c r="F69" s="36"/>
      <c r="G69" s="261">
        <f>SUM('#1-Meritus:#5034-Mt Washington Pediatric'!F89:F89)</f>
        <v>15184</v>
      </c>
      <c r="H69" s="261">
        <f>SUM('#1-Meritus:#5034-Mt Washington Pediatric'!G89:G89)</f>
        <v>13316</v>
      </c>
      <c r="I69" s="261">
        <f>SUM('#1-Meritus:#5034-Mt Washington Pediatric'!H89:H89)</f>
        <v>721978.17</v>
      </c>
      <c r="J69" s="261">
        <f>SUM('#1-Meritus:#5034-Mt Washington Pediatric'!I89:I89)</f>
        <v>384538.75711399998</v>
      </c>
      <c r="K69" s="261">
        <f>SUM('#1-Meritus:#5034-Mt Washington Pediatric'!J89:J89)</f>
        <v>11113</v>
      </c>
      <c r="L69" s="261">
        <f>SUM('#1-Meritus:#5034-Mt Washington Pediatric'!K89:K89)</f>
        <v>1095403.9271140001</v>
      </c>
      <c r="M69" s="76">
        <f t="shared" si="7"/>
        <v>710865.17000000016</v>
      </c>
      <c r="N69" s="37"/>
      <c r="O69" s="37"/>
    </row>
    <row r="70" spans="1:15" ht="13.15" x14ac:dyDescent="0.4">
      <c r="A70" s="42" t="s">
        <v>260</v>
      </c>
      <c r="B70" s="42"/>
      <c r="C70" s="35" t="s">
        <v>59</v>
      </c>
      <c r="D70" s="36"/>
      <c r="E70" s="36"/>
      <c r="F70" s="36"/>
      <c r="G70" s="261">
        <f>SUM('#1-Meritus:#5034-Mt Washington Pediatric'!F90:F90)</f>
        <v>8780.0785859234002</v>
      </c>
      <c r="H70" s="261">
        <f>SUM('#1-Meritus:#5034-Mt Washington Pediatric'!G90:G90)</f>
        <v>787.83570163266495</v>
      </c>
      <c r="I70" s="261">
        <f>SUM('#1-Meritus:#5034-Mt Washington Pediatric'!H90:H90)</f>
        <v>316833.84594624455</v>
      </c>
      <c r="J70" s="261">
        <f>SUM('#1-Meritus:#5034-Mt Washington Pediatric'!I90:I90)</f>
        <v>219644.19651316805</v>
      </c>
      <c r="K70" s="261">
        <f>SUM('#1-Meritus:#5034-Mt Washington Pediatric'!J90:J90)</f>
        <v>0</v>
      </c>
      <c r="L70" s="261">
        <f>SUM('#1-Meritus:#5034-Mt Washington Pediatric'!K90:K90)</f>
        <v>536478.04245941259</v>
      </c>
      <c r="M70" s="76">
        <f t="shared" si="7"/>
        <v>316833.84594624455</v>
      </c>
      <c r="N70" s="37"/>
      <c r="O70" s="37"/>
    </row>
    <row r="71" spans="1:15" ht="13.15" x14ac:dyDescent="0.4">
      <c r="A71" s="42" t="s">
        <v>261</v>
      </c>
      <c r="B71" s="42"/>
      <c r="C71" s="36" t="s">
        <v>60</v>
      </c>
      <c r="D71" s="63"/>
      <c r="E71" s="63"/>
      <c r="F71" s="63"/>
      <c r="G71" s="261">
        <f>SUM('#1-Meritus:#5034-Mt Washington Pediatric'!F91:F91)</f>
        <v>26604.816095782022</v>
      </c>
      <c r="H71" s="261">
        <f>SUM('#1-Meritus:#5034-Mt Washington Pediatric'!G91:G91)</f>
        <v>159973</v>
      </c>
      <c r="I71" s="261">
        <f>SUM('#1-Meritus:#5034-Mt Washington Pediatric'!H91:H91)</f>
        <v>3124030.6181626669</v>
      </c>
      <c r="J71" s="261">
        <f>SUM('#1-Meritus:#5034-Mt Washington Pediatric'!I91:I91)</f>
        <v>1813309.5778980616</v>
      </c>
      <c r="K71" s="261">
        <f>SUM('#1-Meritus:#5034-Mt Washington Pediatric'!J91:J91)</f>
        <v>141974.78</v>
      </c>
      <c r="L71" s="261">
        <f>SUM('#1-Meritus:#5034-Mt Washington Pediatric'!K91:K91)</f>
        <v>4795365.4160607271</v>
      </c>
      <c r="M71" s="76">
        <f t="shared" si="7"/>
        <v>2982055.8381626653</v>
      </c>
      <c r="N71" s="37"/>
      <c r="O71" s="37"/>
    </row>
    <row r="72" spans="1:15" ht="13.15" x14ac:dyDescent="0.4">
      <c r="A72" s="42" t="s">
        <v>262</v>
      </c>
      <c r="B72" s="42"/>
      <c r="C72" s="36" t="s">
        <v>389</v>
      </c>
      <c r="D72" s="36"/>
      <c r="E72" s="36"/>
      <c r="F72" s="36"/>
      <c r="G72" s="261">
        <f>SUM('#1-Meritus:#5034-Mt Washington Pediatric'!F92:F92)</f>
        <v>8518.914285714287</v>
      </c>
      <c r="H72" s="261">
        <f>SUM('#1-Meritus:#5034-Mt Washington Pediatric'!G92:G92)</f>
        <v>1005200</v>
      </c>
      <c r="I72" s="261">
        <f>SUM('#1-Meritus:#5034-Mt Washington Pediatric'!H92:H92)</f>
        <v>1949603.6176722792</v>
      </c>
      <c r="J72" s="261">
        <f>SUM('#1-Meritus:#5034-Mt Washington Pediatric'!I92:I92)</f>
        <v>1123456.1826013643</v>
      </c>
      <c r="K72" s="261">
        <f>SUM('#1-Meritus:#5034-Mt Washington Pediatric'!J92:J92)</f>
        <v>3400</v>
      </c>
      <c r="L72" s="261">
        <f>SUM('#1-Meritus:#5034-Mt Washington Pediatric'!K92:K92)</f>
        <v>3069660.2802736438</v>
      </c>
      <c r="M72" s="76">
        <f t="shared" si="7"/>
        <v>1946204.0976722795</v>
      </c>
      <c r="N72" s="37"/>
      <c r="O72" s="37"/>
    </row>
    <row r="73" spans="1:15" ht="13.15" x14ac:dyDescent="0.4">
      <c r="A73" s="42" t="s">
        <v>263</v>
      </c>
      <c r="B73" s="42"/>
      <c r="C73" s="36" t="s">
        <v>390</v>
      </c>
      <c r="D73" s="36"/>
      <c r="E73" s="36"/>
      <c r="F73" s="36"/>
      <c r="G73" s="261">
        <f>SUM('#1-Meritus:#5034-Mt Washington Pediatric'!F93:F93)</f>
        <v>73935.149574341718</v>
      </c>
      <c r="H73" s="261">
        <f>SUM('#1-Meritus:#5034-Mt Washington Pediatric'!G93:G93)</f>
        <v>96242.25</v>
      </c>
      <c r="I73" s="261">
        <f>SUM('#1-Meritus:#5034-Mt Washington Pediatric'!H93:H93)</f>
        <v>3971568.1955318586</v>
      </c>
      <c r="J73" s="261">
        <f>SUM('#1-Meritus:#5034-Mt Washington Pediatric'!I93:I93)</f>
        <v>2581141.188586947</v>
      </c>
      <c r="K73" s="261">
        <f>SUM('#1-Meritus:#5034-Mt Washington Pediatric'!J93:J93)</f>
        <v>359243</v>
      </c>
      <c r="L73" s="261">
        <f>SUM('#1-Meritus:#5034-Mt Washington Pediatric'!K93:K93)</f>
        <v>6193466.3841188056</v>
      </c>
      <c r="M73" s="76">
        <f t="shared" si="7"/>
        <v>3612325.1955318586</v>
      </c>
      <c r="N73" s="37"/>
      <c r="O73" s="37"/>
    </row>
    <row r="74" spans="1:15" ht="13.15" x14ac:dyDescent="0.4">
      <c r="A74" s="42" t="s">
        <v>321</v>
      </c>
      <c r="B74" s="42"/>
      <c r="C74" s="36" t="s">
        <v>233</v>
      </c>
      <c r="D74" s="36"/>
      <c r="E74" s="36"/>
      <c r="F74" s="36"/>
      <c r="G74" s="261">
        <f>SUM('#1-Meritus:#5034-Mt Washington Pediatric'!F94:F94)</f>
        <v>12668</v>
      </c>
      <c r="H74" s="261">
        <f>SUM('#1-Meritus:#5034-Mt Washington Pediatric'!G94:G94)</f>
        <v>179871</v>
      </c>
      <c r="I74" s="261">
        <f>SUM('#1-Meritus:#5034-Mt Washington Pediatric'!H94:H94)</f>
        <v>322837.45200732985</v>
      </c>
      <c r="J74" s="261">
        <f>SUM('#1-Meritus:#5034-Mt Washington Pediatric'!I94:I94)</f>
        <v>149938.74777329603</v>
      </c>
      <c r="K74" s="261">
        <f>SUM('#1-Meritus:#5034-Mt Washington Pediatric'!J94:J94)</f>
        <v>6565</v>
      </c>
      <c r="L74" s="261">
        <f>SUM('#1-Meritus:#5034-Mt Washington Pediatric'!K94:K94)</f>
        <v>466211.19978062582</v>
      </c>
      <c r="M74" s="76">
        <f t="shared" si="7"/>
        <v>316272.45200732979</v>
      </c>
      <c r="N74" s="37"/>
      <c r="O74" s="37"/>
    </row>
    <row r="75" spans="1:15" ht="13.15" x14ac:dyDescent="0.4">
      <c r="A75" s="42" t="s">
        <v>112</v>
      </c>
      <c r="B75" s="42"/>
      <c r="C75" s="36" t="s">
        <v>233</v>
      </c>
      <c r="D75" s="36"/>
      <c r="E75" s="36"/>
      <c r="F75" s="36"/>
      <c r="G75" s="261">
        <f>SUM('#1-Meritus:#5034-Mt Washington Pediatric'!F95:F95)</f>
        <v>127</v>
      </c>
      <c r="H75" s="261">
        <f>SUM('#1-Meritus:#5034-Mt Washington Pediatric'!G95:G95)</f>
        <v>70</v>
      </c>
      <c r="I75" s="261">
        <f>SUM('#1-Meritus:#5034-Mt Washington Pediatric'!H95:H95)</f>
        <v>8750</v>
      </c>
      <c r="J75" s="261">
        <f>SUM('#1-Meritus:#5034-Mt Washington Pediatric'!I95:I95)</f>
        <v>4867.625</v>
      </c>
      <c r="K75" s="261">
        <f>SUM('#1-Meritus:#5034-Mt Washington Pediatric'!J95:J95)</f>
        <v>1000</v>
      </c>
      <c r="L75" s="261">
        <f>SUM('#1-Meritus:#5034-Mt Washington Pediatric'!K95:K95)</f>
        <v>12617.625</v>
      </c>
      <c r="M75" s="76">
        <f t="shared" si="7"/>
        <v>7750</v>
      </c>
      <c r="N75" s="37"/>
      <c r="O75" s="37"/>
    </row>
    <row r="76" spans="1:15" ht="13.15" x14ac:dyDescent="0.4">
      <c r="A76" s="42" t="s">
        <v>391</v>
      </c>
      <c r="B76" s="42"/>
      <c r="C76" s="947"/>
      <c r="D76" s="947"/>
      <c r="E76" s="948"/>
      <c r="F76" s="77"/>
      <c r="G76" s="261">
        <f>SUM('#1-Meritus:#5034-Mt Washington Pediatric'!F96:F96)</f>
        <v>0</v>
      </c>
      <c r="H76" s="261">
        <f>SUM('#1-Meritus:#5034-Mt Washington Pediatric'!G96:G96)</f>
        <v>0</v>
      </c>
      <c r="I76" s="261">
        <f>SUM('#1-Meritus:#5034-Mt Washington Pediatric'!H96:H96)</f>
        <v>0</v>
      </c>
      <c r="J76" s="261">
        <f>SUM('#1-Meritus:#5034-Mt Washington Pediatric'!I96:I96)</f>
        <v>0</v>
      </c>
      <c r="K76" s="261">
        <f>SUM('#1-Meritus:#5034-Mt Washington Pediatric'!J96:J96)</f>
        <v>0</v>
      </c>
      <c r="L76" s="261">
        <f>SUM('#1-Meritus:#5034-Mt Washington Pediatric'!K96:K96)</f>
        <v>0</v>
      </c>
      <c r="M76" s="76">
        <f t="shared" si="7"/>
        <v>0</v>
      </c>
      <c r="N76" s="37"/>
      <c r="O76" s="37"/>
    </row>
    <row r="77" spans="1:15" ht="13.15" x14ac:dyDescent="0.4">
      <c r="B77" s="42"/>
      <c r="D77" s="36"/>
      <c r="E77" s="36"/>
      <c r="F77" s="36"/>
      <c r="I77" s="49"/>
      <c r="J77" s="49"/>
      <c r="K77" s="49"/>
      <c r="L77" s="49"/>
      <c r="M77" s="37"/>
      <c r="N77" s="37"/>
      <c r="O77" s="37"/>
    </row>
    <row r="78" spans="1:15" ht="13.15" x14ac:dyDescent="0.4">
      <c r="A78" s="30" t="s">
        <v>150</v>
      </c>
      <c r="B78" s="42"/>
      <c r="C78" s="36" t="s">
        <v>225</v>
      </c>
      <c r="G78" s="62">
        <f>SUM(G66:G76)</f>
        <v>316287.40388575266</v>
      </c>
      <c r="H78" s="62">
        <f t="shared" ref="H78:M78" si="8">SUM(H66:H76)</f>
        <v>1485222.0857016328</v>
      </c>
      <c r="I78" s="62">
        <f t="shared" si="8"/>
        <v>23990337.84439059</v>
      </c>
      <c r="J78" s="62">
        <f t="shared" si="8"/>
        <v>15549707.217432784</v>
      </c>
      <c r="K78" s="62">
        <f t="shared" si="8"/>
        <v>4458852.4800000004</v>
      </c>
      <c r="L78" s="62">
        <f t="shared" si="8"/>
        <v>35081193.061823368</v>
      </c>
      <c r="M78" s="62">
        <f t="shared" si="8"/>
        <v>19531485.84439059</v>
      </c>
      <c r="N78" s="37"/>
      <c r="O78" s="37"/>
    </row>
    <row r="79" spans="1:15" ht="13.15" x14ac:dyDescent="0.4">
      <c r="A79" s="42"/>
      <c r="B79" s="42"/>
      <c r="C79" s="36"/>
      <c r="G79" s="53"/>
      <c r="H79" s="53"/>
      <c r="I79" s="53"/>
      <c r="J79" s="53"/>
      <c r="K79" s="53"/>
      <c r="L79" s="53"/>
      <c r="M79" s="53"/>
      <c r="N79" s="37"/>
      <c r="O79" s="37"/>
    </row>
    <row r="80" spans="1:15" ht="13.15" x14ac:dyDescent="0.4">
      <c r="A80" s="31"/>
      <c r="B80" s="31"/>
      <c r="C80" s="36"/>
      <c r="K80" s="40"/>
      <c r="L80" s="41"/>
      <c r="N80" s="37"/>
      <c r="O80" s="37"/>
    </row>
    <row r="81" spans="1:15" ht="46.5" customHeight="1" x14ac:dyDescent="0.4">
      <c r="A81" s="36" t="s">
        <v>392</v>
      </c>
      <c r="B81" s="36"/>
      <c r="C81" s="36" t="s">
        <v>63</v>
      </c>
      <c r="G81" s="33" t="s">
        <v>9</v>
      </c>
      <c r="H81" s="33" t="s">
        <v>37</v>
      </c>
      <c r="I81" s="33" t="s">
        <v>379</v>
      </c>
      <c r="J81" s="33" t="s">
        <v>380</v>
      </c>
      <c r="K81" s="34" t="s">
        <v>215</v>
      </c>
      <c r="L81" s="39" t="s">
        <v>377</v>
      </c>
      <c r="M81" s="33" t="s">
        <v>378</v>
      </c>
      <c r="N81" s="37"/>
      <c r="O81" s="37"/>
    </row>
    <row r="82" spans="1:15" ht="13.15" x14ac:dyDescent="0.4">
      <c r="A82" s="31"/>
      <c r="B82" s="31"/>
      <c r="C82" s="36"/>
      <c r="K82" s="40"/>
      <c r="L82" s="41"/>
      <c r="N82" s="37"/>
      <c r="O82" s="37"/>
    </row>
    <row r="83" spans="1:15" ht="13.15" x14ac:dyDescent="0.4">
      <c r="A83" s="42" t="s">
        <v>264</v>
      </c>
      <c r="B83" s="31"/>
      <c r="C83" s="28" t="s">
        <v>393</v>
      </c>
      <c r="G83" s="261">
        <f>SUM('#1-Meritus:#5034-Mt Washington Pediatric'!F102:F102)</f>
        <v>89408.407795686304</v>
      </c>
      <c r="H83" s="261">
        <f>SUM('#1-Meritus:#5034-Mt Washington Pediatric'!G102:G102)</f>
        <v>27076</v>
      </c>
      <c r="I83" s="261">
        <f>SUM('#1-Meritus:#5034-Mt Washington Pediatric'!H102:H102)</f>
        <v>6522402.0311309164</v>
      </c>
      <c r="J83" s="261">
        <f>SUM('#1-Meritus:#5034-Mt Washington Pediatric'!I102:I102)</f>
        <v>4393596.8722584601</v>
      </c>
      <c r="K83" s="261">
        <f>SUM('#1-Meritus:#5034-Mt Washington Pediatric'!J102:J102)</f>
        <v>54159.03</v>
      </c>
      <c r="L83" s="261">
        <f>SUM('#1-Meritus:#5034-Mt Washington Pediatric'!K102:K102)</f>
        <v>10861839.873389374</v>
      </c>
      <c r="M83" s="76">
        <f>L83-J83</f>
        <v>6468243.0011309143</v>
      </c>
      <c r="N83" s="37"/>
      <c r="O83" s="37"/>
    </row>
    <row r="84" spans="1:15" ht="13.15" x14ac:dyDescent="0.4">
      <c r="A84" s="42" t="s">
        <v>265</v>
      </c>
      <c r="B84" s="30"/>
      <c r="C84" s="50" t="s">
        <v>62</v>
      </c>
      <c r="G84" s="261">
        <f>SUM('#1-Meritus:#5034-Mt Washington Pediatric'!F103:F103)</f>
        <v>15799.75</v>
      </c>
      <c r="H84" s="261">
        <f>SUM('#1-Meritus:#5034-Mt Washington Pediatric'!G103:G103)</f>
        <v>100191</v>
      </c>
      <c r="I84" s="261">
        <f>SUM('#1-Meritus:#5034-Mt Washington Pediatric'!H103:H103)</f>
        <v>959608.21820282738</v>
      </c>
      <c r="J84" s="261">
        <f>SUM('#1-Meritus:#5034-Mt Washington Pediatric'!I103:I103)</f>
        <v>569929.54345440562</v>
      </c>
      <c r="K84" s="261">
        <f>SUM('#1-Meritus:#5034-Mt Washington Pediatric'!J103:J103)</f>
        <v>18091</v>
      </c>
      <c r="L84" s="261">
        <f>SUM('#1-Meritus:#5034-Mt Washington Pediatric'!K103:K103)</f>
        <v>1511446.7616572331</v>
      </c>
      <c r="M84" s="76">
        <f>L84-J84</f>
        <v>941517.2182028275</v>
      </c>
      <c r="N84" s="37"/>
      <c r="O84" s="37"/>
    </row>
    <row r="85" spans="1:15" ht="13.15" x14ac:dyDescent="0.4">
      <c r="A85" s="42" t="s">
        <v>319</v>
      </c>
      <c r="B85" s="42"/>
      <c r="C85" s="28" t="s">
        <v>318</v>
      </c>
      <c r="D85" s="51"/>
      <c r="E85" s="51"/>
      <c r="F85" s="51"/>
      <c r="G85" s="261">
        <f>SUM('#1-Meritus:#5034-Mt Washington Pediatric'!F104:F104)</f>
        <v>5779.9122285714284</v>
      </c>
      <c r="H85" s="261">
        <f>SUM('#1-Meritus:#5034-Mt Washington Pediatric'!G104:G104)</f>
        <v>0</v>
      </c>
      <c r="I85" s="261">
        <f>SUM('#1-Meritus:#5034-Mt Washington Pediatric'!H104:H104)</f>
        <v>1181023.21</v>
      </c>
      <c r="J85" s="261">
        <f>SUM('#1-Meritus:#5034-Mt Washington Pediatric'!I104:I104)</f>
        <v>604973.94306009216</v>
      </c>
      <c r="K85" s="261">
        <f>SUM('#1-Meritus:#5034-Mt Washington Pediatric'!J104:J104)</f>
        <v>1369.8</v>
      </c>
      <c r="L85" s="261">
        <f>SUM('#1-Meritus:#5034-Mt Washington Pediatric'!K104:K104)</f>
        <v>1784627.3530600923</v>
      </c>
      <c r="M85" s="76">
        <f>L85-J85</f>
        <v>1179653.4100000001</v>
      </c>
      <c r="N85" s="37"/>
      <c r="O85" s="37"/>
    </row>
    <row r="86" spans="1:15" ht="13.15" x14ac:dyDescent="0.4">
      <c r="A86" s="42" t="s">
        <v>322</v>
      </c>
      <c r="B86" s="42"/>
      <c r="C86" s="36"/>
      <c r="G86" s="261">
        <f>SUM('#1-Meritus:#5034-Mt Washington Pediatric'!F105:F105)</f>
        <v>0</v>
      </c>
      <c r="H86" s="261">
        <f>SUM('#1-Meritus:#5034-Mt Washington Pediatric'!G105:G105)</f>
        <v>0</v>
      </c>
      <c r="I86" s="261">
        <f>SUM('#1-Meritus:#5034-Mt Washington Pediatric'!H105:H105)</f>
        <v>0</v>
      </c>
      <c r="J86" s="261">
        <f>SUM('#1-Meritus:#5034-Mt Washington Pediatric'!I105:I105)</f>
        <v>0</v>
      </c>
      <c r="K86" s="261">
        <f>SUM('#1-Meritus:#5034-Mt Washington Pediatric'!J105:J105)</f>
        <v>0</v>
      </c>
      <c r="L86" s="261">
        <f>SUM('#1-Meritus:#5034-Mt Washington Pediatric'!K105:K105)</f>
        <v>0</v>
      </c>
      <c r="M86" s="76">
        <f>L86-J86</f>
        <v>0</v>
      </c>
      <c r="N86" s="37"/>
      <c r="O86" s="37"/>
    </row>
    <row r="87" spans="1:15" ht="13.15" x14ac:dyDescent="0.4">
      <c r="A87" s="42" t="s">
        <v>323</v>
      </c>
      <c r="B87" s="42"/>
      <c r="C87" s="36"/>
      <c r="G87" s="261">
        <f>SUM('#1-Meritus:#5034-Mt Washington Pediatric'!F106:F106)</f>
        <v>0</v>
      </c>
      <c r="H87" s="261">
        <f>SUM('#1-Meritus:#5034-Mt Washington Pediatric'!G106:G106)</f>
        <v>0</v>
      </c>
      <c r="I87" s="261">
        <f>SUM('#1-Meritus:#5034-Mt Washington Pediatric'!H106:H106)</f>
        <v>0</v>
      </c>
      <c r="J87" s="261">
        <f>SUM('#1-Meritus:#5034-Mt Washington Pediatric'!I106:I106)</f>
        <v>0</v>
      </c>
      <c r="K87" s="261">
        <f>SUM('#1-Meritus:#5034-Mt Washington Pediatric'!J106:J106)</f>
        <v>0</v>
      </c>
      <c r="L87" s="261">
        <f>SUM('#1-Meritus:#5034-Mt Washington Pediatric'!K106:K106)</f>
        <v>0</v>
      </c>
      <c r="M87" s="76">
        <f>L87-J87</f>
        <v>0</v>
      </c>
      <c r="N87" s="37"/>
      <c r="O87" s="37"/>
    </row>
    <row r="88" spans="1:15" ht="13.15" x14ac:dyDescent="0.4">
      <c r="A88" s="42"/>
      <c r="B88" s="42"/>
      <c r="C88" s="36"/>
      <c r="G88" s="64"/>
      <c r="H88" s="65"/>
      <c r="I88" s="65"/>
      <c r="J88" s="65"/>
      <c r="K88" s="65"/>
      <c r="L88" s="65"/>
      <c r="N88" s="37"/>
      <c r="O88" s="37"/>
    </row>
    <row r="89" spans="1:15" ht="13.15" x14ac:dyDescent="0.4">
      <c r="A89" s="36" t="s">
        <v>153</v>
      </c>
      <c r="B89" s="31"/>
      <c r="C89" s="36" t="s">
        <v>225</v>
      </c>
      <c r="D89" s="37"/>
      <c r="E89" s="37"/>
      <c r="F89" s="37"/>
      <c r="G89" s="62">
        <f>SUM(G83:G87)</f>
        <v>110988.07002425773</v>
      </c>
      <c r="H89" s="62">
        <f t="shared" ref="H89:M89" si="9">SUM(H83:H87)</f>
        <v>127267</v>
      </c>
      <c r="I89" s="62">
        <f t="shared" si="9"/>
        <v>8663033.4593337439</v>
      </c>
      <c r="J89" s="62">
        <f t="shared" si="9"/>
        <v>5568500.3587729577</v>
      </c>
      <c r="K89" s="62">
        <f t="shared" si="9"/>
        <v>73619.83</v>
      </c>
      <c r="L89" s="62">
        <f t="shared" si="9"/>
        <v>14157913.9881067</v>
      </c>
      <c r="M89" s="62">
        <f t="shared" si="9"/>
        <v>8589413.629333742</v>
      </c>
      <c r="N89" s="37"/>
      <c r="O89" s="37"/>
    </row>
    <row r="90" spans="1:15" ht="13.15" x14ac:dyDescent="0.4">
      <c r="A90" s="31"/>
      <c r="B90" s="31"/>
      <c r="C90" s="36"/>
      <c r="D90" s="37"/>
      <c r="E90" s="37"/>
      <c r="F90" s="37"/>
      <c r="G90" s="66"/>
      <c r="H90" s="66"/>
      <c r="I90" s="66"/>
      <c r="J90" s="66"/>
      <c r="K90" s="66"/>
      <c r="L90" s="66"/>
      <c r="M90" s="37"/>
      <c r="N90" s="37"/>
      <c r="O90" s="37"/>
    </row>
    <row r="91" spans="1:15" ht="13.15" x14ac:dyDescent="0.4">
      <c r="A91" s="31"/>
      <c r="B91" s="31"/>
      <c r="C91" s="36"/>
      <c r="D91" s="37"/>
      <c r="E91" s="37"/>
      <c r="F91" s="37"/>
      <c r="K91" s="40"/>
      <c r="L91" s="41"/>
      <c r="M91" s="37"/>
      <c r="N91" s="37"/>
      <c r="O91" s="37"/>
    </row>
    <row r="92" spans="1:15" ht="13.15" x14ac:dyDescent="0.4">
      <c r="A92" s="30" t="s">
        <v>394</v>
      </c>
      <c r="B92" s="31"/>
      <c r="C92" s="36" t="s">
        <v>39</v>
      </c>
      <c r="K92" s="40"/>
      <c r="L92" s="41"/>
      <c r="N92" s="37"/>
      <c r="O92" s="37"/>
    </row>
    <row r="93" spans="1:15" ht="13.15" x14ac:dyDescent="0.4">
      <c r="B93" s="31"/>
      <c r="G93" s="45">
        <f>SUM('#1-Meritus:#5034-Mt Washington Pediatric'!F111)</f>
        <v>325409260.85000002</v>
      </c>
      <c r="I93" s="58"/>
      <c r="J93" s="58"/>
      <c r="K93" s="40"/>
      <c r="L93" s="41"/>
      <c r="N93" s="37"/>
      <c r="O93" s="37"/>
    </row>
    <row r="94" spans="1:15" ht="13.15" x14ac:dyDescent="0.4">
      <c r="B94" s="30"/>
      <c r="C94" s="36"/>
      <c r="K94" s="40"/>
      <c r="L94" s="41"/>
      <c r="N94" s="37"/>
      <c r="O94" s="37"/>
    </row>
    <row r="95" spans="1:15" x14ac:dyDescent="0.35">
      <c r="A95" s="31"/>
      <c r="B95" s="31"/>
      <c r="K95" s="40"/>
      <c r="L95" s="41"/>
      <c r="N95" s="37"/>
      <c r="O95" s="37"/>
    </row>
    <row r="96" spans="1:15" ht="44.25" customHeight="1" x14ac:dyDescent="0.4">
      <c r="A96" s="31"/>
      <c r="B96" s="31"/>
      <c r="G96" s="33" t="s">
        <v>9</v>
      </c>
      <c r="H96" s="33" t="s">
        <v>37</v>
      </c>
      <c r="I96" s="33" t="s">
        <v>379</v>
      </c>
      <c r="J96" s="33" t="s">
        <v>380</v>
      </c>
      <c r="K96" s="34" t="s">
        <v>215</v>
      </c>
      <c r="L96" s="39" t="s">
        <v>377</v>
      </c>
      <c r="M96" s="33" t="s">
        <v>378</v>
      </c>
      <c r="N96" s="37"/>
      <c r="O96" s="37"/>
    </row>
    <row r="97" spans="1:15" ht="13.15" x14ac:dyDescent="0.4">
      <c r="A97" s="30" t="s">
        <v>395</v>
      </c>
      <c r="B97" s="42"/>
      <c r="C97" s="36" t="s">
        <v>23</v>
      </c>
      <c r="K97" s="40"/>
      <c r="L97" s="41"/>
      <c r="N97" s="37"/>
      <c r="O97" s="37"/>
    </row>
    <row r="98" spans="1:15" ht="13.15" x14ac:dyDescent="0.4">
      <c r="B98" s="31"/>
      <c r="C98" s="36"/>
      <c r="G98" s="67"/>
      <c r="H98" s="67"/>
      <c r="I98" s="68"/>
      <c r="J98" s="68"/>
      <c r="K98" s="68"/>
      <c r="L98" s="68"/>
      <c r="M98" s="68"/>
      <c r="N98" s="37"/>
      <c r="O98" s="37"/>
    </row>
    <row r="99" spans="1:15" ht="13.15" x14ac:dyDescent="0.4">
      <c r="A99" s="42" t="s">
        <v>266</v>
      </c>
      <c r="B99" s="30"/>
      <c r="C99" s="36" t="s">
        <v>24</v>
      </c>
      <c r="G99" s="62">
        <f>SUM('#1-Meritus:#5034-Mt Washington Pediatric'!F131)</f>
        <v>7690.5</v>
      </c>
      <c r="H99" s="62">
        <f>SUM('#1-Meritus:#5034-Mt Washington Pediatric'!G131)</f>
        <v>6689</v>
      </c>
      <c r="I99" s="62">
        <f>SUM('#1-Meritus:#5034-Mt Washington Pediatric'!H131)</f>
        <v>609753</v>
      </c>
      <c r="J99" s="62">
        <f>SUM('#1-Meritus:#5034-Mt Washington Pediatric'!I131)</f>
        <v>191296.45439999999</v>
      </c>
      <c r="K99" s="62">
        <f>SUM('#1-Meritus:#5034-Mt Washington Pediatric'!J131)</f>
        <v>75102</v>
      </c>
      <c r="L99" s="62">
        <f>SUM('#1-Meritus:#5034-Mt Washington Pediatric'!K131)</f>
        <v>725947.45439999993</v>
      </c>
      <c r="M99" s="76">
        <f>L99-J99</f>
        <v>534651</v>
      </c>
      <c r="N99" s="37"/>
      <c r="O99" s="37"/>
    </row>
    <row r="100" spans="1:15" ht="13.15" x14ac:dyDescent="0.4">
      <c r="A100" s="42" t="s">
        <v>267</v>
      </c>
      <c r="B100" s="42"/>
      <c r="C100" s="36" t="s">
        <v>25</v>
      </c>
      <c r="G100" s="62">
        <f>SUM('#1-Meritus:#5034-Mt Washington Pediatric'!F132)</f>
        <v>77389</v>
      </c>
      <c r="H100" s="62">
        <f>SUM('#1-Meritus:#5034-Mt Washington Pediatric'!G132)</f>
        <v>31706</v>
      </c>
      <c r="I100" s="62">
        <f>SUM('#1-Meritus:#5034-Mt Washington Pediatric'!H132)</f>
        <v>3850469</v>
      </c>
      <c r="J100" s="62">
        <f>SUM('#1-Meritus:#5034-Mt Washington Pediatric'!I132)</f>
        <v>3371992.8504999997</v>
      </c>
      <c r="K100" s="62">
        <f>SUM('#1-Meritus:#5034-Mt Washington Pediatric'!J132)</f>
        <v>2432316</v>
      </c>
      <c r="L100" s="62">
        <f>SUM('#1-Meritus:#5034-Mt Washington Pediatric'!K132)</f>
        <v>4790145.8504999997</v>
      </c>
      <c r="M100" s="76">
        <f>L100-J100</f>
        <v>1418153</v>
      </c>
      <c r="N100" s="37"/>
      <c r="O100" s="37"/>
    </row>
    <row r="101" spans="1:15" ht="13.15" x14ac:dyDescent="0.4">
      <c r="A101" s="42" t="s">
        <v>409</v>
      </c>
      <c r="B101" s="42"/>
      <c r="C101" s="36" t="s">
        <v>233</v>
      </c>
      <c r="G101" s="62">
        <f>SUM('#1-Meritus:#5034-Mt Washington Pediatric'!F133)</f>
        <v>0</v>
      </c>
      <c r="H101" s="62">
        <f>SUM('#1-Meritus:#5034-Mt Washington Pediatric'!G133)</f>
        <v>0</v>
      </c>
      <c r="I101" s="62">
        <f>SUM('#1-Meritus:#5034-Mt Washington Pediatric'!H133)</f>
        <v>10430</v>
      </c>
      <c r="J101" s="62">
        <f>SUM('#1-Meritus:#5034-Mt Washington Pediatric'!I133)</f>
        <v>0</v>
      </c>
      <c r="K101" s="62">
        <f>SUM('#1-Meritus:#5034-Mt Washington Pediatric'!J133)</f>
        <v>0</v>
      </c>
      <c r="L101" s="62">
        <f>SUM('#1-Meritus:#5034-Mt Washington Pediatric'!K133)</f>
        <v>10430</v>
      </c>
      <c r="M101" s="76">
        <f>L101-J101</f>
        <v>10430</v>
      </c>
      <c r="N101" s="37"/>
      <c r="O101" s="37"/>
    </row>
    <row r="102" spans="1:15" ht="13.15" x14ac:dyDescent="0.4">
      <c r="A102" s="42" t="s">
        <v>410</v>
      </c>
      <c r="B102" s="42"/>
      <c r="C102" s="36" t="s">
        <v>233</v>
      </c>
      <c r="G102" s="62">
        <f>SUM('#1-Meritus:#5034-Mt Washington Pediatric'!F134)</f>
        <v>0</v>
      </c>
      <c r="H102" s="62">
        <f>SUM('#1-Meritus:#5034-Mt Washington Pediatric'!G134)</f>
        <v>0</v>
      </c>
      <c r="I102" s="62">
        <f>SUM('#1-Meritus:#5034-Mt Washington Pediatric'!H134)</f>
        <v>0</v>
      </c>
      <c r="J102" s="62">
        <f>SUM('#1-Meritus:#5034-Mt Washington Pediatric'!I134)</f>
        <v>0</v>
      </c>
      <c r="K102" s="62">
        <f>SUM('#1-Meritus:#5034-Mt Washington Pediatric'!J134)</f>
        <v>0</v>
      </c>
      <c r="L102" s="62">
        <f>SUM('#1-Meritus:#5034-Mt Washington Pediatric'!K134)</f>
        <v>0</v>
      </c>
      <c r="M102" s="76">
        <f>L102-J102</f>
        <v>0</v>
      </c>
      <c r="N102" s="37"/>
      <c r="O102" s="37"/>
    </row>
    <row r="103" spans="1:15" ht="13.15" x14ac:dyDescent="0.4">
      <c r="A103" s="42" t="s">
        <v>411</v>
      </c>
      <c r="B103" s="42"/>
      <c r="C103" s="36" t="s">
        <v>233</v>
      </c>
      <c r="G103" s="62">
        <f>SUM('#1-Meritus:#5034-Mt Washington Pediatric'!F135)</f>
        <v>0</v>
      </c>
      <c r="H103" s="62">
        <f>SUM('#1-Meritus:#5034-Mt Washington Pediatric'!G135)</f>
        <v>0</v>
      </c>
      <c r="I103" s="62">
        <f>SUM('#1-Meritus:#5034-Mt Washington Pediatric'!H135)</f>
        <v>0</v>
      </c>
      <c r="J103" s="62">
        <f>SUM('#1-Meritus:#5034-Mt Washington Pediatric'!I135)</f>
        <v>0</v>
      </c>
      <c r="K103" s="62">
        <f>SUM('#1-Meritus:#5034-Mt Washington Pediatric'!J135)</f>
        <v>0</v>
      </c>
      <c r="L103" s="62">
        <f>SUM('#1-Meritus:#5034-Mt Washington Pediatric'!K135)</f>
        <v>0</v>
      </c>
      <c r="M103" s="76">
        <f>L103-J103</f>
        <v>0</v>
      </c>
      <c r="N103" s="37"/>
      <c r="O103" s="37"/>
    </row>
    <row r="104" spans="1:15" ht="13.15" x14ac:dyDescent="0.4">
      <c r="A104" s="42" t="s">
        <v>163</v>
      </c>
      <c r="B104" s="42"/>
      <c r="C104" s="36" t="s">
        <v>225</v>
      </c>
      <c r="G104" s="38">
        <f t="shared" ref="G104:M104" si="10">SUM(G98:G102)</f>
        <v>85079.5</v>
      </c>
      <c r="H104" s="38">
        <f t="shared" si="10"/>
        <v>38395</v>
      </c>
      <c r="I104" s="45">
        <f t="shared" si="10"/>
        <v>4470652</v>
      </c>
      <c r="J104" s="45">
        <f t="shared" si="10"/>
        <v>3563289.3048999999</v>
      </c>
      <c r="K104" s="45">
        <f t="shared" si="10"/>
        <v>2507418</v>
      </c>
      <c r="L104" s="45">
        <f t="shared" si="10"/>
        <v>5526523.3048999999</v>
      </c>
      <c r="M104" s="45">
        <f t="shared" si="10"/>
        <v>1963234</v>
      </c>
      <c r="N104" s="37"/>
      <c r="O104" s="37"/>
    </row>
    <row r="105" spans="1:15" ht="13.15" x14ac:dyDescent="0.4">
      <c r="A105" s="30"/>
      <c r="B105" s="30"/>
      <c r="G105" s="49"/>
      <c r="H105" s="49"/>
      <c r="I105" s="49"/>
      <c r="J105" s="49"/>
      <c r="K105" s="49"/>
      <c r="L105" s="49"/>
      <c r="M105" s="49"/>
    </row>
    <row r="106" spans="1:15" x14ac:dyDescent="0.35">
      <c r="A106" s="31"/>
      <c r="B106" s="31"/>
      <c r="K106" s="40"/>
      <c r="L106" s="41"/>
    </row>
    <row r="107" spans="1:15" ht="46.5" customHeight="1" x14ac:dyDescent="0.4">
      <c r="A107" s="36"/>
      <c r="G107" s="33" t="s">
        <v>9</v>
      </c>
      <c r="H107" s="33" t="s">
        <v>37</v>
      </c>
      <c r="I107" s="33" t="s">
        <v>379</v>
      </c>
      <c r="J107" s="33" t="s">
        <v>380</v>
      </c>
      <c r="K107" s="34" t="s">
        <v>215</v>
      </c>
      <c r="L107" s="39" t="s">
        <v>377</v>
      </c>
      <c r="M107" s="33" t="s">
        <v>378</v>
      </c>
    </row>
    <row r="108" spans="1:15" ht="13.15" x14ac:dyDescent="0.4">
      <c r="A108" s="28" t="s">
        <v>396</v>
      </c>
      <c r="C108" s="36" t="s">
        <v>26</v>
      </c>
      <c r="K108" s="40"/>
      <c r="L108" s="41"/>
    </row>
    <row r="109" spans="1:15" ht="13.15" x14ac:dyDescent="0.4">
      <c r="A109" s="42" t="s">
        <v>397</v>
      </c>
      <c r="B109" s="30"/>
      <c r="C109" s="36" t="s">
        <v>64</v>
      </c>
      <c r="G109" s="62">
        <f>+G24</f>
        <v>1183101.9984865715</v>
      </c>
      <c r="H109" s="62">
        <f>+H24</f>
        <v>5243237.5130636785</v>
      </c>
      <c r="I109" s="79">
        <f>+I24</f>
        <v>96007867.165886417</v>
      </c>
      <c r="J109" s="79">
        <f>+J24</f>
        <v>53292011.914322168</v>
      </c>
      <c r="K109" s="79">
        <f>+K24</f>
        <v>18344319.666999999</v>
      </c>
      <c r="L109" s="76">
        <f t="shared" ref="L109:L118" si="11">+I109+J109-K109</f>
        <v>130955559.4132086</v>
      </c>
      <c r="M109" s="76">
        <f t="shared" ref="M109:M118" si="12">+I109-K109</f>
        <v>77663547.498886421</v>
      </c>
      <c r="N109" s="37"/>
      <c r="O109" s="37"/>
    </row>
    <row r="110" spans="1:15" ht="13.15" x14ac:dyDescent="0.4">
      <c r="A110" s="42" t="s">
        <v>398</v>
      </c>
      <c r="B110" s="42"/>
      <c r="C110" s="36" t="s">
        <v>65</v>
      </c>
      <c r="G110" s="62">
        <f>+G38</f>
        <v>5070205.4890561784</v>
      </c>
      <c r="H110" s="62">
        <f>+H38</f>
        <v>218943.03999992856</v>
      </c>
      <c r="I110" s="79">
        <f>+I38</f>
        <v>407176411.12876338</v>
      </c>
      <c r="J110" s="79">
        <f>+J38</f>
        <v>190843282.72815531</v>
      </c>
      <c r="K110" s="79">
        <f>+K38</f>
        <v>4976505.9160401262</v>
      </c>
      <c r="L110" s="76">
        <f t="shared" si="11"/>
        <v>593043187.94087851</v>
      </c>
      <c r="M110" s="76">
        <f t="shared" si="12"/>
        <v>402199905.21272326</v>
      </c>
      <c r="N110" s="37"/>
      <c r="O110" s="37"/>
    </row>
    <row r="111" spans="1:15" ht="13.15" x14ac:dyDescent="0.4">
      <c r="A111" s="42" t="s">
        <v>399</v>
      </c>
      <c r="B111" s="42"/>
      <c r="C111" s="36" t="s">
        <v>66</v>
      </c>
      <c r="G111" s="62">
        <f>+G43</f>
        <v>4504891.7108021649</v>
      </c>
      <c r="H111" s="62">
        <f>+H43</f>
        <v>1725501.6899999997</v>
      </c>
      <c r="I111" s="79">
        <f>+I43</f>
        <v>860187563.58442199</v>
      </c>
      <c r="J111" s="79">
        <f>+J43</f>
        <v>129400499.67883889</v>
      </c>
      <c r="K111" s="79">
        <f>+K43</f>
        <v>295204140.07223743</v>
      </c>
      <c r="L111" s="76">
        <f t="shared" si="11"/>
        <v>694383923.19102335</v>
      </c>
      <c r="M111" s="76">
        <f t="shared" si="12"/>
        <v>564983423.51218462</v>
      </c>
      <c r="N111" s="37"/>
      <c r="O111" s="37"/>
    </row>
    <row r="112" spans="1:15" ht="13.15" x14ac:dyDescent="0.4">
      <c r="A112" s="42" t="s">
        <v>400</v>
      </c>
      <c r="B112" s="42"/>
      <c r="C112" s="36" t="s">
        <v>67</v>
      </c>
      <c r="G112" s="62">
        <f>+G51</f>
        <v>154382.08500000002</v>
      </c>
      <c r="H112" s="62">
        <f>+H51</f>
        <v>6797</v>
      </c>
      <c r="I112" s="79">
        <f>+I51</f>
        <v>14604036.17</v>
      </c>
      <c r="J112" s="79">
        <f>+J51</f>
        <v>3806226.1546256845</v>
      </c>
      <c r="K112" s="79">
        <f>+K51</f>
        <v>4547377.37</v>
      </c>
      <c r="L112" s="76">
        <f t="shared" si="11"/>
        <v>13862884.954625685</v>
      </c>
      <c r="M112" s="76">
        <f t="shared" si="12"/>
        <v>10056658.800000001</v>
      </c>
      <c r="N112" s="37"/>
      <c r="O112" s="37"/>
    </row>
    <row r="113" spans="1:15" ht="13.15" x14ac:dyDescent="0.4">
      <c r="A113" s="42" t="s">
        <v>401</v>
      </c>
      <c r="B113" s="42"/>
      <c r="C113" s="36" t="s">
        <v>68</v>
      </c>
      <c r="G113" s="62">
        <f>+G60</f>
        <v>39672.148874479964</v>
      </c>
      <c r="H113" s="62">
        <f>+H60</f>
        <v>145592.99574341709</v>
      </c>
      <c r="I113" s="79">
        <f>+I60</f>
        <v>16714356.523840856</v>
      </c>
      <c r="J113" s="79">
        <f>+J60</f>
        <v>1019553.4038707941</v>
      </c>
      <c r="K113" s="79">
        <f>+K60</f>
        <v>351821</v>
      </c>
      <c r="L113" s="76">
        <f t="shared" si="11"/>
        <v>17382088.927711651</v>
      </c>
      <c r="M113" s="76">
        <f t="shared" si="12"/>
        <v>16362535.523840856</v>
      </c>
      <c r="N113" s="37"/>
      <c r="O113" s="37"/>
    </row>
    <row r="114" spans="1:15" ht="13.15" x14ac:dyDescent="0.4">
      <c r="A114" s="42" t="s">
        <v>402</v>
      </c>
      <c r="B114" s="42"/>
      <c r="C114" s="36" t="s">
        <v>69</v>
      </c>
      <c r="G114" s="62">
        <f>+G78</f>
        <v>316287.40388575266</v>
      </c>
      <c r="H114" s="62">
        <f>+H78</f>
        <v>1485222.0857016328</v>
      </c>
      <c r="I114" s="79">
        <f>+I78</f>
        <v>23990337.84439059</v>
      </c>
      <c r="J114" s="79">
        <f>+J78</f>
        <v>15549707.217432784</v>
      </c>
      <c r="K114" s="79">
        <f>+K78</f>
        <v>4458852.4800000004</v>
      </c>
      <c r="L114" s="76">
        <f t="shared" si="11"/>
        <v>35081192.581823379</v>
      </c>
      <c r="M114" s="76">
        <f t="shared" si="12"/>
        <v>19531485.364390589</v>
      </c>
      <c r="N114" s="37"/>
      <c r="O114" s="37"/>
    </row>
    <row r="115" spans="1:15" ht="13.15" x14ac:dyDescent="0.4">
      <c r="A115" s="42" t="s">
        <v>403</v>
      </c>
      <c r="B115" s="42"/>
      <c r="C115" s="36" t="s">
        <v>61</v>
      </c>
      <c r="G115" s="62">
        <f>+G89</f>
        <v>110988.07002425773</v>
      </c>
      <c r="H115" s="62">
        <f>+H89</f>
        <v>127267</v>
      </c>
      <c r="I115" s="79">
        <f>+I89</f>
        <v>8663033.4593337439</v>
      </c>
      <c r="J115" s="79">
        <f>+J89</f>
        <v>5568500.3587729577</v>
      </c>
      <c r="K115" s="79">
        <f>+K89</f>
        <v>73619.83</v>
      </c>
      <c r="L115" s="76">
        <f t="shared" si="11"/>
        <v>14157913.988106702</v>
      </c>
      <c r="M115" s="76">
        <f t="shared" si="12"/>
        <v>8589413.6293337438</v>
      </c>
      <c r="N115" s="37"/>
      <c r="O115" s="37"/>
    </row>
    <row r="116" spans="1:15" ht="13.15" x14ac:dyDescent="0.4">
      <c r="A116" s="42" t="s">
        <v>404</v>
      </c>
      <c r="B116" s="42"/>
      <c r="C116" s="36" t="s">
        <v>70</v>
      </c>
      <c r="G116" s="93">
        <v>0</v>
      </c>
      <c r="H116" s="192">
        <v>0</v>
      </c>
      <c r="I116" s="94">
        <f>+G93</f>
        <v>325409260.85000002</v>
      </c>
      <c r="J116" s="93">
        <v>0</v>
      </c>
      <c r="K116" s="94">
        <v>0</v>
      </c>
      <c r="L116" s="95">
        <f>+I116+J116-K116</f>
        <v>325409260.85000002</v>
      </c>
      <c r="M116" s="95">
        <f>+I116-K116</f>
        <v>325409260.85000002</v>
      </c>
      <c r="N116" s="37"/>
      <c r="O116" s="37"/>
    </row>
    <row r="117" spans="1:15" ht="13.15" x14ac:dyDescent="0.4">
      <c r="A117" s="42" t="s">
        <v>405</v>
      </c>
      <c r="B117" s="42"/>
      <c r="C117" s="36" t="s">
        <v>71</v>
      </c>
      <c r="G117" s="62">
        <f>+G104</f>
        <v>85079.5</v>
      </c>
      <c r="H117" s="62">
        <f>+H104</f>
        <v>38395</v>
      </c>
      <c r="I117" s="79">
        <f>+I104</f>
        <v>4470652</v>
      </c>
      <c r="J117" s="79">
        <f>+J104</f>
        <v>3563289.3048999999</v>
      </c>
      <c r="K117" s="79">
        <f>+K104</f>
        <v>2507418</v>
      </c>
      <c r="L117" s="76">
        <f t="shared" si="11"/>
        <v>5526523.3048999999</v>
      </c>
      <c r="M117" s="76">
        <f t="shared" si="12"/>
        <v>1963234</v>
      </c>
      <c r="N117" s="37"/>
      <c r="O117" s="37"/>
    </row>
    <row r="118" spans="1:15" ht="13.15" x14ac:dyDescent="0.4">
      <c r="A118" s="42" t="s">
        <v>185</v>
      </c>
      <c r="B118" s="42"/>
      <c r="C118" s="36" t="s">
        <v>183</v>
      </c>
      <c r="G118" s="62">
        <f>+G6</f>
        <v>0</v>
      </c>
      <c r="H118" s="62">
        <f>+H6</f>
        <v>0</v>
      </c>
      <c r="I118" s="79">
        <f>+I6</f>
        <v>332893373.87836069</v>
      </c>
      <c r="J118" s="79">
        <f>+J6</f>
        <v>0</v>
      </c>
      <c r="K118" s="79">
        <f>+K6</f>
        <v>276743303.35243744</v>
      </c>
      <c r="L118" s="76">
        <f t="shared" si="11"/>
        <v>56150070.525923252</v>
      </c>
      <c r="M118" s="76">
        <f t="shared" si="12"/>
        <v>56150070.525923252</v>
      </c>
      <c r="N118" s="37"/>
      <c r="O118" s="37"/>
    </row>
    <row r="119" spans="1:15" ht="13.15" x14ac:dyDescent="0.4">
      <c r="A119" s="42"/>
      <c r="B119" s="42"/>
      <c r="C119" s="36"/>
      <c r="G119" s="69"/>
      <c r="H119" s="69"/>
      <c r="I119" s="49"/>
      <c r="J119" s="49"/>
      <c r="K119" s="49"/>
      <c r="L119" s="49"/>
      <c r="M119" s="37"/>
    </row>
    <row r="120" spans="1:15" ht="13.15" x14ac:dyDescent="0.4">
      <c r="A120" s="42" t="s">
        <v>165</v>
      </c>
      <c r="B120" s="31"/>
      <c r="C120" s="36" t="s">
        <v>26</v>
      </c>
      <c r="G120" s="62">
        <f>SUM(G109:G118)</f>
        <v>11464608.406129407</v>
      </c>
      <c r="H120" s="62">
        <f t="shared" ref="H120:M120" si="13">SUM(H109:H118)</f>
        <v>8990956.3245086558</v>
      </c>
      <c r="I120" s="79">
        <f t="shared" si="13"/>
        <v>2090116892.6049976</v>
      </c>
      <c r="J120" s="79">
        <f t="shared" si="13"/>
        <v>403043070.76091862</v>
      </c>
      <c r="K120" s="79">
        <f t="shared" si="13"/>
        <v>607207357.68771505</v>
      </c>
      <c r="L120" s="79">
        <f>SUM(L109:L118)</f>
        <v>1885952605.678201</v>
      </c>
      <c r="M120" s="79">
        <f t="shared" si="13"/>
        <v>1482909534.9172826</v>
      </c>
    </row>
    <row r="121" spans="1:15" ht="13.15" x14ac:dyDescent="0.4">
      <c r="A121" s="31"/>
      <c r="B121" s="30"/>
      <c r="C121" s="36"/>
      <c r="G121" s="53"/>
      <c r="H121" s="53"/>
      <c r="I121" s="53"/>
      <c r="J121" s="53"/>
      <c r="K121" s="69"/>
      <c r="L121" s="69"/>
      <c r="M121" s="69"/>
    </row>
    <row r="122" spans="1:15" ht="13.15" x14ac:dyDescent="0.4">
      <c r="A122" s="30"/>
      <c r="B122" s="30"/>
      <c r="C122" s="36" t="s">
        <v>406</v>
      </c>
      <c r="D122" s="70"/>
      <c r="E122" s="70"/>
      <c r="F122" s="70"/>
      <c r="G122" s="45">
        <f>SUM('#1-Meritus:#5034-Mt Washington Pediatric'!F121)</f>
        <v>16778744994.412516</v>
      </c>
      <c r="K122" s="37"/>
      <c r="L122" s="37"/>
    </row>
    <row r="123" spans="1:15" ht="13.15" x14ac:dyDescent="0.4">
      <c r="A123" s="30"/>
      <c r="B123" s="30"/>
      <c r="D123" s="36"/>
      <c r="E123" s="36"/>
      <c r="F123" s="36"/>
      <c r="I123" s="37"/>
      <c r="K123" s="37"/>
      <c r="N123" s="41"/>
    </row>
    <row r="124" spans="1:15" ht="13.15" x14ac:dyDescent="0.4">
      <c r="A124" s="30"/>
      <c r="B124" s="31"/>
      <c r="C124" s="36" t="s">
        <v>407</v>
      </c>
      <c r="D124" s="71"/>
      <c r="E124" s="71"/>
      <c r="F124" s="71"/>
      <c r="G124" s="72">
        <f>L120/G122</f>
        <v>0.11240129141400274</v>
      </c>
      <c r="K124" s="37"/>
      <c r="L124" s="73"/>
      <c r="M124" s="40"/>
      <c r="N124" s="41"/>
    </row>
    <row r="125" spans="1:15" ht="13.15" x14ac:dyDescent="0.4">
      <c r="A125" s="31"/>
      <c r="B125" s="31"/>
      <c r="D125" s="36"/>
      <c r="E125" s="36"/>
      <c r="F125" s="36"/>
      <c r="L125" s="36"/>
      <c r="M125" s="40"/>
      <c r="N125" s="41"/>
    </row>
    <row r="126" spans="1:15" ht="13.15" x14ac:dyDescent="0.4">
      <c r="A126" s="31"/>
      <c r="B126" s="31"/>
      <c r="C126" s="36" t="s">
        <v>408</v>
      </c>
      <c r="D126" s="74"/>
      <c r="E126" s="74"/>
      <c r="F126" s="74"/>
      <c r="G126" s="72">
        <f>M120/G122</f>
        <v>8.8380241514553426E-2</v>
      </c>
      <c r="L126" s="75"/>
      <c r="M126" s="40"/>
      <c r="N126" s="41"/>
    </row>
    <row r="127" spans="1:15" x14ac:dyDescent="0.35">
      <c r="A127" s="31"/>
      <c r="M127" s="40"/>
      <c r="N127" s="40"/>
      <c r="O127" s="41"/>
    </row>
  </sheetData>
  <mergeCells count="9">
    <mergeCell ref="A1:M1"/>
    <mergeCell ref="C35:E35"/>
    <mergeCell ref="C36:E36"/>
    <mergeCell ref="C76:E76"/>
    <mergeCell ref="B18:D18"/>
    <mergeCell ref="B19:D19"/>
    <mergeCell ref="B22:D22"/>
    <mergeCell ref="C33:E33"/>
    <mergeCell ref="C34:E34"/>
  </mergeCells>
  <pageMargins left="0.7" right="0.7" top="0.75" bottom="0.75" header="0.3" footer="0.3"/>
  <pageSetup scale="59" fitToHeight="0" orientation="landscape" r:id="rId1"/>
  <headerFooter>
    <oddFooter>&amp;CAttachment III Page &amp;P</oddFooter>
  </headerFooter>
  <rowBreaks count="2" manualBreakCount="2">
    <brk id="44" max="16383" man="1"/>
    <brk id="8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156"/>
  <sheetViews>
    <sheetView showGridLines="0" topLeftCell="A7" zoomScale="85" zoomScaleNormal="85" zoomScaleSheetLayoutView="80" workbookViewId="0">
      <selection activeCell="B5" sqref="B5"/>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194</v>
      </c>
      <c r="D5" s="962"/>
      <c r="E5" s="962"/>
      <c r="F5" s="962"/>
      <c r="G5" s="963"/>
    </row>
    <row r="6" spans="1:11" ht="18" customHeight="1" x14ac:dyDescent="0.4">
      <c r="B6" s="183" t="s">
        <v>3</v>
      </c>
      <c r="C6" s="964" t="s">
        <v>603</v>
      </c>
      <c r="D6" s="965"/>
      <c r="E6" s="965"/>
      <c r="F6" s="965"/>
      <c r="G6" s="966"/>
    </row>
    <row r="7" spans="1:11" ht="18" customHeight="1" x14ac:dyDescent="0.4">
      <c r="B7" s="183" t="s">
        <v>4</v>
      </c>
      <c r="C7" s="967">
        <v>2718</v>
      </c>
      <c r="D7" s="968"/>
      <c r="E7" s="968"/>
      <c r="F7" s="968"/>
      <c r="G7" s="969"/>
    </row>
    <row r="9" spans="1:11" ht="18" customHeight="1" x14ac:dyDescent="0.4">
      <c r="B9" s="183" t="s">
        <v>1</v>
      </c>
      <c r="C9" s="961" t="s">
        <v>495</v>
      </c>
      <c r="D9" s="962"/>
      <c r="E9" s="962"/>
      <c r="F9" s="962"/>
      <c r="G9" s="963"/>
    </row>
    <row r="10" spans="1:11" ht="18" customHeight="1" x14ac:dyDescent="0.4">
      <c r="B10" s="183" t="s">
        <v>2</v>
      </c>
      <c r="C10" s="970" t="s">
        <v>418</v>
      </c>
      <c r="D10" s="971"/>
      <c r="E10" s="971"/>
      <c r="F10" s="971"/>
      <c r="G10" s="972"/>
    </row>
    <row r="11" spans="1:11" ht="18" customHeight="1" x14ac:dyDescent="0.4">
      <c r="B11" s="183" t="s">
        <v>32</v>
      </c>
      <c r="C11" s="954" t="s">
        <v>417</v>
      </c>
      <c r="D11" s="955"/>
      <c r="E11" s="955"/>
      <c r="F11" s="955"/>
      <c r="G11" s="955"/>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7085385</v>
      </c>
      <c r="I18" s="144">
        <v>0</v>
      </c>
      <c r="J18" s="556">
        <v>5890273</v>
      </c>
      <c r="K18" s="557">
        <f>(H18+I18)-J18</f>
        <v>1195112</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2791</v>
      </c>
      <c r="G21" s="555">
        <f>15288+1072</f>
        <v>16360</v>
      </c>
      <c r="H21" s="556">
        <v>98710</v>
      </c>
      <c r="I21" s="144">
        <f t="shared" ref="I21:I34" si="0">H21*F$114</f>
        <v>61259.426000000007</v>
      </c>
      <c r="J21" s="556">
        <v>7206</v>
      </c>
      <c r="K21" s="557">
        <f t="shared" ref="K21:K34" si="1">(H21+I21)-J21</f>
        <v>152763.42600000001</v>
      </c>
    </row>
    <row r="22" spans="1:11" ht="18" customHeight="1" x14ac:dyDescent="0.4">
      <c r="A22" s="183" t="s">
        <v>76</v>
      </c>
      <c r="B22" s="189" t="s">
        <v>6</v>
      </c>
      <c r="F22" s="555">
        <v>108.5</v>
      </c>
      <c r="G22" s="555">
        <v>86</v>
      </c>
      <c r="H22" s="556">
        <v>4573</v>
      </c>
      <c r="I22" s="144">
        <f t="shared" si="0"/>
        <v>2838.0038000000004</v>
      </c>
      <c r="J22" s="556">
        <v>0</v>
      </c>
      <c r="K22" s="557">
        <f t="shared" si="1"/>
        <v>7411.0038000000004</v>
      </c>
    </row>
    <row r="23" spans="1:11" ht="18" customHeight="1" x14ac:dyDescent="0.4">
      <c r="A23" s="183" t="s">
        <v>77</v>
      </c>
      <c r="B23" s="189" t="s">
        <v>43</v>
      </c>
      <c r="F23" s="555">
        <v>0</v>
      </c>
      <c r="G23" s="555">
        <v>0</v>
      </c>
      <c r="H23" s="556">
        <v>0</v>
      </c>
      <c r="I23" s="144">
        <f t="shared" si="0"/>
        <v>0</v>
      </c>
      <c r="J23" s="556">
        <v>0</v>
      </c>
      <c r="K23" s="557">
        <f t="shared" si="1"/>
        <v>0</v>
      </c>
    </row>
    <row r="24" spans="1:11" ht="18" customHeight="1" x14ac:dyDescent="0.4">
      <c r="A24" s="183" t="s">
        <v>78</v>
      </c>
      <c r="B24" s="189" t="s">
        <v>44</v>
      </c>
      <c r="F24" s="555">
        <v>0</v>
      </c>
      <c r="G24" s="555">
        <v>0</v>
      </c>
      <c r="H24" s="556">
        <v>0</v>
      </c>
      <c r="I24" s="144">
        <f t="shared" si="0"/>
        <v>0</v>
      </c>
      <c r="J24" s="556">
        <v>0</v>
      </c>
      <c r="K24" s="557">
        <f t="shared" si="1"/>
        <v>0</v>
      </c>
    </row>
    <row r="25" spans="1:11" ht="18" customHeight="1" x14ac:dyDescent="0.4">
      <c r="A25" s="183" t="s">
        <v>79</v>
      </c>
      <c r="B25" s="189" t="s">
        <v>5</v>
      </c>
      <c r="F25" s="555">
        <v>2866</v>
      </c>
      <c r="G25" s="555">
        <v>729</v>
      </c>
      <c r="H25" s="556">
        <v>128976</v>
      </c>
      <c r="I25" s="144">
        <f t="shared" si="0"/>
        <v>80042.505600000004</v>
      </c>
      <c r="J25" s="556">
        <v>3913</v>
      </c>
      <c r="K25" s="557">
        <f t="shared" si="1"/>
        <v>205105.5056</v>
      </c>
    </row>
    <row r="26" spans="1:11" ht="18" customHeight="1" x14ac:dyDescent="0.4">
      <c r="A26" s="183" t="s">
        <v>80</v>
      </c>
      <c r="B26" s="189" t="s">
        <v>45</v>
      </c>
      <c r="F26" s="555">
        <v>0</v>
      </c>
      <c r="G26" s="555">
        <v>0</v>
      </c>
      <c r="H26" s="556">
        <v>0</v>
      </c>
      <c r="I26" s="144">
        <f t="shared" si="0"/>
        <v>0</v>
      </c>
      <c r="J26" s="556">
        <v>0</v>
      </c>
      <c r="K26" s="557">
        <f t="shared" si="1"/>
        <v>0</v>
      </c>
    </row>
    <row r="27" spans="1:11" ht="18" customHeight="1" x14ac:dyDescent="0.4">
      <c r="A27" s="183" t="s">
        <v>81</v>
      </c>
      <c r="B27" s="189" t="s">
        <v>498</v>
      </c>
      <c r="F27" s="555">
        <v>0</v>
      </c>
      <c r="G27" s="555">
        <v>0</v>
      </c>
      <c r="H27" s="556">
        <v>0</v>
      </c>
      <c r="I27" s="144">
        <f t="shared" si="0"/>
        <v>0</v>
      </c>
      <c r="J27" s="556">
        <v>0</v>
      </c>
      <c r="K27" s="557">
        <f t="shared" si="1"/>
        <v>0</v>
      </c>
    </row>
    <row r="28" spans="1:11" ht="18" customHeight="1" x14ac:dyDescent="0.4">
      <c r="A28" s="183" t="s">
        <v>82</v>
      </c>
      <c r="B28" s="189" t="s">
        <v>47</v>
      </c>
      <c r="F28" s="555">
        <v>0</v>
      </c>
      <c r="G28" s="555">
        <v>0</v>
      </c>
      <c r="H28" s="556">
        <v>0</v>
      </c>
      <c r="I28" s="144">
        <f t="shared" si="0"/>
        <v>0</v>
      </c>
      <c r="J28" s="556">
        <v>0</v>
      </c>
      <c r="K28" s="557">
        <f t="shared" si="1"/>
        <v>0</v>
      </c>
    </row>
    <row r="29" spans="1:11" ht="18" customHeight="1" x14ac:dyDescent="0.4">
      <c r="A29" s="183" t="s">
        <v>83</v>
      </c>
      <c r="B29" s="189" t="s">
        <v>48</v>
      </c>
      <c r="F29" s="555">
        <v>7956.3</v>
      </c>
      <c r="G29" s="555">
        <v>42269</v>
      </c>
      <c r="H29" s="556">
        <v>498943</v>
      </c>
      <c r="I29" s="144">
        <f t="shared" si="0"/>
        <v>309644.0258</v>
      </c>
      <c r="J29" s="556">
        <v>11119</v>
      </c>
      <c r="K29" s="557">
        <f t="shared" si="1"/>
        <v>797468.02579999994</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13721.8</v>
      </c>
      <c r="G36" s="560">
        <f t="shared" si="2"/>
        <v>59444</v>
      </c>
      <c r="H36" s="560">
        <f t="shared" si="2"/>
        <v>731202</v>
      </c>
      <c r="I36" s="557">
        <f t="shared" si="2"/>
        <v>453783.96120000002</v>
      </c>
      <c r="J36" s="557">
        <f t="shared" si="2"/>
        <v>22238</v>
      </c>
      <c r="K36" s="557">
        <f t="shared" si="2"/>
        <v>1162747.9612</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6.5</v>
      </c>
      <c r="G40" s="555">
        <v>2</v>
      </c>
      <c r="H40" s="556">
        <v>260</v>
      </c>
      <c r="I40" s="144">
        <v>0</v>
      </c>
      <c r="J40" s="556">
        <v>0</v>
      </c>
      <c r="K40" s="557">
        <f t="shared" ref="K40:K47" si="3">(H40+I40)-J40</f>
        <v>260</v>
      </c>
    </row>
    <row r="41" spans="1:11" ht="18" customHeight="1" x14ac:dyDescent="0.4">
      <c r="A41" s="183" t="s">
        <v>88</v>
      </c>
      <c r="B41" s="956" t="s">
        <v>50</v>
      </c>
      <c r="C41" s="957"/>
      <c r="F41" s="555">
        <v>32</v>
      </c>
      <c r="G41" s="555">
        <v>8</v>
      </c>
      <c r="H41" s="556">
        <v>1405</v>
      </c>
      <c r="I41" s="144">
        <v>0</v>
      </c>
      <c r="J41" s="556">
        <v>0</v>
      </c>
      <c r="K41" s="557">
        <f t="shared" si="3"/>
        <v>1405</v>
      </c>
    </row>
    <row r="42" spans="1:11" ht="18" customHeight="1" x14ac:dyDescent="0.4">
      <c r="A42" s="183" t="s">
        <v>89</v>
      </c>
      <c r="B42" s="116" t="s">
        <v>11</v>
      </c>
      <c r="F42" s="555">
        <v>7216.5</v>
      </c>
      <c r="G42" s="555">
        <v>4462</v>
      </c>
      <c r="H42" s="556">
        <v>220759</v>
      </c>
      <c r="I42" s="144">
        <v>0</v>
      </c>
      <c r="J42" s="556">
        <v>2700</v>
      </c>
      <c r="K42" s="557">
        <f t="shared" si="3"/>
        <v>218059</v>
      </c>
    </row>
    <row r="43" spans="1:11" ht="18" customHeight="1" x14ac:dyDescent="0.4">
      <c r="A43" s="183" t="s">
        <v>90</v>
      </c>
      <c r="B43" s="141" t="s">
        <v>10</v>
      </c>
      <c r="C43" s="123"/>
      <c r="D43" s="123"/>
      <c r="F43" s="555">
        <v>0</v>
      </c>
      <c r="G43" s="555">
        <v>0</v>
      </c>
      <c r="H43" s="556">
        <v>0</v>
      </c>
      <c r="I43" s="144">
        <v>0</v>
      </c>
      <c r="J43" s="556">
        <v>0</v>
      </c>
      <c r="K43" s="557">
        <f t="shared" si="3"/>
        <v>0</v>
      </c>
    </row>
    <row r="44" spans="1:11" ht="18" customHeight="1" x14ac:dyDescent="0.4">
      <c r="A44" s="183" t="s">
        <v>91</v>
      </c>
      <c r="B44" s="951"/>
      <c r="C44" s="952"/>
      <c r="D44" s="953"/>
      <c r="F44" s="561"/>
      <c r="G44" s="561"/>
      <c r="H44" s="561"/>
      <c r="I44" s="146">
        <v>0</v>
      </c>
      <c r="J44" s="561"/>
      <c r="K44" s="562">
        <f t="shared" si="3"/>
        <v>0</v>
      </c>
    </row>
    <row r="45" spans="1:11" ht="18" customHeight="1" x14ac:dyDescent="0.4">
      <c r="A45" s="183" t="s">
        <v>139</v>
      </c>
      <c r="B45" s="951"/>
      <c r="C45" s="952"/>
      <c r="D45" s="953"/>
      <c r="F45" s="555"/>
      <c r="G45" s="555"/>
      <c r="H45" s="556"/>
      <c r="I45" s="144">
        <v>0</v>
      </c>
      <c r="J45" s="556"/>
      <c r="K45" s="557">
        <f t="shared" si="3"/>
        <v>0</v>
      </c>
    </row>
    <row r="46" spans="1:11" ht="18" customHeight="1" x14ac:dyDescent="0.4">
      <c r="A46" s="183" t="s">
        <v>140</v>
      </c>
      <c r="B46" s="951"/>
      <c r="C46" s="952"/>
      <c r="D46" s="953"/>
      <c r="F46" s="555"/>
      <c r="G46" s="555"/>
      <c r="H46" s="556"/>
      <c r="I46" s="144">
        <v>0</v>
      </c>
      <c r="J46" s="556"/>
      <c r="K46" s="557">
        <f t="shared" si="3"/>
        <v>0</v>
      </c>
    </row>
    <row r="47" spans="1:11" ht="18" customHeight="1" x14ac:dyDescent="0.4">
      <c r="A47" s="183" t="s">
        <v>141</v>
      </c>
      <c r="B47" s="951"/>
      <c r="C47" s="952"/>
      <c r="D47" s="953"/>
      <c r="F47" s="555"/>
      <c r="G47" s="555"/>
      <c r="H47" s="556"/>
      <c r="I47" s="144">
        <v>0</v>
      </c>
      <c r="J47" s="556"/>
      <c r="K47" s="557">
        <f t="shared" si="3"/>
        <v>0</v>
      </c>
    </row>
    <row r="49" spans="1:13" ht="18" customHeight="1" x14ac:dyDescent="0.4">
      <c r="A49" s="120" t="s">
        <v>142</v>
      </c>
      <c r="B49" s="117" t="s">
        <v>143</v>
      </c>
      <c r="E49" s="117" t="s">
        <v>7</v>
      </c>
      <c r="F49" s="563">
        <f t="shared" ref="F49:K49" si="4">SUM(F40:F47)</f>
        <v>7255</v>
      </c>
      <c r="G49" s="563">
        <f t="shared" si="4"/>
        <v>4472</v>
      </c>
      <c r="H49" s="557">
        <f t="shared" si="4"/>
        <v>222424</v>
      </c>
      <c r="I49" s="557">
        <f t="shared" si="4"/>
        <v>0</v>
      </c>
      <c r="J49" s="557">
        <f t="shared" si="4"/>
        <v>2700</v>
      </c>
      <c r="K49" s="557">
        <f t="shared" si="4"/>
        <v>219724</v>
      </c>
    </row>
    <row r="50" spans="1:13" ht="18" customHeight="1" thickBot="1" x14ac:dyDescent="0.4">
      <c r="G50" s="129"/>
      <c r="H50" s="129"/>
      <c r="I50" s="129"/>
      <c r="J50" s="129"/>
      <c r="K50" s="129"/>
    </row>
    <row r="51" spans="1:13" ht="42.75" customHeight="1" x14ac:dyDescent="0.4">
      <c r="F51" s="122" t="s">
        <v>9</v>
      </c>
      <c r="G51" s="122" t="s">
        <v>37</v>
      </c>
      <c r="H51" s="122" t="s">
        <v>29</v>
      </c>
      <c r="I51" s="122" t="s">
        <v>30</v>
      </c>
      <c r="J51" s="122" t="s">
        <v>33</v>
      </c>
      <c r="K51" s="122" t="s">
        <v>34</v>
      </c>
    </row>
    <row r="52" spans="1:13" ht="18" customHeight="1" x14ac:dyDescent="0.4">
      <c r="A52" s="120" t="s">
        <v>92</v>
      </c>
      <c r="B52" s="976" t="s">
        <v>38</v>
      </c>
      <c r="C52" s="977"/>
    </row>
    <row r="53" spans="1:13" ht="18" customHeight="1" x14ac:dyDescent="0.4">
      <c r="A53" s="183" t="s">
        <v>51</v>
      </c>
      <c r="B53" s="978" t="s">
        <v>701</v>
      </c>
      <c r="C53" s="979"/>
      <c r="D53" s="975"/>
      <c r="F53" s="555">
        <v>6244</v>
      </c>
      <c r="G53" s="555">
        <v>432</v>
      </c>
      <c r="H53" s="556">
        <v>413519</v>
      </c>
      <c r="I53" s="144">
        <v>0</v>
      </c>
      <c r="J53" s="556">
        <v>18618</v>
      </c>
      <c r="K53" s="557">
        <f t="shared" ref="K53:K62" si="5">(H53+I53)-J53</f>
        <v>394901</v>
      </c>
    </row>
    <row r="54" spans="1:13" ht="18" customHeight="1" x14ac:dyDescent="0.4">
      <c r="A54" s="183" t="s">
        <v>93</v>
      </c>
      <c r="B54" s="506" t="s">
        <v>330</v>
      </c>
      <c r="C54" s="504"/>
      <c r="D54" s="505"/>
      <c r="F54" s="555">
        <v>1763</v>
      </c>
      <c r="G54" s="555">
        <v>496</v>
      </c>
      <c r="H54" s="556">
        <v>51832</v>
      </c>
      <c r="I54" s="144">
        <v>0</v>
      </c>
      <c r="J54" s="556">
        <v>5000</v>
      </c>
      <c r="K54" s="557">
        <f t="shared" si="5"/>
        <v>46832</v>
      </c>
    </row>
    <row r="55" spans="1:13" ht="18" customHeight="1" x14ac:dyDescent="0.4">
      <c r="A55" s="183" t="s">
        <v>94</v>
      </c>
      <c r="B55" s="973" t="s">
        <v>449</v>
      </c>
      <c r="C55" s="974"/>
      <c r="D55" s="975"/>
      <c r="F55" s="555"/>
      <c r="G55" s="555"/>
      <c r="H55" s="556">
        <v>3488959</v>
      </c>
      <c r="I55" s="144">
        <v>0</v>
      </c>
      <c r="J55" s="556"/>
      <c r="K55" s="557">
        <f t="shared" si="5"/>
        <v>3488959</v>
      </c>
    </row>
    <row r="56" spans="1:13" ht="18" customHeight="1" x14ac:dyDescent="0.4">
      <c r="A56" s="183" t="s">
        <v>95</v>
      </c>
      <c r="B56" s="973" t="s">
        <v>496</v>
      </c>
      <c r="C56" s="974"/>
      <c r="D56" s="975"/>
      <c r="F56" s="555">
        <v>4469</v>
      </c>
      <c r="G56" s="555">
        <v>1741</v>
      </c>
      <c r="H56" s="556">
        <v>5267748.68</v>
      </c>
      <c r="I56" s="144">
        <v>0</v>
      </c>
      <c r="J56" s="556">
        <v>1642154.39</v>
      </c>
      <c r="K56" s="557">
        <f t="shared" si="5"/>
        <v>3625594.29</v>
      </c>
    </row>
    <row r="57" spans="1:13" ht="18" customHeight="1" x14ac:dyDescent="0.4">
      <c r="A57" s="183" t="s">
        <v>96</v>
      </c>
      <c r="B57" s="973" t="s">
        <v>497</v>
      </c>
      <c r="C57" s="974"/>
      <c r="D57" s="975"/>
      <c r="F57" s="555"/>
      <c r="G57" s="555">
        <v>15</v>
      </c>
      <c r="H57" s="556">
        <v>97408.74</v>
      </c>
      <c r="I57" s="144"/>
      <c r="J57" s="556"/>
      <c r="K57" s="557">
        <f t="shared" si="5"/>
        <v>97408.74</v>
      </c>
    </row>
    <row r="58" spans="1:13" ht="18" customHeight="1" x14ac:dyDescent="0.4">
      <c r="A58" s="183" t="s">
        <v>97</v>
      </c>
      <c r="B58" s="506" t="s">
        <v>702</v>
      </c>
      <c r="C58" s="504"/>
      <c r="D58" s="505"/>
      <c r="F58" s="555">
        <v>44137</v>
      </c>
      <c r="G58" s="555">
        <v>24475</v>
      </c>
      <c r="H58" s="556">
        <v>4150334.04</v>
      </c>
      <c r="I58" s="144">
        <v>675220.96</v>
      </c>
      <c r="J58" s="556">
        <v>1869896</v>
      </c>
      <c r="K58" s="557">
        <f t="shared" si="5"/>
        <v>2955659</v>
      </c>
    </row>
    <row r="59" spans="1:13" ht="18" customHeight="1" x14ac:dyDescent="0.4">
      <c r="A59" s="183" t="s">
        <v>98</v>
      </c>
      <c r="B59" s="973" t="s">
        <v>703</v>
      </c>
      <c r="C59" s="974"/>
      <c r="D59" s="975"/>
      <c r="F59" s="555"/>
      <c r="G59" s="555"/>
      <c r="H59" s="556">
        <v>4191887.72</v>
      </c>
      <c r="I59" s="144"/>
      <c r="J59" s="556"/>
      <c r="K59" s="557">
        <v>4191887.72</v>
      </c>
    </row>
    <row r="60" spans="1:13" ht="18" customHeight="1" x14ac:dyDescent="0.4">
      <c r="A60" s="183" t="s">
        <v>99</v>
      </c>
      <c r="B60" s="506" t="s">
        <v>704</v>
      </c>
      <c r="C60" s="504"/>
      <c r="D60" s="505"/>
      <c r="F60" s="555">
        <v>3687</v>
      </c>
      <c r="G60" s="555">
        <v>0</v>
      </c>
      <c r="H60" s="556">
        <v>817265.14</v>
      </c>
      <c r="I60" s="144">
        <v>234520.86</v>
      </c>
      <c r="J60" s="556">
        <v>0</v>
      </c>
      <c r="K60" s="557">
        <f t="shared" si="5"/>
        <v>1051786</v>
      </c>
      <c r="M60" s="116"/>
    </row>
    <row r="61" spans="1:13" ht="18" customHeight="1" x14ac:dyDescent="0.4">
      <c r="A61" s="183" t="s">
        <v>100</v>
      </c>
      <c r="B61" s="506" t="s">
        <v>705</v>
      </c>
      <c r="C61" s="504"/>
      <c r="D61" s="505"/>
      <c r="F61" s="555">
        <v>51396</v>
      </c>
      <c r="G61" s="555">
        <v>25517</v>
      </c>
      <c r="H61" s="556">
        <v>4001162</v>
      </c>
      <c r="I61" s="144">
        <v>0</v>
      </c>
      <c r="J61" s="556">
        <v>3154153</v>
      </c>
      <c r="K61" s="557">
        <f t="shared" si="5"/>
        <v>847009</v>
      </c>
    </row>
    <row r="62" spans="1:13" ht="18" customHeight="1" x14ac:dyDescent="0.4">
      <c r="A62" s="183" t="s">
        <v>101</v>
      </c>
      <c r="B62" s="973" t="s">
        <v>706</v>
      </c>
      <c r="C62" s="974"/>
      <c r="D62" s="975"/>
      <c r="F62" s="555">
        <v>547342</v>
      </c>
      <c r="G62" s="555">
        <v>216802</v>
      </c>
      <c r="H62" s="556">
        <v>48119052</v>
      </c>
      <c r="I62" s="144">
        <v>0</v>
      </c>
      <c r="J62" s="556">
        <v>31198441</v>
      </c>
      <c r="K62" s="557">
        <f t="shared" si="5"/>
        <v>16920611</v>
      </c>
    </row>
    <row r="63" spans="1:13" ht="18" customHeight="1" x14ac:dyDescent="0.4">
      <c r="A63" s="183"/>
      <c r="I63" s="140"/>
    </row>
    <row r="64" spans="1:13" ht="18" customHeight="1" x14ac:dyDescent="0.4">
      <c r="A64" s="183" t="s">
        <v>144</v>
      </c>
      <c r="B64" s="117" t="s">
        <v>145</v>
      </c>
      <c r="E64" s="117" t="s">
        <v>7</v>
      </c>
      <c r="F64" s="560">
        <f t="shared" ref="F64:K64" si="6">SUM(F53:F62)</f>
        <v>659038</v>
      </c>
      <c r="G64" s="560">
        <f t="shared" si="6"/>
        <v>269478</v>
      </c>
      <c r="H64" s="557">
        <f t="shared" si="6"/>
        <v>70599168.319999993</v>
      </c>
      <c r="I64" s="557">
        <f t="shared" si="6"/>
        <v>909741.82</v>
      </c>
      <c r="J64" s="557">
        <f t="shared" si="6"/>
        <v>37888262.390000001</v>
      </c>
      <c r="K64" s="557">
        <f t="shared" si="6"/>
        <v>33620647.75</v>
      </c>
    </row>
    <row r="65" spans="1:13" ht="18" customHeight="1" x14ac:dyDescent="0.35">
      <c r="F65" s="142"/>
      <c r="G65" s="142"/>
      <c r="H65" s="142"/>
      <c r="I65" s="142"/>
      <c r="J65" s="142"/>
      <c r="K65" s="142"/>
    </row>
    <row r="66" spans="1:13" ht="42.75" customHeight="1" x14ac:dyDescent="0.4">
      <c r="F66" s="147" t="s">
        <v>9</v>
      </c>
      <c r="G66" s="147" t="s">
        <v>37</v>
      </c>
      <c r="H66" s="147" t="s">
        <v>29</v>
      </c>
      <c r="I66" s="147" t="s">
        <v>30</v>
      </c>
      <c r="J66" s="147" t="s">
        <v>33</v>
      </c>
      <c r="K66" s="147" t="s">
        <v>34</v>
      </c>
    </row>
    <row r="67" spans="1:13" ht="18" customHeight="1" x14ac:dyDescent="0.4">
      <c r="A67" s="120" t="s">
        <v>102</v>
      </c>
      <c r="B67" s="117" t="s">
        <v>12</v>
      </c>
      <c r="F67" s="148"/>
      <c r="G67" s="148"/>
      <c r="H67" s="148"/>
      <c r="I67" s="149"/>
      <c r="J67" s="148"/>
      <c r="K67" s="150"/>
    </row>
    <row r="68" spans="1:13" ht="18" customHeight="1" x14ac:dyDescent="0.4">
      <c r="A68" s="183" t="s">
        <v>103</v>
      </c>
      <c r="B68" s="189" t="s">
        <v>52</v>
      </c>
      <c r="F68" s="564"/>
      <c r="G68" s="564"/>
      <c r="H68" s="564"/>
      <c r="I68" s="144">
        <v>0</v>
      </c>
      <c r="J68" s="564"/>
      <c r="K68" s="557">
        <f>(H68+I68)-J68</f>
        <v>0</v>
      </c>
      <c r="M68" s="565"/>
    </row>
    <row r="69" spans="1:13" ht="18" customHeight="1" x14ac:dyDescent="0.4">
      <c r="A69" s="183" t="s">
        <v>104</v>
      </c>
      <c r="B69" s="116" t="s">
        <v>53</v>
      </c>
      <c r="F69" s="564"/>
      <c r="G69" s="564"/>
      <c r="H69" s="564"/>
      <c r="I69" s="144">
        <v>0</v>
      </c>
      <c r="J69" s="564"/>
      <c r="K69" s="557">
        <f>(H69+I69)-J69</f>
        <v>0</v>
      </c>
    </row>
    <row r="70" spans="1:13" ht="18" customHeight="1" x14ac:dyDescent="0.4">
      <c r="A70" s="183" t="s">
        <v>178</v>
      </c>
      <c r="B70" s="503"/>
      <c r="C70" s="504"/>
      <c r="D70" s="505"/>
      <c r="E70" s="117"/>
      <c r="F70" s="131"/>
      <c r="G70" s="131"/>
      <c r="H70" s="132"/>
      <c r="I70" s="144">
        <v>0</v>
      </c>
      <c r="J70" s="132"/>
      <c r="K70" s="557">
        <f>(H70+I70)-J70</f>
        <v>0</v>
      </c>
    </row>
    <row r="71" spans="1:13" ht="18" customHeight="1" x14ac:dyDescent="0.4">
      <c r="A71" s="183" t="s">
        <v>179</v>
      </c>
      <c r="B71" s="503"/>
      <c r="C71" s="504"/>
      <c r="D71" s="505"/>
      <c r="E71" s="117"/>
      <c r="F71" s="131"/>
      <c r="G71" s="131"/>
      <c r="H71" s="132"/>
      <c r="I71" s="144">
        <v>0</v>
      </c>
      <c r="J71" s="132"/>
      <c r="K71" s="557">
        <f>(H71+I71)-J71</f>
        <v>0</v>
      </c>
    </row>
    <row r="72" spans="1:13" ht="18" customHeight="1" x14ac:dyDescent="0.4">
      <c r="A72" s="183" t="s">
        <v>180</v>
      </c>
      <c r="B72" s="510"/>
      <c r="C72" s="508"/>
      <c r="D72" s="130"/>
      <c r="E72" s="117"/>
      <c r="F72" s="555"/>
      <c r="G72" s="555"/>
      <c r="H72" s="556"/>
      <c r="I72" s="144">
        <v>0</v>
      </c>
      <c r="J72" s="556"/>
      <c r="K72" s="557">
        <f>(H72+I72)-J72</f>
        <v>0</v>
      </c>
    </row>
    <row r="73" spans="1:13" ht="18" customHeight="1" x14ac:dyDescent="0.4">
      <c r="A73" s="183"/>
      <c r="B73" s="116"/>
      <c r="E73" s="117"/>
      <c r="F73" s="151"/>
      <c r="G73" s="151"/>
      <c r="H73" s="152"/>
      <c r="I73" s="149"/>
      <c r="J73" s="152"/>
      <c r="K73" s="150"/>
    </row>
    <row r="74" spans="1:13" ht="18" customHeight="1" x14ac:dyDescent="0.4">
      <c r="A74" s="120" t="s">
        <v>146</v>
      </c>
      <c r="B74" s="117" t="s">
        <v>147</v>
      </c>
      <c r="E74" s="117" t="s">
        <v>7</v>
      </c>
      <c r="F74" s="566">
        <f t="shared" ref="F74:K74" si="7">SUM(F68:F72)</f>
        <v>0</v>
      </c>
      <c r="G74" s="566">
        <f t="shared" si="7"/>
        <v>0</v>
      </c>
      <c r="H74" s="566">
        <f t="shared" si="7"/>
        <v>0</v>
      </c>
      <c r="I74" s="145">
        <f t="shared" si="7"/>
        <v>0</v>
      </c>
      <c r="J74" s="566">
        <f t="shared" si="7"/>
        <v>0</v>
      </c>
      <c r="K74" s="567">
        <f t="shared" si="7"/>
        <v>0</v>
      </c>
    </row>
    <row r="75" spans="1:13" ht="42.75" customHeight="1" x14ac:dyDescent="0.4">
      <c r="F75" s="122" t="s">
        <v>9</v>
      </c>
      <c r="G75" s="122" t="s">
        <v>37</v>
      </c>
      <c r="H75" s="122" t="s">
        <v>29</v>
      </c>
      <c r="I75" s="122" t="s">
        <v>30</v>
      </c>
      <c r="J75" s="122" t="s">
        <v>33</v>
      </c>
      <c r="K75" s="122" t="s">
        <v>34</v>
      </c>
    </row>
    <row r="76" spans="1:13" ht="18" customHeight="1" x14ac:dyDescent="0.4">
      <c r="A76" s="120" t="s">
        <v>105</v>
      </c>
      <c r="B76" s="117" t="s">
        <v>106</v>
      </c>
    </row>
    <row r="77" spans="1:13" ht="18" customHeight="1" x14ac:dyDescent="0.4">
      <c r="A77" s="183" t="s">
        <v>107</v>
      </c>
      <c r="B77" s="116" t="s">
        <v>54</v>
      </c>
      <c r="F77" s="555"/>
      <c r="G77" s="555"/>
      <c r="H77" s="556">
        <v>109754.5</v>
      </c>
      <c r="I77" s="144">
        <v>0</v>
      </c>
      <c r="J77" s="556">
        <v>6785</v>
      </c>
      <c r="K77" s="557">
        <f>(H77+I77)-J77</f>
        <v>102969.5</v>
      </c>
    </row>
    <row r="78" spans="1:13" ht="18" customHeight="1" x14ac:dyDescent="0.4">
      <c r="A78" s="183" t="s">
        <v>108</v>
      </c>
      <c r="B78" s="116" t="s">
        <v>55</v>
      </c>
      <c r="F78" s="555">
        <v>3736</v>
      </c>
      <c r="G78" s="555">
        <v>201</v>
      </c>
      <c r="H78" s="556">
        <v>253877</v>
      </c>
      <c r="I78" s="144">
        <v>0</v>
      </c>
      <c r="J78" s="556">
        <v>33746</v>
      </c>
      <c r="K78" s="557">
        <f>(H78+I78)-J78</f>
        <v>220131</v>
      </c>
    </row>
    <row r="79" spans="1:13" ht="18" customHeight="1" x14ac:dyDescent="0.4">
      <c r="A79" s="183" t="s">
        <v>109</v>
      </c>
      <c r="B79" s="116" t="s">
        <v>13</v>
      </c>
      <c r="F79" s="555">
        <v>6716.5</v>
      </c>
      <c r="G79" s="555">
        <v>1704</v>
      </c>
      <c r="H79" s="556">
        <v>401527.73</v>
      </c>
      <c r="I79" s="144">
        <v>0</v>
      </c>
      <c r="J79" s="556">
        <v>0</v>
      </c>
      <c r="K79" s="557">
        <f>(H79+I79)-J79</f>
        <v>401527.73</v>
      </c>
    </row>
    <row r="80" spans="1:13" ht="18" customHeight="1" x14ac:dyDescent="0.4">
      <c r="A80" s="183" t="s">
        <v>110</v>
      </c>
      <c r="B80" s="116" t="s">
        <v>56</v>
      </c>
      <c r="F80" s="555"/>
      <c r="G80" s="555"/>
      <c r="H80" s="556">
        <v>2000</v>
      </c>
      <c r="I80" s="144">
        <v>0</v>
      </c>
      <c r="J80" s="556">
        <v>0</v>
      </c>
      <c r="K80" s="557">
        <f>(H80+I80)-J80</f>
        <v>2000</v>
      </c>
    </row>
    <row r="81" spans="1:11" ht="18" customHeight="1" x14ac:dyDescent="0.4">
      <c r="A81" s="183"/>
      <c r="K81" s="568"/>
    </row>
    <row r="82" spans="1:11" ht="18" customHeight="1" x14ac:dyDescent="0.4">
      <c r="A82" s="183" t="s">
        <v>148</v>
      </c>
      <c r="B82" s="117" t="s">
        <v>149</v>
      </c>
      <c r="E82" s="117" t="s">
        <v>7</v>
      </c>
      <c r="F82" s="566">
        <f t="shared" ref="F82:K82" si="8">SUM(F77:F80)</f>
        <v>10452.5</v>
      </c>
      <c r="G82" s="566">
        <f t="shared" si="8"/>
        <v>1905</v>
      </c>
      <c r="H82" s="567">
        <f t="shared" si="8"/>
        <v>767159.23</v>
      </c>
      <c r="I82" s="567">
        <f t="shared" si="8"/>
        <v>0</v>
      </c>
      <c r="J82" s="567">
        <f t="shared" si="8"/>
        <v>40531</v>
      </c>
      <c r="K82" s="567">
        <f t="shared" si="8"/>
        <v>726628.23</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c r="G86" s="555"/>
      <c r="H86" s="556">
        <v>116634.72</v>
      </c>
      <c r="I86" s="144">
        <f t="shared" ref="I86:I96" si="9">H86*F$114</f>
        <v>72383.507232000004</v>
      </c>
      <c r="J86" s="556">
        <v>0</v>
      </c>
      <c r="K86" s="557">
        <f t="shared" ref="K86:K96" si="10">(H86+I86)-J86</f>
        <v>189018.227232</v>
      </c>
    </row>
    <row r="87" spans="1:11" ht="18" customHeight="1" x14ac:dyDescent="0.4">
      <c r="A87" s="183" t="s">
        <v>114</v>
      </c>
      <c r="B87" s="116" t="s">
        <v>14</v>
      </c>
      <c r="F87" s="555"/>
      <c r="G87" s="555"/>
      <c r="H87" s="556">
        <v>1150</v>
      </c>
      <c r="I87" s="144">
        <f t="shared" si="9"/>
        <v>713.69</v>
      </c>
      <c r="J87" s="556"/>
      <c r="K87" s="557">
        <f t="shared" si="10"/>
        <v>1863.69</v>
      </c>
    </row>
    <row r="88" spans="1:11" ht="18" customHeight="1" x14ac:dyDescent="0.4">
      <c r="A88" s="183" t="s">
        <v>115</v>
      </c>
      <c r="B88" s="116" t="s">
        <v>116</v>
      </c>
      <c r="F88" s="555"/>
      <c r="G88" s="555"/>
      <c r="H88" s="556"/>
      <c r="I88" s="144">
        <f t="shared" si="9"/>
        <v>0</v>
      </c>
      <c r="J88" s="556"/>
      <c r="K88" s="557">
        <f t="shared" si="10"/>
        <v>0</v>
      </c>
    </row>
    <row r="89" spans="1:11" ht="18" customHeight="1" x14ac:dyDescent="0.4">
      <c r="A89" s="183" t="s">
        <v>117</v>
      </c>
      <c r="B89" s="116" t="s">
        <v>58</v>
      </c>
      <c r="F89" s="555"/>
      <c r="G89" s="555"/>
      <c r="H89" s="556"/>
      <c r="I89" s="144">
        <f t="shared" si="9"/>
        <v>0</v>
      </c>
      <c r="J89" s="556"/>
      <c r="K89" s="557">
        <f t="shared" si="10"/>
        <v>0</v>
      </c>
    </row>
    <row r="90" spans="1:11" ht="18" customHeight="1" x14ac:dyDescent="0.4">
      <c r="A90" s="183" t="s">
        <v>118</v>
      </c>
      <c r="B90" s="956" t="s">
        <v>59</v>
      </c>
      <c r="C90" s="957"/>
      <c r="F90" s="555">
        <v>2</v>
      </c>
      <c r="G90" s="555">
        <v>1</v>
      </c>
      <c r="H90" s="556">
        <v>6141</v>
      </c>
      <c r="I90" s="144">
        <f t="shared" si="9"/>
        <v>3811.1046000000001</v>
      </c>
      <c r="J90" s="556">
        <v>0</v>
      </c>
      <c r="K90" s="557">
        <f t="shared" si="10"/>
        <v>9952.1046000000006</v>
      </c>
    </row>
    <row r="91" spans="1:11" ht="18" customHeight="1" x14ac:dyDescent="0.4">
      <c r="A91" s="183" t="s">
        <v>119</v>
      </c>
      <c r="B91" s="116" t="s">
        <v>60</v>
      </c>
      <c r="F91" s="555"/>
      <c r="G91" s="555"/>
      <c r="H91" s="556"/>
      <c r="I91" s="144">
        <f t="shared" si="9"/>
        <v>0</v>
      </c>
      <c r="J91" s="556"/>
      <c r="K91" s="557">
        <f t="shared" si="10"/>
        <v>0</v>
      </c>
    </row>
    <row r="92" spans="1:11" ht="18" customHeight="1" x14ac:dyDescent="0.4">
      <c r="A92" s="183" t="s">
        <v>120</v>
      </c>
      <c r="B92" s="116" t="s">
        <v>121</v>
      </c>
      <c r="F92" s="134"/>
      <c r="G92" s="134"/>
      <c r="H92" s="135"/>
      <c r="I92" s="144">
        <f t="shared" si="9"/>
        <v>0</v>
      </c>
      <c r="J92" s="135"/>
      <c r="K92" s="557">
        <f t="shared" si="10"/>
        <v>0</v>
      </c>
    </row>
    <row r="93" spans="1:11" ht="18" customHeight="1" x14ac:dyDescent="0.4">
      <c r="A93" s="183" t="s">
        <v>122</v>
      </c>
      <c r="B93" s="116" t="s">
        <v>123</v>
      </c>
      <c r="F93" s="555"/>
      <c r="G93" s="555"/>
      <c r="H93" s="556"/>
      <c r="I93" s="144">
        <f t="shared" si="9"/>
        <v>0</v>
      </c>
      <c r="J93" s="556"/>
      <c r="K93" s="557">
        <f t="shared" si="10"/>
        <v>0</v>
      </c>
    </row>
    <row r="94" spans="1:11" ht="18" customHeight="1" x14ac:dyDescent="0.4">
      <c r="A94" s="183" t="s">
        <v>124</v>
      </c>
      <c r="B94" s="980"/>
      <c r="C94" s="974"/>
      <c r="D94" s="975"/>
      <c r="F94" s="555"/>
      <c r="G94" s="555"/>
      <c r="H94" s="556"/>
      <c r="I94" s="144">
        <f t="shared" si="9"/>
        <v>0</v>
      </c>
      <c r="J94" s="556"/>
      <c r="K94" s="557">
        <f t="shared" si="10"/>
        <v>0</v>
      </c>
    </row>
    <row r="95" spans="1:11" ht="18" customHeight="1" x14ac:dyDescent="0.4">
      <c r="A95" s="183" t="s">
        <v>125</v>
      </c>
      <c r="B95" s="980"/>
      <c r="C95" s="974"/>
      <c r="D95" s="975"/>
      <c r="F95" s="555"/>
      <c r="G95" s="555"/>
      <c r="H95" s="556"/>
      <c r="I95" s="144">
        <f t="shared" si="9"/>
        <v>0</v>
      </c>
      <c r="J95" s="556"/>
      <c r="K95" s="557">
        <f t="shared" si="10"/>
        <v>0</v>
      </c>
    </row>
    <row r="96" spans="1:11" ht="18" customHeight="1" x14ac:dyDescent="0.4">
      <c r="A96" s="183" t="s">
        <v>126</v>
      </c>
      <c r="B96" s="980"/>
      <c r="C96" s="974"/>
      <c r="D96" s="975"/>
      <c r="F96" s="555"/>
      <c r="G96" s="555"/>
      <c r="H96" s="556"/>
      <c r="I96" s="144">
        <f t="shared" si="9"/>
        <v>0</v>
      </c>
      <c r="J96" s="556"/>
      <c r="K96" s="557">
        <f t="shared" si="10"/>
        <v>0</v>
      </c>
    </row>
    <row r="97" spans="1:11" ht="18" customHeight="1" x14ac:dyDescent="0.4">
      <c r="A97" s="183"/>
      <c r="B97" s="116"/>
    </row>
    <row r="98" spans="1:11" ht="18" customHeight="1" x14ac:dyDescent="0.4">
      <c r="A98" s="120" t="s">
        <v>150</v>
      </c>
      <c r="B98" s="117" t="s">
        <v>151</v>
      </c>
      <c r="E98" s="117" t="s">
        <v>7</v>
      </c>
      <c r="F98" s="560">
        <f t="shared" ref="F98:K98" si="11">SUM(F86:F96)</f>
        <v>2</v>
      </c>
      <c r="G98" s="560">
        <f t="shared" si="11"/>
        <v>1</v>
      </c>
      <c r="H98" s="569">
        <f t="shared" si="11"/>
        <v>123925.72</v>
      </c>
      <c r="I98" s="569">
        <f t="shared" si="11"/>
        <v>76908.301832000012</v>
      </c>
      <c r="J98" s="569">
        <f t="shared" si="11"/>
        <v>0</v>
      </c>
      <c r="K98" s="569">
        <f t="shared" si="11"/>
        <v>200834.021832</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139.5</v>
      </c>
      <c r="G102" s="555">
        <v>61</v>
      </c>
      <c r="H102" s="556">
        <v>5525</v>
      </c>
      <c r="I102" s="144">
        <f>H102*F$114</f>
        <v>3428.8150000000001</v>
      </c>
      <c r="J102" s="556">
        <v>0</v>
      </c>
      <c r="K102" s="557">
        <f>(H102+I102)-J102</f>
        <v>8953.8150000000005</v>
      </c>
    </row>
    <row r="103" spans="1:11" ht="18" customHeight="1" x14ac:dyDescent="0.4">
      <c r="A103" s="183" t="s">
        <v>132</v>
      </c>
      <c r="B103" s="956" t="s">
        <v>62</v>
      </c>
      <c r="C103" s="956"/>
      <c r="F103" s="555">
        <v>0</v>
      </c>
      <c r="G103" s="555">
        <v>0</v>
      </c>
      <c r="H103" s="556">
        <v>11831</v>
      </c>
      <c r="I103" s="144">
        <f>H103*F$114</f>
        <v>7342.3186000000005</v>
      </c>
      <c r="J103" s="556">
        <v>0</v>
      </c>
      <c r="K103" s="557">
        <f>(H103+I103)-J103</f>
        <v>19173.318599999999</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2">SUM(F102:F106)</f>
        <v>139.5</v>
      </c>
      <c r="G108" s="560">
        <f t="shared" si="12"/>
        <v>61</v>
      </c>
      <c r="H108" s="557">
        <f t="shared" si="12"/>
        <v>17356</v>
      </c>
      <c r="I108" s="557">
        <f t="shared" si="12"/>
        <v>10771.133600000001</v>
      </c>
      <c r="J108" s="557">
        <f t="shared" si="12"/>
        <v>0</v>
      </c>
      <c r="K108" s="557">
        <f t="shared" si="12"/>
        <v>28127.133600000001</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4286506.92</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0.62060000000000004</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376848698</v>
      </c>
    </row>
    <row r="118" spans="1:6" ht="18" customHeight="1" x14ac:dyDescent="0.4">
      <c r="A118" s="183" t="s">
        <v>173</v>
      </c>
      <c r="B118" s="189" t="s">
        <v>18</v>
      </c>
      <c r="F118" s="556">
        <v>15228421</v>
      </c>
    </row>
    <row r="119" spans="1:6" ht="18" customHeight="1" x14ac:dyDescent="0.4">
      <c r="A119" s="183" t="s">
        <v>174</v>
      </c>
      <c r="B119" s="117" t="s">
        <v>19</v>
      </c>
      <c r="F119" s="567">
        <f>SUM(F117:F118)</f>
        <v>392077119</v>
      </c>
    </row>
    <row r="120" spans="1:6" ht="18" customHeight="1" x14ac:dyDescent="0.4">
      <c r="A120" s="183"/>
      <c r="B120" s="117"/>
    </row>
    <row r="121" spans="1:6" ht="18" customHeight="1" x14ac:dyDescent="0.4">
      <c r="A121" s="183" t="s">
        <v>167</v>
      </c>
      <c r="B121" s="117" t="s">
        <v>36</v>
      </c>
      <c r="F121" s="556">
        <v>402886829</v>
      </c>
    </row>
    <row r="122" spans="1:6" ht="18" customHeight="1" x14ac:dyDescent="0.4">
      <c r="A122" s="183"/>
    </row>
    <row r="123" spans="1:6" ht="18" customHeight="1" x14ac:dyDescent="0.4">
      <c r="A123" s="183" t="s">
        <v>175</v>
      </c>
      <c r="B123" s="117" t="s">
        <v>20</v>
      </c>
      <c r="F123" s="556">
        <v>-10809610</v>
      </c>
    </row>
    <row r="124" spans="1:6" ht="18" customHeight="1" x14ac:dyDescent="0.4">
      <c r="A124" s="183"/>
    </row>
    <row r="125" spans="1:6" ht="18" customHeight="1" x14ac:dyDescent="0.4">
      <c r="A125" s="183" t="s">
        <v>176</v>
      </c>
      <c r="B125" s="117" t="s">
        <v>21</v>
      </c>
      <c r="F125" s="556">
        <v>8429098</v>
      </c>
    </row>
    <row r="126" spans="1:6" ht="18" customHeight="1" x14ac:dyDescent="0.4">
      <c r="A126" s="183"/>
    </row>
    <row r="127" spans="1:6" ht="18" customHeight="1" x14ac:dyDescent="0.4">
      <c r="A127" s="183" t="s">
        <v>177</v>
      </c>
      <c r="B127" s="117" t="s">
        <v>22</v>
      </c>
      <c r="F127" s="556">
        <v>-2380512</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3">SUM(F131:F135)</f>
        <v>0</v>
      </c>
      <c r="G137" s="560">
        <f t="shared" si="13"/>
        <v>0</v>
      </c>
      <c r="H137" s="557">
        <f t="shared" si="13"/>
        <v>0</v>
      </c>
      <c r="I137" s="557">
        <f t="shared" si="13"/>
        <v>0</v>
      </c>
      <c r="J137" s="557">
        <f t="shared" si="13"/>
        <v>0</v>
      </c>
      <c r="K137" s="557">
        <f t="shared" si="13"/>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4">F36</f>
        <v>13721.8</v>
      </c>
      <c r="G141" s="136">
        <f t="shared" si="14"/>
        <v>59444</v>
      </c>
      <c r="H141" s="136">
        <f t="shared" si="14"/>
        <v>731202</v>
      </c>
      <c r="I141" s="136">
        <f t="shared" si="14"/>
        <v>453783.96120000002</v>
      </c>
      <c r="J141" s="136">
        <f t="shared" si="14"/>
        <v>22238</v>
      </c>
      <c r="K141" s="136">
        <f t="shared" si="14"/>
        <v>1162747.9612</v>
      </c>
    </row>
    <row r="142" spans="1:11" ht="18" customHeight="1" x14ac:dyDescent="0.4">
      <c r="A142" s="183" t="s">
        <v>142</v>
      </c>
      <c r="B142" s="117" t="s">
        <v>65</v>
      </c>
      <c r="F142" s="136">
        <f t="shared" ref="F142:K142" si="15">F49</f>
        <v>7255</v>
      </c>
      <c r="G142" s="136">
        <f t="shared" si="15"/>
        <v>4472</v>
      </c>
      <c r="H142" s="136">
        <f t="shared" si="15"/>
        <v>222424</v>
      </c>
      <c r="I142" s="136">
        <f t="shared" si="15"/>
        <v>0</v>
      </c>
      <c r="J142" s="136">
        <f t="shared" si="15"/>
        <v>2700</v>
      </c>
      <c r="K142" s="136">
        <f t="shared" si="15"/>
        <v>219724</v>
      </c>
    </row>
    <row r="143" spans="1:11" ht="18" customHeight="1" x14ac:dyDescent="0.4">
      <c r="A143" s="183" t="s">
        <v>144</v>
      </c>
      <c r="B143" s="117" t="s">
        <v>66</v>
      </c>
      <c r="F143" s="136">
        <f t="shared" ref="F143:K143" si="16">F64</f>
        <v>659038</v>
      </c>
      <c r="G143" s="136">
        <f t="shared" si="16"/>
        <v>269478</v>
      </c>
      <c r="H143" s="136">
        <f t="shared" si="16"/>
        <v>70599168.319999993</v>
      </c>
      <c r="I143" s="136">
        <f t="shared" si="16"/>
        <v>909741.82</v>
      </c>
      <c r="J143" s="136">
        <f t="shared" si="16"/>
        <v>37888262.390000001</v>
      </c>
      <c r="K143" s="136">
        <f t="shared" si="16"/>
        <v>33620647.75</v>
      </c>
    </row>
    <row r="144" spans="1:11" ht="18" customHeight="1" x14ac:dyDescent="0.4">
      <c r="A144" s="183" t="s">
        <v>146</v>
      </c>
      <c r="B144" s="117" t="s">
        <v>67</v>
      </c>
      <c r="F144" s="136">
        <f t="shared" ref="F144:K144" si="17">F74</f>
        <v>0</v>
      </c>
      <c r="G144" s="136">
        <f t="shared" si="17"/>
        <v>0</v>
      </c>
      <c r="H144" s="136">
        <f t="shared" si="17"/>
        <v>0</v>
      </c>
      <c r="I144" s="136">
        <f t="shared" si="17"/>
        <v>0</v>
      </c>
      <c r="J144" s="136">
        <f t="shared" si="17"/>
        <v>0</v>
      </c>
      <c r="K144" s="136">
        <f t="shared" si="17"/>
        <v>0</v>
      </c>
    </row>
    <row r="145" spans="1:11" ht="18" customHeight="1" x14ac:dyDescent="0.4">
      <c r="A145" s="183" t="s">
        <v>148</v>
      </c>
      <c r="B145" s="117" t="s">
        <v>68</v>
      </c>
      <c r="F145" s="136">
        <f t="shared" ref="F145:K145" si="18">F82</f>
        <v>10452.5</v>
      </c>
      <c r="G145" s="136">
        <f t="shared" si="18"/>
        <v>1905</v>
      </c>
      <c r="H145" s="136">
        <f t="shared" si="18"/>
        <v>767159.23</v>
      </c>
      <c r="I145" s="136">
        <f t="shared" si="18"/>
        <v>0</v>
      </c>
      <c r="J145" s="136">
        <f t="shared" si="18"/>
        <v>40531</v>
      </c>
      <c r="K145" s="136">
        <f t="shared" si="18"/>
        <v>726628.23</v>
      </c>
    </row>
    <row r="146" spans="1:11" ht="18" customHeight="1" x14ac:dyDescent="0.4">
      <c r="A146" s="183" t="s">
        <v>150</v>
      </c>
      <c r="B146" s="117" t="s">
        <v>69</v>
      </c>
      <c r="F146" s="136">
        <f t="shared" ref="F146:K146" si="19">F98</f>
        <v>2</v>
      </c>
      <c r="G146" s="136">
        <f t="shared" si="19"/>
        <v>1</v>
      </c>
      <c r="H146" s="136">
        <f t="shared" si="19"/>
        <v>123925.72</v>
      </c>
      <c r="I146" s="136">
        <f t="shared" si="19"/>
        <v>76908.301832000012</v>
      </c>
      <c r="J146" s="136">
        <f t="shared" si="19"/>
        <v>0</v>
      </c>
      <c r="K146" s="136">
        <f t="shared" si="19"/>
        <v>200834.021832</v>
      </c>
    </row>
    <row r="147" spans="1:11" ht="18" customHeight="1" x14ac:dyDescent="0.4">
      <c r="A147" s="183" t="s">
        <v>153</v>
      </c>
      <c r="B147" s="117" t="s">
        <v>61</v>
      </c>
      <c r="F147" s="560">
        <f t="shared" ref="F147:K147" si="20">F108</f>
        <v>139.5</v>
      </c>
      <c r="G147" s="560">
        <f t="shared" si="20"/>
        <v>61</v>
      </c>
      <c r="H147" s="560">
        <f t="shared" si="20"/>
        <v>17356</v>
      </c>
      <c r="I147" s="560">
        <f t="shared" si="20"/>
        <v>10771.133600000001</v>
      </c>
      <c r="J147" s="560">
        <f t="shared" si="20"/>
        <v>0</v>
      </c>
      <c r="K147" s="560">
        <f t="shared" si="20"/>
        <v>28127.133600000001</v>
      </c>
    </row>
    <row r="148" spans="1:11" ht="18" customHeight="1" x14ac:dyDescent="0.4">
      <c r="A148" s="183" t="s">
        <v>155</v>
      </c>
      <c r="B148" s="117" t="s">
        <v>70</v>
      </c>
      <c r="F148" s="137" t="s">
        <v>73</v>
      </c>
      <c r="G148" s="137" t="s">
        <v>73</v>
      </c>
      <c r="H148" s="138" t="s">
        <v>73</v>
      </c>
      <c r="I148" s="138" t="s">
        <v>73</v>
      </c>
      <c r="J148" s="138" t="s">
        <v>73</v>
      </c>
      <c r="K148" s="133">
        <f>F111</f>
        <v>4286506.92</v>
      </c>
    </row>
    <row r="149" spans="1:11" ht="18" customHeight="1" x14ac:dyDescent="0.4">
      <c r="A149" s="183" t="s">
        <v>163</v>
      </c>
      <c r="B149" s="117" t="s">
        <v>71</v>
      </c>
      <c r="F149" s="560">
        <f t="shared" ref="F149:K149" si="21">F137</f>
        <v>0</v>
      </c>
      <c r="G149" s="560">
        <f t="shared" si="21"/>
        <v>0</v>
      </c>
      <c r="H149" s="560">
        <f t="shared" si="21"/>
        <v>0</v>
      </c>
      <c r="I149" s="560">
        <f t="shared" si="21"/>
        <v>0</v>
      </c>
      <c r="J149" s="560">
        <f t="shared" si="21"/>
        <v>0</v>
      </c>
      <c r="K149" s="560">
        <f t="shared" si="21"/>
        <v>0</v>
      </c>
    </row>
    <row r="150" spans="1:11" ht="18" customHeight="1" x14ac:dyDescent="0.4">
      <c r="A150" s="183" t="s">
        <v>185</v>
      </c>
      <c r="B150" s="117" t="s">
        <v>183</v>
      </c>
      <c r="F150" s="137" t="s">
        <v>73</v>
      </c>
      <c r="G150" s="137" t="s">
        <v>73</v>
      </c>
      <c r="H150" s="560">
        <f>H18</f>
        <v>7085385</v>
      </c>
      <c r="I150" s="560">
        <f>I18</f>
        <v>0</v>
      </c>
      <c r="J150" s="560">
        <f>J18</f>
        <v>5890273</v>
      </c>
      <c r="K150" s="560">
        <f>K18</f>
        <v>1195112</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2">SUM(F141:F150)</f>
        <v>690608.8</v>
      </c>
      <c r="G152" s="143">
        <f t="shared" si="22"/>
        <v>335361</v>
      </c>
      <c r="H152" s="143">
        <f t="shared" si="22"/>
        <v>79546620.269999996</v>
      </c>
      <c r="I152" s="143">
        <f t="shared" si="22"/>
        <v>1451205.2166320002</v>
      </c>
      <c r="J152" s="143">
        <f t="shared" si="22"/>
        <v>43844004.390000001</v>
      </c>
      <c r="K152" s="143">
        <f t="shared" si="22"/>
        <v>41440328.016631991</v>
      </c>
    </row>
    <row r="154" spans="1:11" ht="18" customHeight="1" x14ac:dyDescent="0.4">
      <c r="A154" s="120" t="s">
        <v>168</v>
      </c>
      <c r="B154" s="117" t="s">
        <v>28</v>
      </c>
      <c r="F154" s="571">
        <f>K152/F121</f>
        <v>0.10285848291315572</v>
      </c>
    </row>
    <row r="155" spans="1:11" ht="18" customHeight="1" x14ac:dyDescent="0.4">
      <c r="A155" s="120" t="s">
        <v>169</v>
      </c>
      <c r="B155" s="117" t="s">
        <v>72</v>
      </c>
      <c r="F155" s="571">
        <f>K152/F127</f>
        <v>-17.408157579811398</v>
      </c>
      <c r="G155" s="117"/>
    </row>
    <row r="156" spans="1:11" ht="18" customHeight="1" x14ac:dyDescent="0.4">
      <c r="G156" s="117"/>
    </row>
  </sheetData>
  <mergeCells count="34">
    <mergeCell ref="B135:D135"/>
    <mergeCell ref="B133:D133"/>
    <mergeCell ref="B104:D104"/>
    <mergeCell ref="B105:D105"/>
    <mergeCell ref="B106:D106"/>
    <mergeCell ref="B103:C103"/>
    <mergeCell ref="B96:D96"/>
    <mergeCell ref="B95:D95"/>
    <mergeCell ref="B94:D94"/>
    <mergeCell ref="B134:D134"/>
    <mergeCell ref="B62:D62"/>
    <mergeCell ref="B57:D57"/>
    <mergeCell ref="B52:C52"/>
    <mergeCell ref="B90:C90"/>
    <mergeCell ref="B53:D53"/>
    <mergeCell ref="B55:D55"/>
    <mergeCell ref="B56:D56"/>
    <mergeCell ref="B59:D59"/>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31:D31"/>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156"/>
  <sheetViews>
    <sheetView showGridLines="0" topLeftCell="A10" zoomScale="80" zoomScaleNormal="80" zoomScaleSheetLayoutView="50" workbookViewId="0">
      <selection activeCell="H16" sqref="H16"/>
    </sheetView>
  </sheetViews>
  <sheetFormatPr defaultColWidth="9" defaultRowHeight="18" customHeight="1" x14ac:dyDescent="0.35"/>
  <cols>
    <col min="1" max="1" width="8.265625" style="115" customWidth="1"/>
    <col min="2" max="2" width="55.3984375" style="189" bestFit="1" customWidth="1"/>
    <col min="3" max="3" width="9.59765625" style="189" customWidth="1"/>
    <col min="4" max="4" width="9" style="189"/>
    <col min="5" max="5" width="12.3984375" style="189" customWidth="1"/>
    <col min="6" max="6" width="18.59765625" style="189" customWidth="1"/>
    <col min="7" max="7" width="23.59765625" style="189" customWidth="1"/>
    <col min="8" max="8" width="17.1328125" style="189" customWidth="1"/>
    <col min="9" max="9" width="21.1328125" style="189" customWidth="1"/>
    <col min="10" max="10" width="19.86328125" style="189" customWidth="1"/>
    <col min="11" max="11" width="17.59765625" style="189" customWidth="1"/>
    <col min="12" max="16384" width="9" style="189"/>
  </cols>
  <sheetData>
    <row r="1" spans="1:11" ht="18" customHeight="1" x14ac:dyDescent="0.4">
      <c r="C1" s="119"/>
      <c r="D1" s="118"/>
      <c r="E1" s="119"/>
      <c r="F1" s="119"/>
      <c r="G1" s="119"/>
      <c r="H1" s="119"/>
      <c r="I1" s="119"/>
      <c r="J1" s="119"/>
      <c r="K1" s="119"/>
    </row>
    <row r="2" spans="1:11" ht="18" customHeight="1" x14ac:dyDescent="0.4">
      <c r="D2" s="949" t="s">
        <v>700</v>
      </c>
      <c r="E2" s="950"/>
      <c r="F2" s="950"/>
      <c r="G2" s="950"/>
      <c r="H2" s="950"/>
    </row>
    <row r="3" spans="1:11" ht="18" customHeight="1" x14ac:dyDescent="0.4">
      <c r="B3" s="117" t="s">
        <v>0</v>
      </c>
    </row>
    <row r="5" spans="1:11" ht="18" customHeight="1" x14ac:dyDescent="0.4">
      <c r="B5" s="183" t="s">
        <v>40</v>
      </c>
      <c r="C5" s="961" t="s">
        <v>365</v>
      </c>
      <c r="D5" s="962"/>
      <c r="E5" s="962"/>
      <c r="F5" s="962"/>
      <c r="G5" s="963"/>
    </row>
    <row r="6" spans="1:11" ht="18" customHeight="1" x14ac:dyDescent="0.4">
      <c r="B6" s="183" t="s">
        <v>3</v>
      </c>
      <c r="C6" s="964" t="s">
        <v>366</v>
      </c>
      <c r="D6" s="965"/>
      <c r="E6" s="965"/>
      <c r="F6" s="965"/>
      <c r="G6" s="966"/>
    </row>
    <row r="7" spans="1:11" ht="18" customHeight="1" x14ac:dyDescent="0.4">
      <c r="B7" s="183" t="s">
        <v>4</v>
      </c>
      <c r="C7" s="982">
        <v>9010</v>
      </c>
      <c r="D7" s="983"/>
      <c r="E7" s="983"/>
      <c r="F7" s="983"/>
      <c r="G7" s="984"/>
    </row>
    <row r="9" spans="1:11" ht="18" customHeight="1" x14ac:dyDescent="0.4">
      <c r="B9" s="183" t="s">
        <v>1</v>
      </c>
      <c r="C9" s="961" t="s">
        <v>367</v>
      </c>
      <c r="D9" s="962"/>
      <c r="E9" s="962"/>
      <c r="F9" s="962"/>
      <c r="G9" s="963"/>
    </row>
    <row r="10" spans="1:11" ht="18" customHeight="1" x14ac:dyDescent="0.4">
      <c r="B10" s="183" t="s">
        <v>2</v>
      </c>
      <c r="C10" s="970" t="s">
        <v>368</v>
      </c>
      <c r="D10" s="971"/>
      <c r="E10" s="971"/>
      <c r="F10" s="971"/>
      <c r="G10" s="972"/>
    </row>
    <row r="11" spans="1:11" ht="18" customHeight="1" x14ac:dyDescent="0.4">
      <c r="B11" s="183" t="s">
        <v>32</v>
      </c>
      <c r="C11" s="961" t="s">
        <v>369</v>
      </c>
      <c r="D11" s="955"/>
      <c r="E11" s="955"/>
      <c r="F11" s="955"/>
      <c r="G11" s="981"/>
    </row>
    <row r="12" spans="1:11" ht="18" customHeight="1" x14ac:dyDescent="0.4">
      <c r="B12" s="183"/>
      <c r="C12" s="183"/>
      <c r="D12" s="183"/>
      <c r="E12" s="183"/>
      <c r="F12" s="183"/>
      <c r="G12" s="183"/>
    </row>
    <row r="13" spans="1:11" ht="24.6" customHeight="1" x14ac:dyDescent="0.35">
      <c r="B13" s="958"/>
      <c r="C13" s="959"/>
      <c r="D13" s="959"/>
      <c r="E13" s="959"/>
      <c r="F13" s="959"/>
      <c r="G13" s="959"/>
      <c r="H13" s="960"/>
      <c r="I13" s="119"/>
    </row>
    <row r="14" spans="1:11" ht="18" customHeight="1" x14ac:dyDescent="0.35">
      <c r="B14" s="121"/>
    </row>
    <row r="15" spans="1:11" ht="18" customHeight="1" x14ac:dyDescent="0.35">
      <c r="B15" s="121"/>
    </row>
    <row r="16" spans="1:11" ht="45" customHeight="1" x14ac:dyDescent="0.4">
      <c r="A16" s="118" t="s">
        <v>181</v>
      </c>
      <c r="B16" s="119"/>
      <c r="C16" s="119"/>
      <c r="D16" s="119"/>
      <c r="E16" s="119"/>
      <c r="F16" s="122" t="s">
        <v>9</v>
      </c>
      <c r="G16" s="122" t="s">
        <v>37</v>
      </c>
      <c r="H16" s="122" t="s">
        <v>29</v>
      </c>
      <c r="I16" s="122" t="s">
        <v>30</v>
      </c>
      <c r="J16" s="122" t="s">
        <v>33</v>
      </c>
      <c r="K16" s="122" t="s">
        <v>34</v>
      </c>
    </row>
    <row r="17" spans="1:11" ht="18" customHeight="1" x14ac:dyDescent="0.4">
      <c r="A17" s="120" t="s">
        <v>184</v>
      </c>
      <c r="B17" s="117" t="s">
        <v>182</v>
      </c>
    </row>
    <row r="18" spans="1:11" ht="18" customHeight="1" x14ac:dyDescent="0.4">
      <c r="A18" s="183" t="s">
        <v>185</v>
      </c>
      <c r="B18" s="116" t="s">
        <v>183</v>
      </c>
      <c r="F18" s="555" t="s">
        <v>73</v>
      </c>
      <c r="G18" s="555" t="s">
        <v>73</v>
      </c>
      <c r="H18" s="556">
        <v>33716088.175028667</v>
      </c>
      <c r="I18" s="144">
        <v>0</v>
      </c>
      <c r="J18" s="556">
        <v>28029099.79391408</v>
      </c>
      <c r="K18" s="557">
        <f>(H18+I18)-J18</f>
        <v>5686988.3811145872</v>
      </c>
    </row>
    <row r="19" spans="1:11" ht="45" customHeight="1" x14ac:dyDescent="0.4">
      <c r="A19" s="118" t="s">
        <v>8</v>
      </c>
      <c r="B19" s="119"/>
      <c r="C19" s="119"/>
      <c r="D19" s="119"/>
      <c r="E19" s="119"/>
      <c r="F19" s="122" t="s">
        <v>9</v>
      </c>
      <c r="G19" s="122" t="s">
        <v>37</v>
      </c>
      <c r="H19" s="122" t="s">
        <v>29</v>
      </c>
      <c r="I19" s="122" t="s">
        <v>30</v>
      </c>
      <c r="J19" s="122" t="s">
        <v>33</v>
      </c>
      <c r="K19" s="122" t="s">
        <v>34</v>
      </c>
    </row>
    <row r="20" spans="1:11" ht="18" customHeight="1" x14ac:dyDescent="0.4">
      <c r="A20" s="120" t="s">
        <v>74</v>
      </c>
      <c r="B20" s="117" t="s">
        <v>41</v>
      </c>
    </row>
    <row r="21" spans="1:11" ht="18" customHeight="1" x14ac:dyDescent="0.4">
      <c r="A21" s="183" t="s">
        <v>75</v>
      </c>
      <c r="B21" s="116" t="s">
        <v>42</v>
      </c>
      <c r="F21" s="555">
        <v>7338.2</v>
      </c>
      <c r="G21" s="555">
        <v>33803</v>
      </c>
      <c r="H21" s="556">
        <v>609598.9066666665</v>
      </c>
      <c r="I21" s="144">
        <f t="shared" ref="I21:I34" si="0">H21*F$114</f>
        <v>312855.46380050451</v>
      </c>
      <c r="J21" s="556">
        <v>1000</v>
      </c>
      <c r="K21" s="557">
        <f t="shared" ref="K21:K34" si="1">(H21+I21)-J21</f>
        <v>921454.37046717107</v>
      </c>
    </row>
    <row r="22" spans="1:11" ht="18" customHeight="1" x14ac:dyDescent="0.4">
      <c r="A22" s="183" t="s">
        <v>76</v>
      </c>
      <c r="B22" s="189" t="s">
        <v>6</v>
      </c>
      <c r="F22" s="555">
        <v>4160</v>
      </c>
      <c r="G22" s="555">
        <v>5727</v>
      </c>
      <c r="H22" s="556">
        <v>296764</v>
      </c>
      <c r="I22" s="144">
        <f t="shared" si="0"/>
        <v>152303.81459667033</v>
      </c>
      <c r="J22" s="556">
        <v>0</v>
      </c>
      <c r="K22" s="557">
        <f t="shared" si="1"/>
        <v>449067.81459667033</v>
      </c>
    </row>
    <row r="23" spans="1:11" ht="18" customHeight="1" x14ac:dyDescent="0.4">
      <c r="A23" s="183" t="s">
        <v>77</v>
      </c>
      <c r="B23" s="189" t="s">
        <v>43</v>
      </c>
      <c r="F23" s="555">
        <v>0</v>
      </c>
      <c r="G23" s="555">
        <v>0</v>
      </c>
      <c r="H23" s="556">
        <v>0</v>
      </c>
      <c r="I23" s="144">
        <f t="shared" si="0"/>
        <v>0</v>
      </c>
      <c r="J23" s="556"/>
      <c r="K23" s="557">
        <f t="shared" si="1"/>
        <v>0</v>
      </c>
    </row>
    <row r="24" spans="1:11" ht="18" customHeight="1" x14ac:dyDescent="0.4">
      <c r="A24" s="183" t="s">
        <v>78</v>
      </c>
      <c r="B24" s="189" t="s">
        <v>44</v>
      </c>
      <c r="F24" s="555">
        <v>0</v>
      </c>
      <c r="G24" s="555">
        <v>0</v>
      </c>
      <c r="H24" s="556">
        <v>0</v>
      </c>
      <c r="I24" s="144">
        <f t="shared" si="0"/>
        <v>0</v>
      </c>
      <c r="J24" s="556"/>
      <c r="K24" s="557">
        <f t="shared" si="1"/>
        <v>0</v>
      </c>
    </row>
    <row r="25" spans="1:11" ht="18" customHeight="1" x14ac:dyDescent="0.4">
      <c r="A25" s="183" t="s">
        <v>79</v>
      </c>
      <c r="B25" s="189" t="s">
        <v>5</v>
      </c>
      <c r="F25" s="555">
        <v>2080</v>
      </c>
      <c r="G25" s="555">
        <v>4421</v>
      </c>
      <c r="H25" s="556">
        <v>50625.4</v>
      </c>
      <c r="I25" s="144">
        <f t="shared" si="0"/>
        <v>25981.728024565899</v>
      </c>
      <c r="J25" s="556">
        <v>0</v>
      </c>
      <c r="K25" s="557">
        <f t="shared" si="1"/>
        <v>76607.1280245659</v>
      </c>
    </row>
    <row r="26" spans="1:11" ht="18" customHeight="1" x14ac:dyDescent="0.4">
      <c r="A26" s="183" t="s">
        <v>80</v>
      </c>
      <c r="B26" s="189" t="s">
        <v>45</v>
      </c>
      <c r="F26" s="555">
        <v>0</v>
      </c>
      <c r="G26" s="555">
        <v>0</v>
      </c>
      <c r="H26" s="556">
        <v>0</v>
      </c>
      <c r="I26" s="144">
        <f t="shared" si="0"/>
        <v>0</v>
      </c>
      <c r="J26" s="556"/>
      <c r="K26" s="557">
        <f t="shared" si="1"/>
        <v>0</v>
      </c>
    </row>
    <row r="27" spans="1:11" ht="18" customHeight="1" x14ac:dyDescent="0.4">
      <c r="A27" s="183" t="s">
        <v>81</v>
      </c>
      <c r="B27" s="189" t="s">
        <v>498</v>
      </c>
      <c r="F27" s="555">
        <v>0</v>
      </c>
      <c r="G27" s="555">
        <v>0</v>
      </c>
      <c r="H27" s="556">
        <v>0</v>
      </c>
      <c r="I27" s="144">
        <f t="shared" si="0"/>
        <v>0</v>
      </c>
      <c r="J27" s="556"/>
      <c r="K27" s="557">
        <f t="shared" si="1"/>
        <v>0</v>
      </c>
    </row>
    <row r="28" spans="1:11" ht="18" customHeight="1" x14ac:dyDescent="0.4">
      <c r="A28" s="183" t="s">
        <v>82</v>
      </c>
      <c r="B28" s="189" t="s">
        <v>47</v>
      </c>
      <c r="F28" s="555">
        <v>4368</v>
      </c>
      <c r="G28" s="555">
        <v>654</v>
      </c>
      <c r="H28" s="556">
        <v>204546.08000000002</v>
      </c>
      <c r="I28" s="144">
        <f t="shared" si="0"/>
        <v>104976.17044114415</v>
      </c>
      <c r="J28" s="556">
        <v>270000</v>
      </c>
      <c r="K28" s="557">
        <f t="shared" si="1"/>
        <v>39522.250441144162</v>
      </c>
    </row>
    <row r="29" spans="1:11" ht="18" customHeight="1" x14ac:dyDescent="0.4">
      <c r="A29" s="183" t="s">
        <v>83</v>
      </c>
      <c r="B29" s="189" t="s">
        <v>48</v>
      </c>
      <c r="F29" s="555">
        <v>17624</v>
      </c>
      <c r="G29" s="555">
        <v>404</v>
      </c>
      <c r="H29" s="556">
        <v>494426</v>
      </c>
      <c r="I29" s="144">
        <f t="shared" si="0"/>
        <v>253746.97010342672</v>
      </c>
      <c r="J29" s="556">
        <v>169996</v>
      </c>
      <c r="K29" s="557">
        <f t="shared" si="1"/>
        <v>578176.97010342672</v>
      </c>
    </row>
    <row r="30" spans="1:11" ht="18" customHeight="1" x14ac:dyDescent="0.4">
      <c r="A30" s="183" t="s">
        <v>84</v>
      </c>
      <c r="B30" s="951"/>
      <c r="C30" s="952"/>
      <c r="D30" s="953"/>
      <c r="F30" s="555"/>
      <c r="G30" s="555"/>
      <c r="H30" s="556"/>
      <c r="I30" s="144">
        <f t="shared" si="0"/>
        <v>0</v>
      </c>
      <c r="J30" s="556"/>
      <c r="K30" s="557">
        <f t="shared" si="1"/>
        <v>0</v>
      </c>
    </row>
    <row r="31" spans="1:11" ht="18" customHeight="1" x14ac:dyDescent="0.4">
      <c r="A31" s="183" t="s">
        <v>133</v>
      </c>
      <c r="B31" s="951"/>
      <c r="C31" s="952"/>
      <c r="D31" s="953"/>
      <c r="F31" s="555"/>
      <c r="G31" s="555"/>
      <c r="H31" s="556"/>
      <c r="I31" s="144">
        <f t="shared" si="0"/>
        <v>0</v>
      </c>
      <c r="J31" s="556"/>
      <c r="K31" s="557">
        <f t="shared" si="1"/>
        <v>0</v>
      </c>
    </row>
    <row r="32" spans="1:11" ht="18" customHeight="1" x14ac:dyDescent="0.4">
      <c r="A32" s="183" t="s">
        <v>134</v>
      </c>
      <c r="B32" s="500"/>
      <c r="C32" s="501"/>
      <c r="D32" s="502"/>
      <c r="F32" s="555"/>
      <c r="G32" s="558" t="s">
        <v>85</v>
      </c>
      <c r="H32" s="556"/>
      <c r="I32" s="144">
        <f t="shared" si="0"/>
        <v>0</v>
      </c>
      <c r="J32" s="556"/>
      <c r="K32" s="557">
        <f t="shared" si="1"/>
        <v>0</v>
      </c>
    </row>
    <row r="33" spans="1:11" ht="18" customHeight="1" x14ac:dyDescent="0.4">
      <c r="A33" s="183" t="s">
        <v>135</v>
      </c>
      <c r="B33" s="500"/>
      <c r="C33" s="501"/>
      <c r="D33" s="502"/>
      <c r="F33" s="555"/>
      <c r="G33" s="558" t="s">
        <v>85</v>
      </c>
      <c r="H33" s="556"/>
      <c r="I33" s="144">
        <f t="shared" si="0"/>
        <v>0</v>
      </c>
      <c r="J33" s="556"/>
      <c r="K33" s="557">
        <f t="shared" si="1"/>
        <v>0</v>
      </c>
    </row>
    <row r="34" spans="1:11" ht="18" customHeight="1" x14ac:dyDescent="0.4">
      <c r="A34" s="183" t="s">
        <v>136</v>
      </c>
      <c r="B34" s="951"/>
      <c r="C34" s="952"/>
      <c r="D34" s="953"/>
      <c r="F34" s="555"/>
      <c r="G34" s="558" t="s">
        <v>85</v>
      </c>
      <c r="H34" s="556"/>
      <c r="I34" s="144">
        <f t="shared" si="0"/>
        <v>0</v>
      </c>
      <c r="J34" s="556"/>
      <c r="K34" s="557">
        <f t="shared" si="1"/>
        <v>0</v>
      </c>
    </row>
    <row r="35" spans="1:11" ht="18" customHeight="1" x14ac:dyDescent="0.35">
      <c r="K35" s="559"/>
    </row>
    <row r="36" spans="1:11" ht="18" customHeight="1" x14ac:dyDescent="0.4">
      <c r="A36" s="120" t="s">
        <v>137</v>
      </c>
      <c r="B36" s="117" t="s">
        <v>138</v>
      </c>
      <c r="E36" s="117" t="s">
        <v>7</v>
      </c>
      <c r="F36" s="560">
        <f t="shared" ref="F36:K36" si="2">SUM(F21:F34)</f>
        <v>35570.199999999997</v>
      </c>
      <c r="G36" s="560">
        <f t="shared" si="2"/>
        <v>45009</v>
      </c>
      <c r="H36" s="560">
        <f t="shared" si="2"/>
        <v>1655960.3866666665</v>
      </c>
      <c r="I36" s="557">
        <f t="shared" si="2"/>
        <v>849864.14696631161</v>
      </c>
      <c r="J36" s="557">
        <f t="shared" si="2"/>
        <v>440996</v>
      </c>
      <c r="K36" s="557">
        <f t="shared" si="2"/>
        <v>2064828.5336329783</v>
      </c>
    </row>
    <row r="37" spans="1:11" ht="18" customHeight="1" thickBot="1" x14ac:dyDescent="0.45">
      <c r="B37" s="117"/>
      <c r="F37" s="127"/>
      <c r="G37" s="127"/>
      <c r="H37" s="128"/>
      <c r="I37" s="128"/>
      <c r="J37" s="128"/>
      <c r="K37" s="139"/>
    </row>
    <row r="38" spans="1:11" ht="42.75" customHeight="1" x14ac:dyDescent="0.4">
      <c r="F38" s="122" t="s">
        <v>9</v>
      </c>
      <c r="G38" s="122" t="s">
        <v>37</v>
      </c>
      <c r="H38" s="122" t="s">
        <v>29</v>
      </c>
      <c r="I38" s="122" t="s">
        <v>30</v>
      </c>
      <c r="J38" s="122" t="s">
        <v>33</v>
      </c>
      <c r="K38" s="122" t="s">
        <v>34</v>
      </c>
    </row>
    <row r="39" spans="1:11" ht="18.75" customHeight="1" x14ac:dyDescent="0.4">
      <c r="A39" s="120" t="s">
        <v>86</v>
      </c>
      <c r="B39" s="117" t="s">
        <v>49</v>
      </c>
    </row>
    <row r="40" spans="1:11" ht="18" customHeight="1" x14ac:dyDescent="0.4">
      <c r="A40" s="183" t="s">
        <v>87</v>
      </c>
      <c r="B40" s="189" t="s">
        <v>31</v>
      </c>
      <c r="F40" s="555">
        <v>2373555.0519466167</v>
      </c>
      <c r="G40" s="555"/>
      <c r="H40" s="556">
        <v>118512912.00224885</v>
      </c>
      <c r="I40" s="144">
        <f t="shared" ref="I40:I41" si="3">H40*F$114</f>
        <v>60822635.417038508</v>
      </c>
      <c r="J40" s="556"/>
      <c r="K40" s="557">
        <f t="shared" ref="K40:K47" si="4">(H40+I40)-J40</f>
        <v>179335547.41928735</v>
      </c>
    </row>
    <row r="41" spans="1:11" ht="18" customHeight="1" x14ac:dyDescent="0.4">
      <c r="A41" s="183" t="s">
        <v>88</v>
      </c>
      <c r="B41" s="956" t="s">
        <v>50</v>
      </c>
      <c r="C41" s="957"/>
      <c r="F41" s="555">
        <v>147388</v>
      </c>
      <c r="G41" s="555">
        <v>1285</v>
      </c>
      <c r="H41" s="556">
        <f>F41*32.5</f>
        <v>4790110</v>
      </c>
      <c r="I41" s="144">
        <f t="shared" si="3"/>
        <v>2458357.5680933553</v>
      </c>
      <c r="J41" s="556"/>
      <c r="K41" s="557">
        <f t="shared" si="4"/>
        <v>7248467.5680933557</v>
      </c>
    </row>
    <row r="42" spans="1:11" ht="18" customHeight="1" x14ac:dyDescent="0.4">
      <c r="A42" s="183" t="s">
        <v>89</v>
      </c>
      <c r="B42" s="116" t="s">
        <v>11</v>
      </c>
      <c r="F42" s="555"/>
      <c r="G42" s="555"/>
      <c r="H42" s="556"/>
      <c r="I42" s="144">
        <v>0</v>
      </c>
      <c r="J42" s="556"/>
      <c r="K42" s="557">
        <f t="shared" si="4"/>
        <v>0</v>
      </c>
    </row>
    <row r="43" spans="1:11" ht="18" customHeight="1" x14ac:dyDescent="0.4">
      <c r="A43" s="183" t="s">
        <v>90</v>
      </c>
      <c r="B43" s="141" t="s">
        <v>10</v>
      </c>
      <c r="C43" s="123"/>
      <c r="D43" s="123"/>
      <c r="F43" s="555"/>
      <c r="G43" s="555"/>
      <c r="H43" s="556"/>
      <c r="I43" s="144">
        <v>0</v>
      </c>
      <c r="J43" s="556"/>
      <c r="K43" s="557">
        <f t="shared" si="4"/>
        <v>0</v>
      </c>
    </row>
    <row r="44" spans="1:11" ht="18" customHeight="1" x14ac:dyDescent="0.4">
      <c r="A44" s="183" t="s">
        <v>91</v>
      </c>
      <c r="B44" s="951"/>
      <c r="C44" s="952"/>
      <c r="D44" s="953"/>
      <c r="F44" s="561"/>
      <c r="G44" s="561"/>
      <c r="H44" s="561"/>
      <c r="I44" s="146">
        <v>0</v>
      </c>
      <c r="J44" s="561"/>
      <c r="K44" s="562">
        <f t="shared" si="4"/>
        <v>0</v>
      </c>
    </row>
    <row r="45" spans="1:11" ht="18" customHeight="1" x14ac:dyDescent="0.4">
      <c r="A45" s="183" t="s">
        <v>139</v>
      </c>
      <c r="B45" s="951"/>
      <c r="C45" s="952"/>
      <c r="D45" s="953"/>
      <c r="F45" s="555"/>
      <c r="G45" s="555"/>
      <c r="H45" s="556"/>
      <c r="I45" s="144">
        <v>0</v>
      </c>
      <c r="J45" s="556"/>
      <c r="K45" s="557">
        <f t="shared" si="4"/>
        <v>0</v>
      </c>
    </row>
    <row r="46" spans="1:11" ht="18" customHeight="1" x14ac:dyDescent="0.4">
      <c r="A46" s="183" t="s">
        <v>140</v>
      </c>
      <c r="B46" s="951"/>
      <c r="C46" s="952"/>
      <c r="D46" s="953"/>
      <c r="F46" s="555"/>
      <c r="G46" s="555"/>
      <c r="H46" s="556"/>
      <c r="I46" s="144">
        <v>0</v>
      </c>
      <c r="J46" s="556"/>
      <c r="K46" s="557">
        <f t="shared" si="4"/>
        <v>0</v>
      </c>
    </row>
    <row r="47" spans="1:11" ht="18" customHeight="1" x14ac:dyDescent="0.4">
      <c r="A47" s="183" t="s">
        <v>141</v>
      </c>
      <c r="B47" s="951"/>
      <c r="C47" s="952"/>
      <c r="D47" s="953"/>
      <c r="F47" s="555"/>
      <c r="G47" s="555"/>
      <c r="H47" s="556"/>
      <c r="I47" s="144">
        <v>0</v>
      </c>
      <c r="J47" s="556"/>
      <c r="K47" s="557">
        <f t="shared" si="4"/>
        <v>0</v>
      </c>
    </row>
    <row r="49" spans="1:11" ht="18" customHeight="1" x14ac:dyDescent="0.4">
      <c r="A49" s="120" t="s">
        <v>142</v>
      </c>
      <c r="B49" s="117" t="s">
        <v>143</v>
      </c>
      <c r="E49" s="117" t="s">
        <v>7</v>
      </c>
      <c r="F49" s="563">
        <f t="shared" ref="F49:K49" si="5">SUM(F40:F47)</f>
        <v>2520943.0519466167</v>
      </c>
      <c r="G49" s="563">
        <f t="shared" si="5"/>
        <v>1285</v>
      </c>
      <c r="H49" s="557">
        <f t="shared" si="5"/>
        <v>123303022.00224885</v>
      </c>
      <c r="I49" s="557">
        <f t="shared" si="5"/>
        <v>63280992.98513186</v>
      </c>
      <c r="J49" s="557">
        <f t="shared" si="5"/>
        <v>0</v>
      </c>
      <c r="K49" s="557">
        <f t="shared" si="5"/>
        <v>186584014.98738071</v>
      </c>
    </row>
    <row r="50" spans="1:11" ht="18" customHeight="1" thickBot="1" x14ac:dyDescent="0.4">
      <c r="G50" s="129"/>
      <c r="H50" s="129"/>
      <c r="I50" s="129"/>
      <c r="J50" s="129"/>
      <c r="K50" s="129"/>
    </row>
    <row r="51" spans="1:11" ht="42.75" customHeight="1" x14ac:dyDescent="0.4">
      <c r="F51" s="122" t="s">
        <v>9</v>
      </c>
      <c r="G51" s="122" t="s">
        <v>37</v>
      </c>
      <c r="H51" s="122" t="s">
        <v>29</v>
      </c>
      <c r="I51" s="122" t="s">
        <v>30</v>
      </c>
      <c r="J51" s="122" t="s">
        <v>33</v>
      </c>
      <c r="K51" s="122" t="s">
        <v>34</v>
      </c>
    </row>
    <row r="52" spans="1:11" ht="18" customHeight="1" x14ac:dyDescent="0.4">
      <c r="A52" s="120" t="s">
        <v>92</v>
      </c>
      <c r="B52" s="976" t="s">
        <v>38</v>
      </c>
      <c r="C52" s="977"/>
    </row>
    <row r="53" spans="1:11" ht="18" customHeight="1" x14ac:dyDescent="0.4">
      <c r="A53" s="183" t="s">
        <v>51</v>
      </c>
      <c r="B53" s="985" t="s">
        <v>370</v>
      </c>
      <c r="C53" s="986"/>
      <c r="D53" s="987"/>
      <c r="F53" s="555">
        <v>7593.9299983978271</v>
      </c>
      <c r="G53" s="555">
        <v>4451</v>
      </c>
      <c r="H53" s="556">
        <v>1672976.99</v>
      </c>
      <c r="I53" s="144">
        <f t="shared" ref="I53:I55" si="6">H53*F$114</f>
        <v>858597.32753789413</v>
      </c>
      <c r="J53" s="556">
        <v>518915.69</v>
      </c>
      <c r="K53" s="557">
        <f t="shared" ref="K53:K62" si="7">(H53+I53)-J53</f>
        <v>2012658.6275378941</v>
      </c>
    </row>
    <row r="54" spans="1:11" ht="18" customHeight="1" x14ac:dyDescent="0.4">
      <c r="A54" s="183" t="s">
        <v>93</v>
      </c>
      <c r="B54" s="317" t="s">
        <v>371</v>
      </c>
      <c r="C54" s="318"/>
      <c r="D54" s="509"/>
      <c r="F54" s="555">
        <v>199510.22999564745</v>
      </c>
      <c r="G54" s="555">
        <v>52495</v>
      </c>
      <c r="H54" s="556">
        <v>14548809</v>
      </c>
      <c r="I54" s="144">
        <f t="shared" si="6"/>
        <v>7466670.8513780944</v>
      </c>
      <c r="J54" s="556">
        <v>9551295</v>
      </c>
      <c r="K54" s="557">
        <f t="shared" si="7"/>
        <v>12464184.851378094</v>
      </c>
    </row>
    <row r="55" spans="1:11" ht="18" customHeight="1" x14ac:dyDescent="0.4">
      <c r="A55" s="183" t="s">
        <v>94</v>
      </c>
      <c r="B55" s="980" t="s">
        <v>617</v>
      </c>
      <c r="C55" s="974"/>
      <c r="D55" s="975"/>
      <c r="F55" s="555">
        <v>20658.589994549751</v>
      </c>
      <c r="G55" s="555">
        <v>12069</v>
      </c>
      <c r="H55" s="556">
        <v>1914734.5100000002</v>
      </c>
      <c r="I55" s="144">
        <f t="shared" si="6"/>
        <v>982670.97698132682</v>
      </c>
      <c r="J55" s="556">
        <v>1081887.97</v>
      </c>
      <c r="K55" s="557">
        <f t="shared" si="7"/>
        <v>1815517.5169813272</v>
      </c>
    </row>
    <row r="56" spans="1:11" ht="18" customHeight="1" x14ac:dyDescent="0.4">
      <c r="A56" s="183" t="s">
        <v>95</v>
      </c>
      <c r="B56" s="980"/>
      <c r="C56" s="974"/>
      <c r="D56" s="975"/>
      <c r="F56" s="555"/>
      <c r="G56" s="555"/>
      <c r="H56" s="556"/>
      <c r="I56" s="144">
        <v>0</v>
      </c>
      <c r="J56" s="556"/>
      <c r="K56" s="557">
        <f t="shared" si="7"/>
        <v>0</v>
      </c>
    </row>
    <row r="57" spans="1:11" ht="18" customHeight="1" x14ac:dyDescent="0.4">
      <c r="A57" s="183" t="s">
        <v>96</v>
      </c>
      <c r="B57" s="980"/>
      <c r="C57" s="974"/>
      <c r="D57" s="975"/>
      <c r="F57" s="555"/>
      <c r="G57" s="555"/>
      <c r="H57" s="556"/>
      <c r="I57" s="144">
        <v>0</v>
      </c>
      <c r="J57" s="556"/>
      <c r="K57" s="557">
        <f t="shared" si="7"/>
        <v>0</v>
      </c>
    </row>
    <row r="58" spans="1:11" ht="18" customHeight="1" x14ac:dyDescent="0.4">
      <c r="A58" s="183" t="s">
        <v>97</v>
      </c>
      <c r="B58" s="503"/>
      <c r="C58" s="504"/>
      <c r="D58" s="505"/>
      <c r="F58" s="555"/>
      <c r="G58" s="555"/>
      <c r="H58" s="556"/>
      <c r="I58" s="144">
        <v>0</v>
      </c>
      <c r="J58" s="556"/>
      <c r="K58" s="557">
        <f t="shared" si="7"/>
        <v>0</v>
      </c>
    </row>
    <row r="59" spans="1:11" ht="18" customHeight="1" x14ac:dyDescent="0.4">
      <c r="A59" s="183" t="s">
        <v>98</v>
      </c>
      <c r="B59" s="980"/>
      <c r="C59" s="974"/>
      <c r="D59" s="975"/>
      <c r="F59" s="555"/>
      <c r="G59" s="555"/>
      <c r="H59" s="556"/>
      <c r="I59" s="144">
        <v>0</v>
      </c>
      <c r="J59" s="556"/>
      <c r="K59" s="557">
        <f t="shared" si="7"/>
        <v>0</v>
      </c>
    </row>
    <row r="60" spans="1:11" ht="18" customHeight="1" x14ac:dyDescent="0.4">
      <c r="A60" s="183" t="s">
        <v>99</v>
      </c>
      <c r="B60" s="503"/>
      <c r="C60" s="504"/>
      <c r="D60" s="505"/>
      <c r="F60" s="555"/>
      <c r="G60" s="555"/>
      <c r="H60" s="556"/>
      <c r="I60" s="144">
        <v>0</v>
      </c>
      <c r="J60" s="556"/>
      <c r="K60" s="557">
        <f t="shared" si="7"/>
        <v>0</v>
      </c>
    </row>
    <row r="61" spans="1:11" ht="18" customHeight="1" x14ac:dyDescent="0.4">
      <c r="A61" s="183" t="s">
        <v>100</v>
      </c>
      <c r="B61" s="503"/>
      <c r="C61" s="504"/>
      <c r="D61" s="505"/>
      <c r="F61" s="555"/>
      <c r="G61" s="555"/>
      <c r="H61" s="556"/>
      <c r="I61" s="144">
        <v>0</v>
      </c>
      <c r="J61" s="556"/>
      <c r="K61" s="557">
        <f t="shared" si="7"/>
        <v>0</v>
      </c>
    </row>
    <row r="62" spans="1:11" ht="18" customHeight="1" x14ac:dyDescent="0.4">
      <c r="A62" s="183" t="s">
        <v>101</v>
      </c>
      <c r="B62" s="980"/>
      <c r="C62" s="974"/>
      <c r="D62" s="975"/>
      <c r="F62" s="555"/>
      <c r="G62" s="555"/>
      <c r="H62" s="556"/>
      <c r="I62" s="144">
        <v>0</v>
      </c>
      <c r="J62" s="556"/>
      <c r="K62" s="557">
        <f t="shared" si="7"/>
        <v>0</v>
      </c>
    </row>
    <row r="63" spans="1:11" ht="18" customHeight="1" x14ac:dyDescent="0.4">
      <c r="A63" s="183"/>
      <c r="I63" s="140"/>
    </row>
    <row r="64" spans="1:11" ht="18" customHeight="1" x14ac:dyDescent="0.4">
      <c r="A64" s="183" t="s">
        <v>144</v>
      </c>
      <c r="B64" s="117" t="s">
        <v>145</v>
      </c>
      <c r="E64" s="117" t="s">
        <v>7</v>
      </c>
      <c r="F64" s="560">
        <f t="shared" ref="F64:K64" si="8">SUM(F53:F62)</f>
        <v>227762.74998859502</v>
      </c>
      <c r="G64" s="560">
        <f t="shared" si="8"/>
        <v>69015</v>
      </c>
      <c r="H64" s="557">
        <f t="shared" si="8"/>
        <v>18136520.5</v>
      </c>
      <c r="I64" s="557">
        <f t="shared" si="8"/>
        <v>9307939.1558973156</v>
      </c>
      <c r="J64" s="557">
        <f t="shared" si="8"/>
        <v>11152098.66</v>
      </c>
      <c r="K64" s="557">
        <f t="shared" si="8"/>
        <v>16292360.995897317</v>
      </c>
    </row>
    <row r="65" spans="1:11" ht="18" customHeight="1" x14ac:dyDescent="0.35">
      <c r="F65" s="142"/>
      <c r="G65" s="142"/>
      <c r="H65" s="142"/>
      <c r="I65" s="142"/>
      <c r="J65" s="142"/>
      <c r="K65" s="142"/>
    </row>
    <row r="66" spans="1:11" ht="42.75" customHeight="1" x14ac:dyDescent="0.4">
      <c r="F66" s="147" t="s">
        <v>9</v>
      </c>
      <c r="G66" s="147" t="s">
        <v>37</v>
      </c>
      <c r="H66" s="147" t="s">
        <v>29</v>
      </c>
      <c r="I66" s="147" t="s">
        <v>30</v>
      </c>
      <c r="J66" s="147" t="s">
        <v>33</v>
      </c>
      <c r="K66" s="147" t="s">
        <v>34</v>
      </c>
    </row>
    <row r="67" spans="1:11" ht="18" customHeight="1" x14ac:dyDescent="0.4">
      <c r="A67" s="120" t="s">
        <v>102</v>
      </c>
      <c r="B67" s="117" t="s">
        <v>12</v>
      </c>
      <c r="F67" s="148"/>
      <c r="G67" s="148"/>
      <c r="H67" s="148"/>
      <c r="I67" s="149"/>
      <c r="J67" s="148"/>
      <c r="K67" s="150"/>
    </row>
    <row r="68" spans="1:11" ht="18" customHeight="1" x14ac:dyDescent="0.4">
      <c r="A68" s="183" t="s">
        <v>103</v>
      </c>
      <c r="B68" s="189" t="s">
        <v>52</v>
      </c>
      <c r="F68" s="564"/>
      <c r="G68" s="564"/>
      <c r="H68" s="564"/>
      <c r="I68" s="144">
        <v>0</v>
      </c>
      <c r="J68" s="564"/>
      <c r="K68" s="557">
        <f>(H68+I68)-J68</f>
        <v>0</v>
      </c>
    </row>
    <row r="69" spans="1:11" ht="18" customHeight="1" x14ac:dyDescent="0.4">
      <c r="A69" s="183" t="s">
        <v>104</v>
      </c>
      <c r="B69" s="116" t="s">
        <v>53</v>
      </c>
      <c r="F69" s="564"/>
      <c r="G69" s="564"/>
      <c r="H69" s="564"/>
      <c r="I69" s="144">
        <v>0</v>
      </c>
      <c r="J69" s="564"/>
      <c r="K69" s="557">
        <f>(H69+I69)-J69</f>
        <v>0</v>
      </c>
    </row>
    <row r="70" spans="1:11" ht="18" customHeight="1" x14ac:dyDescent="0.4">
      <c r="A70" s="183" t="s">
        <v>178</v>
      </c>
      <c r="B70" s="503"/>
      <c r="C70" s="504"/>
      <c r="D70" s="505"/>
      <c r="E70" s="117"/>
      <c r="F70" s="131"/>
      <c r="G70" s="131"/>
      <c r="H70" s="132"/>
      <c r="I70" s="144">
        <v>0</v>
      </c>
      <c r="J70" s="132"/>
      <c r="K70" s="557">
        <f>(H70+I70)-J70</f>
        <v>0</v>
      </c>
    </row>
    <row r="71" spans="1:11" ht="18" customHeight="1" x14ac:dyDescent="0.4">
      <c r="A71" s="183" t="s">
        <v>179</v>
      </c>
      <c r="B71" s="503"/>
      <c r="C71" s="504"/>
      <c r="D71" s="505"/>
      <c r="E71" s="117"/>
      <c r="F71" s="131"/>
      <c r="G71" s="131"/>
      <c r="H71" s="132"/>
      <c r="I71" s="144">
        <v>0</v>
      </c>
      <c r="J71" s="132"/>
      <c r="K71" s="557">
        <f>(H71+I71)-J71</f>
        <v>0</v>
      </c>
    </row>
    <row r="72" spans="1:11" ht="18" customHeight="1" x14ac:dyDescent="0.4">
      <c r="A72" s="183" t="s">
        <v>180</v>
      </c>
      <c r="B72" s="510"/>
      <c r="C72" s="508"/>
      <c r="D72" s="130"/>
      <c r="E72" s="117"/>
      <c r="F72" s="555"/>
      <c r="G72" s="555"/>
      <c r="H72" s="556"/>
      <c r="I72" s="144">
        <v>0</v>
      </c>
      <c r="J72" s="556"/>
      <c r="K72" s="557">
        <f>(H72+I72)-J72</f>
        <v>0</v>
      </c>
    </row>
    <row r="73" spans="1:11" ht="18" customHeight="1" x14ac:dyDescent="0.4">
      <c r="A73" s="183"/>
      <c r="B73" s="116"/>
      <c r="E73" s="117"/>
      <c r="F73" s="151"/>
      <c r="G73" s="151"/>
      <c r="H73" s="152"/>
      <c r="I73" s="149"/>
      <c r="J73" s="152"/>
      <c r="K73" s="150"/>
    </row>
    <row r="74" spans="1:11" ht="18" customHeight="1" x14ac:dyDescent="0.4">
      <c r="A74" s="120" t="s">
        <v>146</v>
      </c>
      <c r="B74" s="117" t="s">
        <v>147</v>
      </c>
      <c r="E74" s="117" t="s">
        <v>7</v>
      </c>
      <c r="F74" s="566">
        <f t="shared" ref="F74:K74" si="9">SUM(F68:F72)</f>
        <v>0</v>
      </c>
      <c r="G74" s="566">
        <f t="shared" si="9"/>
        <v>0</v>
      </c>
      <c r="H74" s="566">
        <f t="shared" si="9"/>
        <v>0</v>
      </c>
      <c r="I74" s="145">
        <f t="shared" si="9"/>
        <v>0</v>
      </c>
      <c r="J74" s="566">
        <f t="shared" si="9"/>
        <v>0</v>
      </c>
      <c r="K74" s="567">
        <f t="shared" si="9"/>
        <v>0</v>
      </c>
    </row>
    <row r="75" spans="1:11" ht="42.75" customHeight="1" x14ac:dyDescent="0.4">
      <c r="F75" s="122" t="s">
        <v>9</v>
      </c>
      <c r="G75" s="122" t="s">
        <v>37</v>
      </c>
      <c r="H75" s="122" t="s">
        <v>29</v>
      </c>
      <c r="I75" s="122" t="s">
        <v>30</v>
      </c>
      <c r="J75" s="122" t="s">
        <v>33</v>
      </c>
      <c r="K75" s="122" t="s">
        <v>34</v>
      </c>
    </row>
    <row r="76" spans="1:11" ht="18" customHeight="1" x14ac:dyDescent="0.4">
      <c r="A76" s="120" t="s">
        <v>105</v>
      </c>
      <c r="B76" s="117" t="s">
        <v>106</v>
      </c>
    </row>
    <row r="77" spans="1:11" ht="18" customHeight="1" x14ac:dyDescent="0.4">
      <c r="A77" s="183" t="s">
        <v>107</v>
      </c>
      <c r="B77" s="116" t="s">
        <v>54</v>
      </c>
      <c r="F77" s="555">
        <v>0</v>
      </c>
      <c r="G77" s="555">
        <v>0</v>
      </c>
      <c r="H77" s="556">
        <v>321659</v>
      </c>
      <c r="I77" s="144">
        <v>0</v>
      </c>
      <c r="J77" s="556"/>
      <c r="K77" s="557">
        <f>(H77+I77)-J77</f>
        <v>321659</v>
      </c>
    </row>
    <row r="78" spans="1:11" ht="18" customHeight="1" x14ac:dyDescent="0.4">
      <c r="A78" s="183" t="s">
        <v>108</v>
      </c>
      <c r="B78" s="116" t="s">
        <v>55</v>
      </c>
      <c r="F78" s="555">
        <v>0</v>
      </c>
      <c r="G78" s="555">
        <v>0</v>
      </c>
      <c r="H78" s="556">
        <v>0</v>
      </c>
      <c r="I78" s="144">
        <v>0</v>
      </c>
      <c r="J78" s="556"/>
      <c r="K78" s="557">
        <f>(H78+I78)-J78</f>
        <v>0</v>
      </c>
    </row>
    <row r="79" spans="1:11" ht="18" customHeight="1" x14ac:dyDescent="0.4">
      <c r="A79" s="183" t="s">
        <v>109</v>
      </c>
      <c r="B79" s="116" t="s">
        <v>13</v>
      </c>
      <c r="F79" s="555">
        <v>510</v>
      </c>
      <c r="G79" s="555">
        <v>1312</v>
      </c>
      <c r="H79" s="556">
        <v>56633</v>
      </c>
      <c r="I79" s="144">
        <v>0</v>
      </c>
      <c r="J79" s="556"/>
      <c r="K79" s="557">
        <f>(H79+I79)-J79</f>
        <v>56633</v>
      </c>
    </row>
    <row r="80" spans="1:11" ht="18" customHeight="1" x14ac:dyDescent="0.4">
      <c r="A80" s="183" t="s">
        <v>110</v>
      </c>
      <c r="B80" s="116" t="s">
        <v>56</v>
      </c>
      <c r="F80" s="555">
        <v>0</v>
      </c>
      <c r="G80" s="555">
        <v>0</v>
      </c>
      <c r="H80" s="556">
        <v>0</v>
      </c>
      <c r="I80" s="144">
        <v>0</v>
      </c>
      <c r="J80" s="556"/>
      <c r="K80" s="557">
        <f>(H80+I80)-J80</f>
        <v>0</v>
      </c>
    </row>
    <row r="81" spans="1:11" ht="18" customHeight="1" x14ac:dyDescent="0.4">
      <c r="A81" s="183"/>
      <c r="K81" s="568"/>
    </row>
    <row r="82" spans="1:11" ht="18" customHeight="1" x14ac:dyDescent="0.4">
      <c r="A82" s="183" t="s">
        <v>148</v>
      </c>
      <c r="B82" s="117" t="s">
        <v>149</v>
      </c>
      <c r="E82" s="117" t="s">
        <v>7</v>
      </c>
      <c r="F82" s="566">
        <f t="shared" ref="F82:K82" si="10">SUM(F77:F80)</f>
        <v>510</v>
      </c>
      <c r="G82" s="566">
        <f t="shared" si="10"/>
        <v>1312</v>
      </c>
      <c r="H82" s="567">
        <f t="shared" si="10"/>
        <v>378292</v>
      </c>
      <c r="I82" s="567">
        <f t="shared" si="10"/>
        <v>0</v>
      </c>
      <c r="J82" s="567">
        <f t="shared" si="10"/>
        <v>0</v>
      </c>
      <c r="K82" s="567">
        <f t="shared" si="10"/>
        <v>378292</v>
      </c>
    </row>
    <row r="83" spans="1:11" ht="18" customHeight="1" thickBot="1" x14ac:dyDescent="0.45">
      <c r="A83" s="183"/>
      <c r="F83" s="129"/>
      <c r="G83" s="129"/>
      <c r="H83" s="129"/>
      <c r="I83" s="129"/>
      <c r="J83" s="129"/>
      <c r="K83" s="129"/>
    </row>
    <row r="84" spans="1:11" ht="42.75" customHeight="1" x14ac:dyDescent="0.4">
      <c r="F84" s="122" t="s">
        <v>9</v>
      </c>
      <c r="G84" s="122" t="s">
        <v>37</v>
      </c>
      <c r="H84" s="122" t="s">
        <v>29</v>
      </c>
      <c r="I84" s="122" t="s">
        <v>30</v>
      </c>
      <c r="J84" s="122" t="s">
        <v>33</v>
      </c>
      <c r="K84" s="122" t="s">
        <v>34</v>
      </c>
    </row>
    <row r="85" spans="1:11" ht="18" customHeight="1" x14ac:dyDescent="0.4">
      <c r="A85" s="120" t="s">
        <v>111</v>
      </c>
      <c r="B85" s="117" t="s">
        <v>57</v>
      </c>
    </row>
    <row r="86" spans="1:11" ht="18" customHeight="1" x14ac:dyDescent="0.4">
      <c r="A86" s="183" t="s">
        <v>112</v>
      </c>
      <c r="B86" s="116" t="s">
        <v>113</v>
      </c>
      <c r="F86" s="555">
        <v>42</v>
      </c>
      <c r="G86" s="555">
        <v>8120</v>
      </c>
      <c r="H86" s="556">
        <v>216605.48</v>
      </c>
      <c r="I86" s="144">
        <f t="shared" ref="I86:I96" si="11">H86*F$114</f>
        <v>111165.23859545897</v>
      </c>
      <c r="J86" s="556"/>
      <c r="K86" s="557">
        <f t="shared" ref="K86:K96" si="12">(H86+I86)-J86</f>
        <v>327770.71859545901</v>
      </c>
    </row>
    <row r="87" spans="1:11" ht="18" customHeight="1" x14ac:dyDescent="0.4">
      <c r="A87" s="183" t="s">
        <v>114</v>
      </c>
      <c r="B87" s="116" t="s">
        <v>14</v>
      </c>
      <c r="F87" s="555">
        <v>270</v>
      </c>
      <c r="G87" s="555">
        <v>0</v>
      </c>
      <c r="H87" s="556">
        <v>43213.5</v>
      </c>
      <c r="I87" s="144">
        <f t="shared" si="11"/>
        <v>22177.827809549723</v>
      </c>
      <c r="J87" s="556"/>
      <c r="K87" s="557">
        <f t="shared" si="12"/>
        <v>65391.327809549723</v>
      </c>
    </row>
    <row r="88" spans="1:11" ht="18" customHeight="1" x14ac:dyDescent="0.4">
      <c r="A88" s="183" t="s">
        <v>115</v>
      </c>
      <c r="B88" s="116" t="s">
        <v>116</v>
      </c>
      <c r="F88" s="555">
        <v>2600</v>
      </c>
      <c r="G88" s="555">
        <v>0</v>
      </c>
      <c r="H88" s="556">
        <v>12595</v>
      </c>
      <c r="I88" s="144">
        <f t="shared" si="11"/>
        <v>6463.9462496969409</v>
      </c>
      <c r="J88" s="556"/>
      <c r="K88" s="557">
        <f t="shared" si="12"/>
        <v>19058.946249696943</v>
      </c>
    </row>
    <row r="89" spans="1:11" ht="18" customHeight="1" x14ac:dyDescent="0.4">
      <c r="A89" s="183" t="s">
        <v>117</v>
      </c>
      <c r="B89" s="116" t="s">
        <v>58</v>
      </c>
      <c r="F89" s="555">
        <v>1768</v>
      </c>
      <c r="G89" s="555">
        <v>0</v>
      </c>
      <c r="H89" s="556">
        <v>0</v>
      </c>
      <c r="I89" s="144">
        <f t="shared" si="11"/>
        <v>0</v>
      </c>
      <c r="J89" s="556"/>
      <c r="K89" s="557">
        <f t="shared" si="12"/>
        <v>0</v>
      </c>
    </row>
    <row r="90" spans="1:11" ht="18" customHeight="1" x14ac:dyDescent="0.4">
      <c r="A90" s="183" t="s">
        <v>118</v>
      </c>
      <c r="B90" s="956" t="s">
        <v>59</v>
      </c>
      <c r="C90" s="957"/>
      <c r="F90" s="555">
        <v>0</v>
      </c>
      <c r="G90" s="555">
        <v>0</v>
      </c>
      <c r="H90" s="556">
        <v>0</v>
      </c>
      <c r="I90" s="144">
        <f t="shared" si="11"/>
        <v>0</v>
      </c>
      <c r="J90" s="556"/>
      <c r="K90" s="557">
        <f t="shared" si="12"/>
        <v>0</v>
      </c>
    </row>
    <row r="91" spans="1:11" ht="18" customHeight="1" x14ac:dyDescent="0.4">
      <c r="A91" s="183" t="s">
        <v>119</v>
      </c>
      <c r="B91" s="116" t="s">
        <v>60</v>
      </c>
      <c r="F91" s="555">
        <v>150</v>
      </c>
      <c r="G91" s="555">
        <v>0</v>
      </c>
      <c r="H91" s="556">
        <v>24007.5</v>
      </c>
      <c r="I91" s="144">
        <f t="shared" si="11"/>
        <v>12321.015449749846</v>
      </c>
      <c r="J91" s="556"/>
      <c r="K91" s="557">
        <f t="shared" si="12"/>
        <v>36328.515449749844</v>
      </c>
    </row>
    <row r="92" spans="1:11" ht="18" customHeight="1" x14ac:dyDescent="0.4">
      <c r="A92" s="183" t="s">
        <v>120</v>
      </c>
      <c r="B92" s="116" t="s">
        <v>121</v>
      </c>
      <c r="F92" s="555">
        <v>0</v>
      </c>
      <c r="G92" s="555">
        <v>0</v>
      </c>
      <c r="H92" s="556">
        <v>0</v>
      </c>
      <c r="I92" s="144">
        <f t="shared" si="11"/>
        <v>0</v>
      </c>
      <c r="J92" s="135"/>
      <c r="K92" s="557">
        <f t="shared" si="12"/>
        <v>0</v>
      </c>
    </row>
    <row r="93" spans="1:11" ht="18" customHeight="1" x14ac:dyDescent="0.4">
      <c r="A93" s="183" t="s">
        <v>122</v>
      </c>
      <c r="B93" s="116" t="s">
        <v>123</v>
      </c>
      <c r="F93" s="555">
        <v>6240</v>
      </c>
      <c r="G93" s="555">
        <v>4306</v>
      </c>
      <c r="H93" s="556">
        <v>190567.16876077652</v>
      </c>
      <c r="I93" s="144">
        <f t="shared" si="11"/>
        <v>97801.979819498636</v>
      </c>
      <c r="J93" s="556"/>
      <c r="K93" s="557">
        <f t="shared" si="12"/>
        <v>288369.14858027513</v>
      </c>
    </row>
    <row r="94" spans="1:11" ht="18" customHeight="1" x14ac:dyDescent="0.4">
      <c r="A94" s="183" t="s">
        <v>124</v>
      </c>
      <c r="B94" s="980"/>
      <c r="C94" s="974"/>
      <c r="D94" s="975"/>
      <c r="F94" s="555">
        <v>0</v>
      </c>
      <c r="G94" s="555">
        <v>0</v>
      </c>
      <c r="H94" s="556">
        <v>0</v>
      </c>
      <c r="I94" s="144">
        <f t="shared" si="11"/>
        <v>0</v>
      </c>
      <c r="J94" s="556"/>
      <c r="K94" s="557">
        <f t="shared" si="12"/>
        <v>0</v>
      </c>
    </row>
    <row r="95" spans="1:11" ht="18" customHeight="1" x14ac:dyDescent="0.4">
      <c r="A95" s="183" t="s">
        <v>125</v>
      </c>
      <c r="B95" s="980"/>
      <c r="C95" s="974"/>
      <c r="D95" s="975"/>
      <c r="F95" s="555">
        <v>0</v>
      </c>
      <c r="G95" s="555">
        <v>0</v>
      </c>
      <c r="H95" s="556">
        <v>0</v>
      </c>
      <c r="I95" s="144">
        <f t="shared" si="11"/>
        <v>0</v>
      </c>
      <c r="J95" s="556"/>
      <c r="K95" s="557">
        <f t="shared" si="12"/>
        <v>0</v>
      </c>
    </row>
    <row r="96" spans="1:11" ht="18" customHeight="1" x14ac:dyDescent="0.4">
      <c r="A96" s="183" t="s">
        <v>126</v>
      </c>
      <c r="B96" s="980"/>
      <c r="C96" s="974"/>
      <c r="D96" s="975"/>
      <c r="F96" s="555"/>
      <c r="G96" s="555"/>
      <c r="H96" s="556"/>
      <c r="I96" s="144">
        <f t="shared" si="11"/>
        <v>0</v>
      </c>
      <c r="J96" s="556"/>
      <c r="K96" s="557">
        <f t="shared" si="12"/>
        <v>0</v>
      </c>
    </row>
    <row r="97" spans="1:11" ht="18" customHeight="1" x14ac:dyDescent="0.4">
      <c r="A97" s="183"/>
      <c r="B97" s="116"/>
    </row>
    <row r="98" spans="1:11" ht="18" customHeight="1" x14ac:dyDescent="0.4">
      <c r="A98" s="120" t="s">
        <v>150</v>
      </c>
      <c r="B98" s="117" t="s">
        <v>151</v>
      </c>
      <c r="E98" s="117" t="s">
        <v>7</v>
      </c>
      <c r="F98" s="560">
        <f t="shared" ref="F98:K98" si="13">SUM(F86:F96)</f>
        <v>11070</v>
      </c>
      <c r="G98" s="560">
        <f t="shared" si="13"/>
        <v>12426</v>
      </c>
      <c r="H98" s="560">
        <f t="shared" si="13"/>
        <v>486988.6487607765</v>
      </c>
      <c r="I98" s="560">
        <f t="shared" si="13"/>
        <v>249930.00792395414</v>
      </c>
      <c r="J98" s="560">
        <f t="shared" si="13"/>
        <v>0</v>
      </c>
      <c r="K98" s="560">
        <f t="shared" si="13"/>
        <v>736918.65668473067</v>
      </c>
    </row>
    <row r="99" spans="1:11" ht="18" customHeight="1" thickBot="1" x14ac:dyDescent="0.45">
      <c r="B99" s="117"/>
      <c r="F99" s="129"/>
      <c r="G99" s="129"/>
      <c r="H99" s="129"/>
      <c r="I99" s="129"/>
      <c r="J99" s="129"/>
      <c r="K99" s="129"/>
    </row>
    <row r="100" spans="1:11" ht="42.75" customHeight="1" x14ac:dyDescent="0.4">
      <c r="F100" s="122" t="s">
        <v>9</v>
      </c>
      <c r="G100" s="122" t="s">
        <v>37</v>
      </c>
      <c r="H100" s="122" t="s">
        <v>29</v>
      </c>
      <c r="I100" s="122" t="s">
        <v>30</v>
      </c>
      <c r="J100" s="122" t="s">
        <v>33</v>
      </c>
      <c r="K100" s="122" t="s">
        <v>34</v>
      </c>
    </row>
    <row r="101" spans="1:11" ht="18" customHeight="1" x14ac:dyDescent="0.4">
      <c r="A101" s="120" t="s">
        <v>130</v>
      </c>
      <c r="B101" s="117" t="s">
        <v>63</v>
      </c>
    </row>
    <row r="102" spans="1:11" ht="18" customHeight="1" x14ac:dyDescent="0.4">
      <c r="A102" s="183" t="s">
        <v>131</v>
      </c>
      <c r="B102" s="116" t="s">
        <v>152</v>
      </c>
      <c r="F102" s="555">
        <v>2852.8</v>
      </c>
      <c r="G102" s="555">
        <v>1200</v>
      </c>
      <c r="H102" s="556">
        <v>141530.87999999998</v>
      </c>
      <c r="I102" s="144">
        <f>H102*F$114</f>
        <v>72635.807939047838</v>
      </c>
      <c r="J102" s="556"/>
      <c r="K102" s="557">
        <f>(H102+I102)-J102</f>
        <v>214166.68793904781</v>
      </c>
    </row>
    <row r="103" spans="1:11" ht="18" customHeight="1" x14ac:dyDescent="0.4">
      <c r="A103" s="183" t="s">
        <v>132</v>
      </c>
      <c r="B103" s="956" t="s">
        <v>62</v>
      </c>
      <c r="C103" s="956"/>
      <c r="F103" s="555"/>
      <c r="G103" s="555"/>
      <c r="H103" s="556"/>
      <c r="I103" s="144">
        <f>H103*F$114</f>
        <v>0</v>
      </c>
      <c r="J103" s="556"/>
      <c r="K103" s="557">
        <f>(H103+I103)-J103</f>
        <v>0</v>
      </c>
    </row>
    <row r="104" spans="1:11" ht="18" customHeight="1" x14ac:dyDescent="0.4">
      <c r="A104" s="183" t="s">
        <v>128</v>
      </c>
      <c r="B104" s="980"/>
      <c r="C104" s="974"/>
      <c r="D104" s="975"/>
      <c r="F104" s="555"/>
      <c r="G104" s="555"/>
      <c r="H104" s="556"/>
      <c r="I104" s="144">
        <f>H104*F$114</f>
        <v>0</v>
      </c>
      <c r="J104" s="556"/>
      <c r="K104" s="557">
        <f>(H104+I104)-J104</f>
        <v>0</v>
      </c>
    </row>
    <row r="105" spans="1:11" ht="18" customHeight="1" x14ac:dyDescent="0.4">
      <c r="A105" s="183" t="s">
        <v>127</v>
      </c>
      <c r="B105" s="980"/>
      <c r="C105" s="974"/>
      <c r="D105" s="975"/>
      <c r="F105" s="555"/>
      <c r="G105" s="555"/>
      <c r="H105" s="556"/>
      <c r="I105" s="144">
        <f>H105*F$114</f>
        <v>0</v>
      </c>
      <c r="J105" s="556"/>
      <c r="K105" s="557">
        <f>(H105+I105)-J105</f>
        <v>0</v>
      </c>
    </row>
    <row r="106" spans="1:11" ht="18" customHeight="1" x14ac:dyDescent="0.4">
      <c r="A106" s="183" t="s">
        <v>129</v>
      </c>
      <c r="B106" s="980"/>
      <c r="C106" s="974"/>
      <c r="D106" s="975"/>
      <c r="F106" s="555"/>
      <c r="G106" s="555"/>
      <c r="H106" s="556"/>
      <c r="I106" s="144">
        <f>H106*F$114</f>
        <v>0</v>
      </c>
      <c r="J106" s="556"/>
      <c r="K106" s="557">
        <f>(H106+I106)-J106</f>
        <v>0</v>
      </c>
    </row>
    <row r="107" spans="1:11" ht="18" customHeight="1" x14ac:dyDescent="0.4">
      <c r="B107" s="117"/>
    </row>
    <row r="108" spans="1:11" s="123" customFormat="1" ht="18" customHeight="1" x14ac:dyDescent="0.4">
      <c r="A108" s="120" t="s">
        <v>153</v>
      </c>
      <c r="B108" s="153" t="s">
        <v>154</v>
      </c>
      <c r="C108" s="189"/>
      <c r="D108" s="189"/>
      <c r="E108" s="117" t="s">
        <v>7</v>
      </c>
      <c r="F108" s="560">
        <f t="shared" ref="F108:K108" si="14">SUM(F102:F106)</f>
        <v>2852.8</v>
      </c>
      <c r="G108" s="560">
        <f t="shared" si="14"/>
        <v>1200</v>
      </c>
      <c r="H108" s="557">
        <f t="shared" si="14"/>
        <v>141530.87999999998</v>
      </c>
      <c r="I108" s="557">
        <f t="shared" si="14"/>
        <v>72635.807939047838</v>
      </c>
      <c r="J108" s="557">
        <f t="shared" si="14"/>
        <v>0</v>
      </c>
      <c r="K108" s="557">
        <f t="shared" si="14"/>
        <v>214166.68793904781</v>
      </c>
    </row>
    <row r="109" spans="1:11" s="123" customFormat="1" ht="18" customHeight="1" thickBot="1" x14ac:dyDescent="0.45">
      <c r="A109" s="124"/>
      <c r="B109" s="125"/>
      <c r="C109" s="126"/>
      <c r="D109" s="126"/>
      <c r="E109" s="126"/>
      <c r="F109" s="129"/>
      <c r="G109" s="129"/>
      <c r="H109" s="129"/>
      <c r="I109" s="129"/>
      <c r="J109" s="129"/>
      <c r="K109" s="129"/>
    </row>
    <row r="110" spans="1:11" s="123" customFormat="1" ht="18" customHeight="1" x14ac:dyDescent="0.4">
      <c r="A110" s="120" t="s">
        <v>156</v>
      </c>
      <c r="B110" s="117" t="s">
        <v>39</v>
      </c>
      <c r="C110" s="189"/>
      <c r="D110" s="189"/>
      <c r="E110" s="189"/>
      <c r="F110" s="189"/>
      <c r="G110" s="189"/>
      <c r="H110" s="189"/>
      <c r="I110" s="189"/>
      <c r="J110" s="189"/>
      <c r="K110" s="189"/>
    </row>
    <row r="111" spans="1:11" ht="18" customHeight="1" x14ac:dyDescent="0.4">
      <c r="A111" s="120" t="s">
        <v>155</v>
      </c>
      <c r="B111" s="117" t="s">
        <v>164</v>
      </c>
      <c r="E111" s="117" t="s">
        <v>7</v>
      </c>
      <c r="F111" s="556">
        <v>23193000</v>
      </c>
    </row>
    <row r="112" spans="1:11" ht="18" customHeight="1" x14ac:dyDescent="0.4">
      <c r="B112" s="117"/>
      <c r="E112" s="117"/>
      <c r="F112" s="184"/>
    </row>
    <row r="113" spans="1:6" ht="18" customHeight="1" x14ac:dyDescent="0.4">
      <c r="A113" s="120"/>
      <c r="B113" s="117" t="s">
        <v>15</v>
      </c>
    </row>
    <row r="114" spans="1:6" ht="18" customHeight="1" x14ac:dyDescent="0.4">
      <c r="A114" s="183" t="s">
        <v>171</v>
      </c>
      <c r="B114" s="116" t="s">
        <v>35</v>
      </c>
      <c r="F114" s="570">
        <v>0.51321526396958639</v>
      </c>
    </row>
    <row r="115" spans="1:6" ht="18" customHeight="1" x14ac:dyDescent="0.4">
      <c r="A115" s="183"/>
      <c r="B115" s="117"/>
    </row>
    <row r="116" spans="1:6" ht="18" customHeight="1" x14ac:dyDescent="0.4">
      <c r="A116" s="183" t="s">
        <v>170</v>
      </c>
      <c r="B116" s="117" t="s">
        <v>16</v>
      </c>
    </row>
    <row r="117" spans="1:6" ht="18" customHeight="1" x14ac:dyDescent="0.4">
      <c r="A117" s="183" t="s">
        <v>172</v>
      </c>
      <c r="B117" s="116" t="s">
        <v>17</v>
      </c>
      <c r="F117" s="556">
        <v>1556310000.0000002</v>
      </c>
    </row>
    <row r="118" spans="1:6" ht="18" customHeight="1" x14ac:dyDescent="0.4">
      <c r="A118" s="183" t="s">
        <v>173</v>
      </c>
      <c r="B118" s="189" t="s">
        <v>18</v>
      </c>
      <c r="F118" s="556">
        <v>117238000</v>
      </c>
    </row>
    <row r="119" spans="1:6" ht="18" customHeight="1" x14ac:dyDescent="0.4">
      <c r="A119" s="183" t="s">
        <v>174</v>
      </c>
      <c r="B119" s="117" t="s">
        <v>19</v>
      </c>
      <c r="F119" s="567">
        <f>SUM(F117:F118)</f>
        <v>1673548000.0000002</v>
      </c>
    </row>
    <row r="120" spans="1:6" ht="18" customHeight="1" x14ac:dyDescent="0.4">
      <c r="A120" s="183"/>
      <c r="B120" s="117"/>
    </row>
    <row r="121" spans="1:6" ht="18" customHeight="1" x14ac:dyDescent="0.4">
      <c r="A121" s="183" t="s">
        <v>167</v>
      </c>
      <c r="B121" s="117" t="s">
        <v>36</v>
      </c>
      <c r="F121" s="556">
        <v>1639396000</v>
      </c>
    </row>
    <row r="122" spans="1:6" ht="18" customHeight="1" x14ac:dyDescent="0.4">
      <c r="A122" s="183"/>
    </row>
    <row r="123" spans="1:6" ht="18" customHeight="1" x14ac:dyDescent="0.4">
      <c r="A123" s="183" t="s">
        <v>175</v>
      </c>
      <c r="B123" s="117" t="s">
        <v>20</v>
      </c>
      <c r="F123" s="572">
        <f>+F119-F121</f>
        <v>34152000.000000238</v>
      </c>
    </row>
    <row r="124" spans="1:6" ht="18" customHeight="1" x14ac:dyDescent="0.4">
      <c r="A124" s="183"/>
    </row>
    <row r="125" spans="1:6" ht="18" customHeight="1" x14ac:dyDescent="0.4">
      <c r="A125" s="183" t="s">
        <v>176</v>
      </c>
      <c r="B125" s="117" t="s">
        <v>21</v>
      </c>
      <c r="F125" s="556">
        <v>9492000</v>
      </c>
    </row>
    <row r="126" spans="1:6" ht="18" customHeight="1" x14ac:dyDescent="0.4">
      <c r="A126" s="183"/>
    </row>
    <row r="127" spans="1:6" ht="18" customHeight="1" x14ac:dyDescent="0.4">
      <c r="A127" s="183" t="s">
        <v>177</v>
      </c>
      <c r="B127" s="117" t="s">
        <v>22</v>
      </c>
      <c r="F127" s="572">
        <f>+F123+F125</f>
        <v>43644000.000000238</v>
      </c>
    </row>
    <row r="128" spans="1:6" ht="18" customHeight="1" x14ac:dyDescent="0.4">
      <c r="A128" s="183"/>
    </row>
    <row r="129" spans="1:11" ht="42.75" customHeight="1" x14ac:dyDescent="0.4">
      <c r="F129" s="122" t="s">
        <v>9</v>
      </c>
      <c r="G129" s="122" t="s">
        <v>37</v>
      </c>
      <c r="H129" s="122" t="s">
        <v>29</v>
      </c>
      <c r="I129" s="122" t="s">
        <v>30</v>
      </c>
      <c r="J129" s="122" t="s">
        <v>33</v>
      </c>
      <c r="K129" s="122" t="s">
        <v>34</v>
      </c>
    </row>
    <row r="130" spans="1:11" ht="18" customHeight="1" x14ac:dyDescent="0.4">
      <c r="A130" s="120" t="s">
        <v>157</v>
      </c>
      <c r="B130" s="117" t="s">
        <v>23</v>
      </c>
    </row>
    <row r="131" spans="1:11" ht="18" customHeight="1" x14ac:dyDescent="0.4">
      <c r="A131" s="183" t="s">
        <v>158</v>
      </c>
      <c r="B131" s="189" t="s">
        <v>24</v>
      </c>
      <c r="F131" s="555"/>
      <c r="G131" s="555"/>
      <c r="H131" s="556"/>
      <c r="I131" s="144">
        <v>0</v>
      </c>
      <c r="J131" s="556"/>
      <c r="K131" s="557">
        <f>(H131+I131)-J131</f>
        <v>0</v>
      </c>
    </row>
    <row r="132" spans="1:11" ht="18" customHeight="1" x14ac:dyDescent="0.4">
      <c r="A132" s="183" t="s">
        <v>159</v>
      </c>
      <c r="B132" s="189" t="s">
        <v>25</v>
      </c>
      <c r="F132" s="555"/>
      <c r="G132" s="555"/>
      <c r="H132" s="556"/>
      <c r="I132" s="144">
        <v>0</v>
      </c>
      <c r="J132" s="556"/>
      <c r="K132" s="557">
        <f>(H132+I132)-J132</f>
        <v>0</v>
      </c>
    </row>
    <row r="133" spans="1:11" ht="18" customHeight="1" x14ac:dyDescent="0.4">
      <c r="A133" s="183" t="s">
        <v>160</v>
      </c>
      <c r="B133" s="951"/>
      <c r="C133" s="952"/>
      <c r="D133" s="953"/>
      <c r="F133" s="555"/>
      <c r="G133" s="555"/>
      <c r="H133" s="556"/>
      <c r="I133" s="144">
        <v>0</v>
      </c>
      <c r="J133" s="556"/>
      <c r="K133" s="557">
        <f>(H133+I133)-J133</f>
        <v>0</v>
      </c>
    </row>
    <row r="134" spans="1:11" ht="18" customHeight="1" x14ac:dyDescent="0.4">
      <c r="A134" s="183" t="s">
        <v>161</v>
      </c>
      <c r="B134" s="951"/>
      <c r="C134" s="952"/>
      <c r="D134" s="953"/>
      <c r="F134" s="555"/>
      <c r="G134" s="555"/>
      <c r="H134" s="556"/>
      <c r="I134" s="144">
        <v>0</v>
      </c>
      <c r="J134" s="556"/>
      <c r="K134" s="557">
        <f>(H134+I134)-J134</f>
        <v>0</v>
      </c>
    </row>
    <row r="135" spans="1:11" ht="18" customHeight="1" x14ac:dyDescent="0.4">
      <c r="A135" s="183" t="s">
        <v>162</v>
      </c>
      <c r="B135" s="951"/>
      <c r="C135" s="952"/>
      <c r="D135" s="953"/>
      <c r="F135" s="555"/>
      <c r="G135" s="555"/>
      <c r="H135" s="556"/>
      <c r="I135" s="144">
        <v>0</v>
      </c>
      <c r="J135" s="556"/>
      <c r="K135" s="557">
        <f>(H135+I135)-J135</f>
        <v>0</v>
      </c>
    </row>
    <row r="136" spans="1:11" ht="18" customHeight="1" x14ac:dyDescent="0.4">
      <c r="A136" s="120"/>
    </row>
    <row r="137" spans="1:11" ht="18" customHeight="1" x14ac:dyDescent="0.4">
      <c r="A137" s="120" t="s">
        <v>163</v>
      </c>
      <c r="B137" s="117" t="s">
        <v>27</v>
      </c>
      <c r="F137" s="560">
        <f t="shared" ref="F137:K137" si="15">SUM(F131:F135)</f>
        <v>0</v>
      </c>
      <c r="G137" s="560">
        <f t="shared" si="15"/>
        <v>0</v>
      </c>
      <c r="H137" s="557">
        <f t="shared" si="15"/>
        <v>0</v>
      </c>
      <c r="I137" s="557">
        <f t="shared" si="15"/>
        <v>0</v>
      </c>
      <c r="J137" s="557">
        <f t="shared" si="15"/>
        <v>0</v>
      </c>
      <c r="K137" s="557">
        <f t="shared" si="15"/>
        <v>0</v>
      </c>
    </row>
    <row r="138" spans="1:11" ht="18" customHeight="1" x14ac:dyDescent="0.35">
      <c r="A138" s="189"/>
    </row>
    <row r="139" spans="1:11" ht="42.75" customHeight="1" x14ac:dyDescent="0.4">
      <c r="F139" s="122" t="s">
        <v>9</v>
      </c>
      <c r="G139" s="122" t="s">
        <v>37</v>
      </c>
      <c r="H139" s="122" t="s">
        <v>29</v>
      </c>
      <c r="I139" s="122" t="s">
        <v>30</v>
      </c>
      <c r="J139" s="122" t="s">
        <v>33</v>
      </c>
      <c r="K139" s="122" t="s">
        <v>34</v>
      </c>
    </row>
    <row r="140" spans="1:11" ht="18" customHeight="1" x14ac:dyDescent="0.4">
      <c r="A140" s="120" t="s">
        <v>166</v>
      </c>
      <c r="B140" s="117" t="s">
        <v>26</v>
      </c>
    </row>
    <row r="141" spans="1:11" ht="18" customHeight="1" x14ac:dyDescent="0.4">
      <c r="A141" s="183" t="s">
        <v>137</v>
      </c>
      <c r="B141" s="117" t="s">
        <v>64</v>
      </c>
      <c r="F141" s="136">
        <f t="shared" ref="F141:K141" si="16">F36</f>
        <v>35570.199999999997</v>
      </c>
      <c r="G141" s="136">
        <f t="shared" si="16"/>
        <v>45009</v>
      </c>
      <c r="H141" s="136">
        <f t="shared" si="16"/>
        <v>1655960.3866666665</v>
      </c>
      <c r="I141" s="136">
        <f t="shared" si="16"/>
        <v>849864.14696631161</v>
      </c>
      <c r="J141" s="136">
        <f t="shared" si="16"/>
        <v>440996</v>
      </c>
      <c r="K141" s="136">
        <f t="shared" si="16"/>
        <v>2064828.5336329783</v>
      </c>
    </row>
    <row r="142" spans="1:11" ht="18" customHeight="1" x14ac:dyDescent="0.4">
      <c r="A142" s="183" t="s">
        <v>142</v>
      </c>
      <c r="B142" s="117" t="s">
        <v>65</v>
      </c>
      <c r="F142" s="136">
        <f t="shared" ref="F142:K142" si="17">F49</f>
        <v>2520943.0519466167</v>
      </c>
      <c r="G142" s="136">
        <f t="shared" si="17"/>
        <v>1285</v>
      </c>
      <c r="H142" s="136">
        <f t="shared" si="17"/>
        <v>123303022.00224885</v>
      </c>
      <c r="I142" s="136">
        <f t="shared" si="17"/>
        <v>63280992.98513186</v>
      </c>
      <c r="J142" s="136">
        <f t="shared" si="17"/>
        <v>0</v>
      </c>
      <c r="K142" s="136">
        <f t="shared" si="17"/>
        <v>186584014.98738071</v>
      </c>
    </row>
    <row r="143" spans="1:11" ht="18" customHeight="1" x14ac:dyDescent="0.4">
      <c r="A143" s="183" t="s">
        <v>144</v>
      </c>
      <c r="B143" s="117" t="s">
        <v>66</v>
      </c>
      <c r="F143" s="136">
        <f t="shared" ref="F143:K143" si="18">F64</f>
        <v>227762.74998859502</v>
      </c>
      <c r="G143" s="136">
        <f t="shared" si="18"/>
        <v>69015</v>
      </c>
      <c r="H143" s="136">
        <f t="shared" si="18"/>
        <v>18136520.5</v>
      </c>
      <c r="I143" s="136">
        <f t="shared" si="18"/>
        <v>9307939.1558973156</v>
      </c>
      <c r="J143" s="136">
        <f t="shared" si="18"/>
        <v>11152098.66</v>
      </c>
      <c r="K143" s="136">
        <f t="shared" si="18"/>
        <v>16292360.995897317</v>
      </c>
    </row>
    <row r="144" spans="1:11" ht="18" customHeight="1" x14ac:dyDescent="0.4">
      <c r="A144" s="183" t="s">
        <v>146</v>
      </c>
      <c r="B144" s="117" t="s">
        <v>67</v>
      </c>
      <c r="F144" s="136">
        <f t="shared" ref="F144:K144" si="19">F74</f>
        <v>0</v>
      </c>
      <c r="G144" s="136">
        <f t="shared" si="19"/>
        <v>0</v>
      </c>
      <c r="H144" s="136">
        <f t="shared" si="19"/>
        <v>0</v>
      </c>
      <c r="I144" s="136">
        <f t="shared" si="19"/>
        <v>0</v>
      </c>
      <c r="J144" s="136">
        <f t="shared" si="19"/>
        <v>0</v>
      </c>
      <c r="K144" s="136">
        <f t="shared" si="19"/>
        <v>0</v>
      </c>
    </row>
    <row r="145" spans="1:11" ht="18" customHeight="1" x14ac:dyDescent="0.4">
      <c r="A145" s="183" t="s">
        <v>148</v>
      </c>
      <c r="B145" s="117" t="s">
        <v>68</v>
      </c>
      <c r="F145" s="136">
        <f t="shared" ref="F145:K145" si="20">F82</f>
        <v>510</v>
      </c>
      <c r="G145" s="136">
        <f t="shared" si="20"/>
        <v>1312</v>
      </c>
      <c r="H145" s="136">
        <f t="shared" si="20"/>
        <v>378292</v>
      </c>
      <c r="I145" s="136">
        <f t="shared" si="20"/>
        <v>0</v>
      </c>
      <c r="J145" s="136">
        <f t="shared" si="20"/>
        <v>0</v>
      </c>
      <c r="K145" s="136">
        <f t="shared" si="20"/>
        <v>378292</v>
      </c>
    </row>
    <row r="146" spans="1:11" ht="18" customHeight="1" x14ac:dyDescent="0.4">
      <c r="A146" s="183" t="s">
        <v>150</v>
      </c>
      <c r="B146" s="117" t="s">
        <v>69</v>
      </c>
      <c r="F146" s="136">
        <f t="shared" ref="F146:K146" si="21">F98</f>
        <v>11070</v>
      </c>
      <c r="G146" s="136">
        <f t="shared" si="21"/>
        <v>12426</v>
      </c>
      <c r="H146" s="136">
        <f t="shared" si="21"/>
        <v>486988.6487607765</v>
      </c>
      <c r="I146" s="136">
        <f t="shared" si="21"/>
        <v>249930.00792395414</v>
      </c>
      <c r="J146" s="136">
        <f t="shared" si="21"/>
        <v>0</v>
      </c>
      <c r="K146" s="136">
        <f t="shared" si="21"/>
        <v>736918.65668473067</v>
      </c>
    </row>
    <row r="147" spans="1:11" ht="18" customHeight="1" x14ac:dyDescent="0.4">
      <c r="A147" s="183" t="s">
        <v>153</v>
      </c>
      <c r="B147" s="117" t="s">
        <v>61</v>
      </c>
      <c r="F147" s="560">
        <f t="shared" ref="F147:K147" si="22">F108</f>
        <v>2852.8</v>
      </c>
      <c r="G147" s="560">
        <f t="shared" si="22"/>
        <v>1200</v>
      </c>
      <c r="H147" s="560">
        <f t="shared" si="22"/>
        <v>141530.87999999998</v>
      </c>
      <c r="I147" s="560">
        <f t="shared" si="22"/>
        <v>72635.807939047838</v>
      </c>
      <c r="J147" s="560">
        <f t="shared" si="22"/>
        <v>0</v>
      </c>
      <c r="K147" s="560">
        <f t="shared" si="22"/>
        <v>214166.68793904781</v>
      </c>
    </row>
    <row r="148" spans="1:11" ht="18" customHeight="1" x14ac:dyDescent="0.4">
      <c r="A148" s="183" t="s">
        <v>155</v>
      </c>
      <c r="B148" s="117" t="s">
        <v>70</v>
      </c>
      <c r="F148" s="137" t="s">
        <v>73</v>
      </c>
      <c r="G148" s="137" t="s">
        <v>73</v>
      </c>
      <c r="H148" s="138" t="s">
        <v>73</v>
      </c>
      <c r="I148" s="138" t="s">
        <v>73</v>
      </c>
      <c r="J148" s="138" t="s">
        <v>73</v>
      </c>
      <c r="K148" s="133">
        <f>F111</f>
        <v>23193000</v>
      </c>
    </row>
    <row r="149" spans="1:11" ht="18" customHeight="1" x14ac:dyDescent="0.4">
      <c r="A149" s="183" t="s">
        <v>163</v>
      </c>
      <c r="B149" s="117" t="s">
        <v>71</v>
      </c>
      <c r="F149" s="560">
        <f t="shared" ref="F149:K149" si="23">F137</f>
        <v>0</v>
      </c>
      <c r="G149" s="560">
        <f t="shared" si="23"/>
        <v>0</v>
      </c>
      <c r="H149" s="560">
        <f t="shared" si="23"/>
        <v>0</v>
      </c>
      <c r="I149" s="560">
        <f t="shared" si="23"/>
        <v>0</v>
      </c>
      <c r="J149" s="560">
        <f t="shared" si="23"/>
        <v>0</v>
      </c>
      <c r="K149" s="560">
        <f t="shared" si="23"/>
        <v>0</v>
      </c>
    </row>
    <row r="150" spans="1:11" ht="18" customHeight="1" x14ac:dyDescent="0.4">
      <c r="A150" s="183" t="s">
        <v>185</v>
      </c>
      <c r="B150" s="117" t="s">
        <v>186</v>
      </c>
      <c r="F150" s="137" t="s">
        <v>73</v>
      </c>
      <c r="G150" s="137" t="s">
        <v>73</v>
      </c>
      <c r="H150" s="560">
        <f>H18</f>
        <v>33716088.175028667</v>
      </c>
      <c r="I150" s="560">
        <f>I18</f>
        <v>0</v>
      </c>
      <c r="J150" s="560">
        <f>J18</f>
        <v>28029099.79391408</v>
      </c>
      <c r="K150" s="560">
        <f>K18</f>
        <v>5686988.3811145872</v>
      </c>
    </row>
    <row r="151" spans="1:11" ht="18" customHeight="1" x14ac:dyDescent="0.4">
      <c r="B151" s="117"/>
      <c r="F151" s="142"/>
      <c r="G151" s="142"/>
      <c r="H151" s="142"/>
      <c r="I151" s="142"/>
      <c r="J151" s="142"/>
      <c r="K151" s="142"/>
    </row>
    <row r="152" spans="1:11" ht="18" customHeight="1" x14ac:dyDescent="0.4">
      <c r="A152" s="120" t="s">
        <v>165</v>
      </c>
      <c r="B152" s="117" t="s">
        <v>26</v>
      </c>
      <c r="F152" s="143">
        <f t="shared" ref="F152:K152" si="24">SUM(F141:F150)</f>
        <v>2798708.8019352118</v>
      </c>
      <c r="G152" s="143">
        <f t="shared" si="24"/>
        <v>130247</v>
      </c>
      <c r="H152" s="143">
        <f t="shared" si="24"/>
        <v>177818402.59270495</v>
      </c>
      <c r="I152" s="143">
        <f t="shared" si="24"/>
        <v>73761362.103858501</v>
      </c>
      <c r="J152" s="143">
        <f t="shared" si="24"/>
        <v>39622194.453914076</v>
      </c>
      <c r="K152" s="143">
        <f t="shared" si="24"/>
        <v>235150570.24264938</v>
      </c>
    </row>
    <row r="154" spans="1:11" ht="18" customHeight="1" x14ac:dyDescent="0.4">
      <c r="A154" s="120" t="s">
        <v>168</v>
      </c>
      <c r="B154" s="117" t="s">
        <v>28</v>
      </c>
      <c r="F154" s="571">
        <f>K152/F121</f>
        <v>0.14343732096616643</v>
      </c>
    </row>
    <row r="155" spans="1:11" ht="18" customHeight="1" x14ac:dyDescent="0.4">
      <c r="A155" s="120" t="s">
        <v>169</v>
      </c>
      <c r="B155" s="117" t="s">
        <v>72</v>
      </c>
      <c r="F155" s="571">
        <f>K152/F127</f>
        <v>5.3879243479664582</v>
      </c>
      <c r="G155" s="117"/>
    </row>
    <row r="156" spans="1:11" ht="18" customHeight="1" x14ac:dyDescent="0.4">
      <c r="G156" s="117"/>
    </row>
  </sheetData>
  <mergeCells count="34">
    <mergeCell ref="B134:D134"/>
    <mergeCell ref="B135:D135"/>
    <mergeCell ref="B94:D94"/>
    <mergeCell ref="B95:D95"/>
    <mergeCell ref="B96:D96"/>
    <mergeCell ref="B103:C103"/>
    <mergeCell ref="B104:D104"/>
    <mergeCell ref="B105:D105"/>
    <mergeCell ref="B56:D56"/>
    <mergeCell ref="B57:D57"/>
    <mergeCell ref="B41:C41"/>
    <mergeCell ref="B106:D106"/>
    <mergeCell ref="B133:D133"/>
    <mergeCell ref="B90:C90"/>
    <mergeCell ref="B44:D44"/>
    <mergeCell ref="B45:D45"/>
    <mergeCell ref="B46:D46"/>
    <mergeCell ref="B47:D47"/>
    <mergeCell ref="B59:D59"/>
    <mergeCell ref="B62:D62"/>
    <mergeCell ref="B52:C52"/>
    <mergeCell ref="B53:D53"/>
    <mergeCell ref="B55:D55"/>
    <mergeCell ref="D2:H2"/>
    <mergeCell ref="C5:G5"/>
    <mergeCell ref="C6:G6"/>
    <mergeCell ref="C7:G7"/>
    <mergeCell ref="C9:G9"/>
    <mergeCell ref="B34:D34"/>
    <mergeCell ref="C10:G10"/>
    <mergeCell ref="C11:G11"/>
    <mergeCell ref="B13:H13"/>
    <mergeCell ref="B30:D30"/>
    <mergeCell ref="B31:D31"/>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DB3D19B-B6CF-4865-8D24-D46454EAB92E}"/>
</file>

<file path=customXml/itemProps2.xml><?xml version="1.0" encoding="utf-8"?>
<ds:datastoreItem xmlns:ds="http://schemas.openxmlformats.org/officeDocument/2006/customXml" ds:itemID="{02D0C4CA-3B66-491C-95D4-DFCA77BE9A33}"/>
</file>

<file path=customXml/itemProps3.xml><?xml version="1.0" encoding="utf-8"?>
<ds:datastoreItem xmlns:ds="http://schemas.openxmlformats.org/officeDocument/2006/customXml" ds:itemID="{9DB28036-15CA-4C80-BCD1-66BB606AED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48</vt:i4>
      </vt:variant>
    </vt:vector>
  </HeadingPairs>
  <TitlesOfParts>
    <vt:vector size="105" baseType="lpstr">
      <vt:lpstr>DME_NSPI-all</vt:lpstr>
      <vt:lpstr>Charity in Rates</vt:lpstr>
      <vt:lpstr>Figures</vt:lpstr>
      <vt:lpstr>CB Table 1</vt:lpstr>
      <vt:lpstr>Rate Support-Attachment I</vt:lpstr>
      <vt:lpstr>Attachment II-All Hospitals</vt:lpstr>
      <vt:lpstr>Attachment III-All</vt:lpstr>
      <vt:lpstr>#1-Meritus</vt:lpstr>
      <vt:lpstr>#2-UMMC</vt:lpstr>
      <vt:lpstr>#3-Prince Georges Hospital</vt:lpstr>
      <vt:lpstr>#4-Holy Cross Hospital</vt:lpstr>
      <vt:lpstr>#5-Frederick Memorial Hospital</vt:lpstr>
      <vt:lpstr>#6-UM Harford Memorial</vt:lpstr>
      <vt:lpstr>#8-Mercy</vt:lpstr>
      <vt:lpstr>#9-Johns Hopkins</vt:lpstr>
      <vt:lpstr>#10-UM Shore Health Dorchester</vt:lpstr>
      <vt:lpstr>#11-St. Agnes Hospital</vt:lpstr>
      <vt:lpstr>#12-Sinai</vt:lpstr>
      <vt:lpstr>#13-Bon Secours</vt:lpstr>
      <vt:lpstr>#15-MedStar Franklin Square</vt:lpstr>
      <vt:lpstr>#16-Washington Adventist</vt:lpstr>
      <vt:lpstr>#17-Garrett County Memorial</vt:lpstr>
      <vt:lpstr>#18-MedStar Montgomery General</vt:lpstr>
      <vt:lpstr>#19-Peninsula Regional</vt:lpstr>
      <vt:lpstr>#22-Suburban</vt:lpstr>
      <vt:lpstr>#23-AAMC</vt:lpstr>
      <vt:lpstr>#24-MedStar Union Memorial</vt:lpstr>
      <vt:lpstr>#27-Western Maryland Regional</vt:lpstr>
      <vt:lpstr>#28-MedStar St. Marys</vt:lpstr>
      <vt:lpstr>#29-JH Bayview</vt:lpstr>
      <vt:lpstr>#30-UM Shore Health Chestertown</vt:lpstr>
      <vt:lpstr>#32-Union Hospital Cecil Co</vt:lpstr>
      <vt:lpstr>#33-Carroll Hospital Center</vt:lpstr>
      <vt:lpstr>#34-MedStar Harbor Hospital</vt:lpstr>
      <vt:lpstr>#35-UM Charles Regional</vt:lpstr>
      <vt:lpstr>#37-UM Shore Health Easton</vt:lpstr>
      <vt:lpstr>#38-UM Midtown</vt:lpstr>
      <vt:lpstr>#39-Calvert Memorial</vt:lpstr>
      <vt:lpstr>#40-Lifebridge Northwest</vt:lpstr>
      <vt:lpstr>#43-UM BWMC</vt:lpstr>
      <vt:lpstr>#44-GBMC</vt:lpstr>
      <vt:lpstr>#45-McCready</vt:lpstr>
      <vt:lpstr>#48-Howard County</vt:lpstr>
      <vt:lpstr>#49-UM Upper Chesapeake Medical</vt:lpstr>
      <vt:lpstr>#51-Doctors Community Hospital</vt:lpstr>
      <vt:lpstr>#60-Fort Washington</vt:lpstr>
      <vt:lpstr>#61-Atlantic General</vt:lpstr>
      <vt:lpstr>#62-MedStar Southern Maryland</vt:lpstr>
      <vt:lpstr>#63-UM St Joseph</vt:lpstr>
      <vt:lpstr>#64-Levindale</vt:lpstr>
      <vt:lpstr>#65-Holy Cross Germantown</vt:lpstr>
      <vt:lpstr>#2001-UM ROI</vt:lpstr>
      <vt:lpstr>#2004-MedStar Good Samaritan</vt:lpstr>
      <vt:lpstr>#5050-Shady Grove Adventist</vt:lpstr>
      <vt:lpstr>#3029-Adventist Rehab</vt:lpstr>
      <vt:lpstr>#4000-Sheppard Pratt</vt:lpstr>
      <vt:lpstr>#5034-Mt Washington Pediatric</vt:lpstr>
      <vt:lpstr>'#11-St. Agnes Hospital'!Print_Area</vt:lpstr>
      <vt:lpstr>'#12-Sinai'!Print_Area</vt:lpstr>
      <vt:lpstr>'#13-Bon Secours'!Print_Area</vt:lpstr>
      <vt:lpstr>'#15-MedStar Franklin Square'!Print_Area</vt:lpstr>
      <vt:lpstr>'#16-Washington Adventist'!Print_Area</vt:lpstr>
      <vt:lpstr>'#17-Garrett County Memorial'!Print_Area</vt:lpstr>
      <vt:lpstr>'#19-Peninsula Regional'!Print_Area</vt:lpstr>
      <vt:lpstr>'#1-Meritus'!Print_Area</vt:lpstr>
      <vt:lpstr>'#2001-UM ROI'!Print_Area</vt:lpstr>
      <vt:lpstr>'#2004-MedStar Good Samaritan'!Print_Area</vt:lpstr>
      <vt:lpstr>'#22-Suburban'!Print_Area</vt:lpstr>
      <vt:lpstr>'#27-Western Maryland Regional'!Print_Area</vt:lpstr>
      <vt:lpstr>'#2-UMMC'!Print_Area</vt:lpstr>
      <vt:lpstr>'#3029-Adventist Rehab'!Print_Area</vt:lpstr>
      <vt:lpstr>'#32-Union Hospital Cecil Co'!Print_Area</vt:lpstr>
      <vt:lpstr>'#33-Carroll Hospital Center'!Print_Area</vt:lpstr>
      <vt:lpstr>'#35-UM Charles Regional'!Print_Area</vt:lpstr>
      <vt:lpstr>'#38-UM Midtown'!Print_Area</vt:lpstr>
      <vt:lpstr>'#39-Calvert Memorial'!Print_Area</vt:lpstr>
      <vt:lpstr>'#3-Prince Georges Hospital'!Print_Area</vt:lpstr>
      <vt:lpstr>'#4000-Sheppard Pratt'!Print_Area</vt:lpstr>
      <vt:lpstr>'#40-Lifebridge Northwest'!Print_Area</vt:lpstr>
      <vt:lpstr>'#43-UM BWMC'!Print_Area</vt:lpstr>
      <vt:lpstr>'#44-GBMC'!Print_Area</vt:lpstr>
      <vt:lpstr>'#45-McCready'!Print_Area</vt:lpstr>
      <vt:lpstr>'#48-Howard County'!Print_Area</vt:lpstr>
      <vt:lpstr>'#49-UM Upper Chesapeake Medical'!Print_Area</vt:lpstr>
      <vt:lpstr>'#4-Holy Cross Hospital'!Print_Area</vt:lpstr>
      <vt:lpstr>'#5050-Shady Grove Adventist'!Print_Area</vt:lpstr>
      <vt:lpstr>'#51-Doctors Community Hospital'!Print_Area</vt:lpstr>
      <vt:lpstr>'#5-Frederick Memorial Hospital'!Print_Area</vt:lpstr>
      <vt:lpstr>'#60-Fort Washington'!Print_Area</vt:lpstr>
      <vt:lpstr>'#61-Atlantic General'!Print_Area</vt:lpstr>
      <vt:lpstr>'#62-MedStar Southern Maryland'!Print_Area</vt:lpstr>
      <vt:lpstr>'#64-Levindale'!Print_Area</vt:lpstr>
      <vt:lpstr>'#65-Holy Cross Germantown'!Print_Area</vt:lpstr>
      <vt:lpstr>'#6-UM Harford Memorial'!Print_Area</vt:lpstr>
      <vt:lpstr>'#8-Mercy'!Print_Area</vt:lpstr>
      <vt:lpstr>'#9-Johns Hopkins'!Print_Area</vt:lpstr>
      <vt:lpstr>'Attachment II-All Hospitals'!Print_Area</vt:lpstr>
      <vt:lpstr>'CB Table 1'!Print_Area</vt:lpstr>
      <vt:lpstr>'DME_NSPI-all'!Print_Area</vt:lpstr>
      <vt:lpstr>Figures!Print_Area</vt:lpstr>
      <vt:lpstr>'Rate Support-Attachment I'!Print_Area</vt:lpstr>
      <vt:lpstr>'#10-UM Shore Health Dorchester'!Print_Titles</vt:lpstr>
      <vt:lpstr>'#30-UM Shore Health Chestertown'!Print_Titles</vt:lpstr>
      <vt:lpstr>'#37-UM Shore Health Easton'!Print_Titles</vt:lpstr>
      <vt:lpstr>'Attachment III-All'!Print_Titles</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Preferred Customer</dc:creator>
  <cp:lastModifiedBy>Matt Clark</cp:lastModifiedBy>
  <cp:lastPrinted>2016-10-11T20:44:07Z</cp:lastPrinted>
  <dcterms:created xsi:type="dcterms:W3CDTF">2003-01-20T15:08:29Z</dcterms:created>
  <dcterms:modified xsi:type="dcterms:W3CDTF">2020-04-27T14:06:30Z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